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codeName="ThisWorkbook"/>
  <xr:revisionPtr revIDLastSave="0" documentId="13_ncr:1_{18340E55-946B-4C1D-B724-E571FA09AC26}" xr6:coauthVersionLast="47" xr6:coauthVersionMax="47" xr10:uidLastSave="{00000000-0000-0000-0000-000000000000}"/>
  <bookViews>
    <workbookView xWindow="28680" yWindow="1215" windowWidth="25440" windowHeight="15390"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hange Control" sheetId="328" r:id="rId15"/>
    <sheet name="Cover" sheetId="317" r:id="rId16"/>
    <sheet name="ChangeLog" sheetId="327" r:id="rId17"/>
    <sheet name="SelectCompany" sheetId="79" r:id="rId18"/>
    <sheet name="Section 1 &gt;&gt;" sheetId="201" r:id="rId19"/>
    <sheet name="1A" sheetId="202" r:id="rId20"/>
    <sheet name="1B" sheetId="203" r:id="rId21"/>
    <sheet name="1C" sheetId="204" r:id="rId22"/>
    <sheet name="1D" sheetId="205" r:id="rId23"/>
    <sheet name="1E" sheetId="206" r:id="rId24"/>
    <sheet name="1F" sheetId="305" r:id="rId25"/>
    <sheet name="Section 2 &gt;&gt; " sheetId="208" r:id="rId26"/>
    <sheet name="2A" sheetId="209" r:id="rId27"/>
    <sheet name="2B" sheetId="210" r:id="rId28"/>
    <sheet name="2C" sheetId="211" r:id="rId29"/>
    <sheet name="2D" sheetId="212" r:id="rId30"/>
    <sheet name="2E" sheetId="213" r:id="rId31"/>
    <sheet name="2F" sheetId="214" r:id="rId32"/>
    <sheet name="2G" sheetId="262" r:id="rId33"/>
    <sheet name="2H" sheetId="263" r:id="rId34"/>
    <sheet name="2I" sheetId="215" r:id="rId35"/>
    <sheet name="2J" sheetId="216" r:id="rId36"/>
    <sheet name="2K" sheetId="217" r:id="rId37"/>
    <sheet name="2L" sheetId="218" r:id="rId38"/>
    <sheet name="2M" sheetId="219" r:id="rId39"/>
    <sheet name="2N" sheetId="220" r:id="rId40"/>
    <sheet name="2O" sheetId="221" r:id="rId41"/>
    <sheet name="Section 4 &gt;&gt;" sheetId="222" r:id="rId42"/>
    <sheet name="4A" sheetId="223" r:id="rId43"/>
    <sheet name="4B" sheetId="293" r:id="rId44"/>
    <sheet name="4C" sheetId="225" r:id="rId45"/>
    <sheet name="4D" sheetId="226" r:id="rId46"/>
    <sheet name="4E" sheetId="227" r:id="rId47"/>
    <sheet name="4F" sheetId="228" r:id="rId48"/>
    <sheet name="4G" sheetId="229" r:id="rId49"/>
    <sheet name="4H" sheetId="230" r:id="rId50"/>
    <sheet name="4I" sheetId="231" r:id="rId51"/>
    <sheet name="4J" sheetId="232" r:id="rId52"/>
    <sheet name="4K" sheetId="233" r:id="rId53"/>
    <sheet name="4L" sheetId="234" r:id="rId54"/>
    <sheet name="4M" sheetId="235" r:id="rId55"/>
    <sheet name="4N" sheetId="236" r:id="rId56"/>
    <sheet name="4O" sheetId="237" r:id="rId57"/>
    <sheet name="4P" sheetId="238" r:id="rId58"/>
    <sheet name="4Q" sheetId="239" r:id="rId59"/>
    <sheet name="4R" sheetId="240" r:id="rId60"/>
    <sheet name="4S" sheetId="279" r:id="rId61"/>
    <sheet name="4T" sheetId="280" r:id="rId62"/>
    <sheet name="4U" sheetId="281" r:id="rId63"/>
    <sheet name="4V" sheetId="314" r:id="rId64"/>
    <sheet name="4W" sheetId="313"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Section 11 &gt;&gt;" sheetId="304" r:id="rId95"/>
    <sheet name="11A" sheetId="315" r:id="rId96"/>
  </sheets>
  <externalReferences>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5">[2]Lists!$S$5:$S$11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5" hidden="1">{"bal",#N/A,FALSE,"working papers";"income",#N/A,FALSE,"working papers"}</definedName>
    <definedName name="F" localSheetId="42">{"bal",#N/A,FALSE,"working papers";"income",#N/A,FALSE,"working papers"}</definedName>
    <definedName name="F" localSheetId="43" hidden="1">{"bal",#N/A,FALSE,"working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5" hidden="1">{"bal",#N/A,FALSE,"working papers";"income",#N/A,FALSE,"working papers"}</definedName>
    <definedName name="fdraf" localSheetId="42">{"bal",#N/A,FALSE,"working papers";"income",#N/A,FALSE,"working papers"}</definedName>
    <definedName name="fdraf" localSheetId="43" hidden="1">{"bal",#N/A,FALSE,"working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5" hidden="1">{"bal",#N/A,FALSE,"working papers";"income",#N/A,FALSE,"working papers"}</definedName>
    <definedName name="Fdraft" localSheetId="42">{"bal",#N/A,FALSE,"working papers";"income",#N/A,FALSE,"working papers"}</definedName>
    <definedName name="Fdraft" localSheetId="43" hidden="1">{"bal",#N/A,FALSE,"working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5"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5">'11A'!$B$1:$H$68</definedName>
    <definedName name="_xlnm.Print_Area" localSheetId="19">'1A'!$A$1:$AG$38</definedName>
    <definedName name="_xlnm.Print_Area" localSheetId="20">'1B'!$B$1:$M$11</definedName>
    <definedName name="_xlnm.Print_Area" localSheetId="21">'1C'!$B$1:$M$53</definedName>
    <definedName name="_xlnm.Print_Area" localSheetId="22">'1D'!$B$1:$M$37</definedName>
    <definedName name="_xlnm.Print_Area" localSheetId="23">'1E'!$B$1:$L$30</definedName>
    <definedName name="_xlnm.Print_Area" localSheetId="26">'2A'!$B$1:$O$22</definedName>
    <definedName name="_xlnm.Print_Area" localSheetId="27">'2B'!$B$1:$M$45</definedName>
    <definedName name="_xlnm.Print_Area" localSheetId="28">'2C'!$B$1:$J$51</definedName>
    <definedName name="_xlnm.Print_Area" localSheetId="29">'2D'!$B$1:$O$31</definedName>
    <definedName name="_xlnm.Print_Area" localSheetId="30">'2E'!$B$1:$K$55</definedName>
    <definedName name="_xlnm.Print_Area" localSheetId="31">'2F'!$B$1:$H$29</definedName>
    <definedName name="_xlnm.Print_Area" localSheetId="32">'2G'!$AG$1:$AR$30</definedName>
    <definedName name="_xlnm.Print_Area" localSheetId="33">'2H'!$B$1:$O$26</definedName>
    <definedName name="_xlnm.Print_Area" localSheetId="34">'2I'!$B$1:$M$29</definedName>
    <definedName name="_xlnm.Print_Area" localSheetId="35">'2J'!$B$1:$I$19</definedName>
    <definedName name="_xlnm.Print_Area" localSheetId="36">'2K'!$B$1:$J$17</definedName>
    <definedName name="_xlnm.Print_Area" localSheetId="37">'2L'!$B$1:$L$7</definedName>
    <definedName name="_xlnm.Print_Area" localSheetId="38">'2M'!$Z$1:$AG$23</definedName>
    <definedName name="_xlnm.Print_Area" localSheetId="39">'2N'!$B$1:$I$43</definedName>
    <definedName name="_xlnm.Print_Area" localSheetId="40">'2O'!$B$1:$N$32</definedName>
    <definedName name="_xlnm.Print_Area" localSheetId="42">'4A'!$B$1:$H$68</definedName>
    <definedName name="_xlnm.Print_Area" localSheetId="43">'4B'!$B$1:$BS$641</definedName>
    <definedName name="_xlnm.Print_Area" localSheetId="44">'4C'!$B$1:$Q$47</definedName>
    <definedName name="_xlnm.Print_Area" localSheetId="45">'4D'!$B$1:$M$47</definedName>
    <definedName name="_xlnm.Print_Area" localSheetId="46">'4E'!$B$1:$P$46</definedName>
    <definedName name="_xlnm.Print_Area" localSheetId="47">'4F'!$B$1:$S$34</definedName>
    <definedName name="_xlnm.Print_Area" localSheetId="48">'4G'!$B$1:$Y$35</definedName>
    <definedName name="_xlnm.Print_Area" localSheetId="49">'4H'!$B$1:$I$38</definedName>
    <definedName name="_xlnm.Print_Area" localSheetId="50">'4I'!$B$1:$N$49</definedName>
    <definedName name="_xlnm.Print_Area" localSheetId="51">'4J'!$B$1:$P$36</definedName>
    <definedName name="_xlnm.Print_Area" localSheetId="52">'4K'!$B$1:$P$37</definedName>
    <definedName name="_xlnm.Print_Area" localSheetId="53">'4L'!$B$1:$W$131</definedName>
    <definedName name="_xlnm.Print_Area" localSheetId="54">'4M'!$B$1:$AC$102</definedName>
    <definedName name="_xlnm.Print_Area" localSheetId="55">'4N'!$B$1:$J$13</definedName>
    <definedName name="_xlnm.Print_Area" localSheetId="56">'4O'!$B$1:$M$14</definedName>
    <definedName name="_xlnm.Print_Area" localSheetId="57">'4P'!$B$1:$N$25</definedName>
    <definedName name="_xlnm.Print_Area" localSheetId="58">'4Q'!$B$1:$J$28</definedName>
    <definedName name="_xlnm.Print_Area" localSheetId="59">'4R'!$B$1:$W$52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'7F'!$B$1:$BL$210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3"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5" hidden="1">{"bal",#N/A,FALSE,"working papers";"income",#N/A,FALSE,"working papers"}</definedName>
    <definedName name="wrn.papersdraft" localSheetId="42">{"bal",#N/A,FALSE,"working papers";"income",#N/A,FALSE,"working papers"}</definedName>
    <definedName name="wrn.papersdraft" localSheetId="43" hidden="1">{"bal",#N/A,FALSE,"working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5" hidden="1">{"bal",#N/A,FALSE,"working papers";"income",#N/A,FALSE,"working papers"}</definedName>
    <definedName name="wrn.wpapers." localSheetId="19">{"bal",#N/A,FALSE,"working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3" hidden="1">{"bal",#N/A,FALSE,"working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5" hidden="1">'11A'!$B$1:$H$57</definedName>
    <definedName name="Z_1B259DF3_2D8D_4DFB_A9C4_F29F1CEBD105_.wvu.PrintArea" localSheetId="19">'1A'!$B$1:$L$34</definedName>
    <definedName name="Z_1B259DF3_2D8D_4DFB_A9C4_F29F1CEBD105_.wvu.PrintArea" localSheetId="20">'1B'!$B$1:$L$11</definedName>
    <definedName name="Z_1B259DF3_2D8D_4DFB_A9C4_F29F1CEBD105_.wvu.PrintArea" localSheetId="21">'1C'!$B$1:$L$53</definedName>
    <definedName name="Z_1B259DF3_2D8D_4DFB_A9C4_F29F1CEBD105_.wvu.PrintArea" localSheetId="23">'1E'!$B$1:$K$30</definedName>
    <definedName name="Z_1B259DF3_2D8D_4DFB_A9C4_F29F1CEBD105_.wvu.PrintArea" localSheetId="26">'2A'!#REF!</definedName>
    <definedName name="Z_1B259DF3_2D8D_4DFB_A9C4_F29F1CEBD105_.wvu.PrintArea" localSheetId="27">'2B'!$B$1:$L$45</definedName>
    <definedName name="Z_1B259DF3_2D8D_4DFB_A9C4_F29F1CEBD105_.wvu.PrintArea" localSheetId="30">'2E'!$B$1:$J$31</definedName>
    <definedName name="Z_1B259DF3_2D8D_4DFB_A9C4_F29F1CEBD105_.wvu.PrintArea" localSheetId="31">'2F'!$B$1:$F$28</definedName>
    <definedName name="Z_1B259DF3_2D8D_4DFB_A9C4_F29F1CEBD105_.wvu.PrintArea" localSheetId="32">'2G'!$AG$1:$AR$31</definedName>
    <definedName name="Z_1B259DF3_2D8D_4DFB_A9C4_F29F1CEBD105_.wvu.PrintArea" localSheetId="33">'2H'!$B$1:$O$25</definedName>
    <definedName name="Z_1B259DF3_2D8D_4DFB_A9C4_F29F1CEBD105_.wvu.PrintArea" localSheetId="34">'2I'!$B$1:$M$29</definedName>
    <definedName name="Z_1B259DF3_2D8D_4DFB_A9C4_F29F1CEBD105_.wvu.PrintArea" localSheetId="35">'2J'!$B$1:$I$20</definedName>
    <definedName name="Z_1B259DF3_2D8D_4DFB_A9C4_F29F1CEBD105_.wvu.PrintArea" localSheetId="36">'2K'!$B$1:$I$18</definedName>
    <definedName name="Z_1B259DF3_2D8D_4DFB_A9C4_F29F1CEBD105_.wvu.PrintArea" localSheetId="37">'2L'!$B$1:$K$7</definedName>
    <definedName name="Z_1B259DF3_2D8D_4DFB_A9C4_F29F1CEBD105_.wvu.PrintArea" localSheetId="38">'2M'!$Z$1:$AG$24</definedName>
    <definedName name="Z_1B259DF3_2D8D_4DFB_A9C4_F29F1CEBD105_.wvu.PrintArea" localSheetId="42">'4A'!$B$1:$G$18</definedName>
    <definedName name="Z_1B259DF3_2D8D_4DFB_A9C4_F29F1CEBD105_.wvu.PrintArea" localSheetId="44">'4C'!$B$1:$M$30</definedName>
    <definedName name="Z_1B259DF3_2D8D_4DFB_A9C4_F29F1CEBD105_.wvu.PrintArea" localSheetId="45">'4D'!$B$1:$L$40</definedName>
    <definedName name="Z_1B259DF3_2D8D_4DFB_A9C4_F29F1CEBD105_.wvu.PrintArea" localSheetId="46">'4E'!$B$1:$O$46</definedName>
    <definedName name="Z_1B259DF3_2D8D_4DFB_A9C4_F29F1CEBD105_.wvu.PrintArea" localSheetId="49">'4H'!$B$1:$H$38</definedName>
    <definedName name="Z_1B259DF3_2D8D_4DFB_A9C4_F29F1CEBD105_.wvu.PrintArea" localSheetId="50">'4I'!$B$1:$M$49</definedName>
    <definedName name="Z_1B259DF3_2D8D_4DFB_A9C4_F29F1CEBD105_.wvu.PrintArea" localSheetId="51">'4J'!$B$1:$L$25</definedName>
    <definedName name="Z_1B259DF3_2D8D_4DFB_A9C4_F29F1CEBD105_.wvu.PrintArea" localSheetId="52">'4K'!$B$1:$O$26</definedName>
    <definedName name="Z_1B259DF3_2D8D_4DFB_A9C4_F29F1CEBD105_.wvu.PrintArea" localSheetId="54">'4M'!$B$1:$AB$40</definedName>
    <definedName name="Z_1B259DF3_2D8D_4DFB_A9C4_F29F1CEBD105_.wvu.PrintArea" localSheetId="56">'4O'!$C$1:$L$15</definedName>
    <definedName name="Z_1B259DF3_2D8D_4DFB_A9C4_F29F1CEBD105_.wvu.PrintArea" localSheetId="57">'4P'!$B$1:$G$25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9">'1A'!$B$1:$L$23</definedName>
    <definedName name="Z_650D7366_A5BD_406B_9661_ED9F5F01D420_.wvu.PrintArea" localSheetId="20">'1B'!$B$1:$L$11</definedName>
    <definedName name="Z_650D7366_A5BD_406B_9661_ED9F5F01D420_.wvu.PrintArea" localSheetId="21">'1C'!$B$1:$L$53</definedName>
    <definedName name="Z_650D7366_A5BD_406B_9661_ED9F5F01D420_.wvu.PrintArea" localSheetId="23">'1E'!$B$1:$K$30</definedName>
    <definedName name="Z_650D7366_A5BD_406B_9661_ED9F5F01D420_.wvu.PrintArea" localSheetId="26">'2A'!#REF!</definedName>
    <definedName name="Z_650D7366_A5BD_406B_9661_ED9F5F01D420_.wvu.PrintArea" localSheetId="27">'2B'!$B$1:$L$45</definedName>
    <definedName name="Z_650D7366_A5BD_406B_9661_ED9F5F01D420_.wvu.PrintArea" localSheetId="30">'2E'!$B$1:$J$31</definedName>
    <definedName name="Z_650D7366_A5BD_406B_9661_ED9F5F01D420_.wvu.PrintArea" localSheetId="31">'2F'!$B$1:$F$28</definedName>
    <definedName name="Z_650D7366_A5BD_406B_9661_ED9F5F01D420_.wvu.PrintArea" localSheetId="32">'2G'!$AG$1:$AR$31</definedName>
    <definedName name="Z_650D7366_A5BD_406B_9661_ED9F5F01D420_.wvu.PrintArea" localSheetId="33">'2H'!$B$1:$O$25</definedName>
    <definedName name="Z_650D7366_A5BD_406B_9661_ED9F5F01D420_.wvu.PrintArea" localSheetId="34">'2I'!$B$1:$M$29</definedName>
    <definedName name="Z_650D7366_A5BD_406B_9661_ED9F5F01D420_.wvu.PrintArea" localSheetId="37">'2L'!$B$1:$K$7</definedName>
    <definedName name="Z_650D7366_A5BD_406B_9661_ED9F5F01D420_.wvu.PrintArea" localSheetId="38">'2M'!$Z$1:$AG$24</definedName>
    <definedName name="Z_650D7366_A5BD_406B_9661_ED9F5F01D420_.wvu.PrintArea" localSheetId="42">'4A'!$B$1:$G$18</definedName>
    <definedName name="Z_650D7366_A5BD_406B_9661_ED9F5F01D420_.wvu.PrintArea" localSheetId="44">'4C'!$B$1:$M$28</definedName>
    <definedName name="Z_650D7366_A5BD_406B_9661_ED9F5F01D420_.wvu.PrintArea" localSheetId="49">'4H'!$B$1:$H$38</definedName>
    <definedName name="Z_650D7366_A5BD_406B_9661_ED9F5F01D420_.wvu.PrintArea" localSheetId="50">'4I'!$B$1:$M$49</definedName>
    <definedName name="Z_69104686_4F2A_41D5_9B15_E00B9826BCA2_.wvu.PrintArea" localSheetId="43" hidden="1">'4B'!$B$3:$AD$641</definedName>
    <definedName name="Z_71BC5093_C9C1_4AA0_864A_AADBDC96B3C1_.wvu.PrintArea" localSheetId="95" hidden="1">'11A'!$B$1:$H$57</definedName>
    <definedName name="Z_71BC5093_C9C1_4AA0_864A_AADBDC96B3C1_.wvu.PrintArea" localSheetId="19">'1A'!$B$1:$P$34</definedName>
    <definedName name="Z_71BC5093_C9C1_4AA0_864A_AADBDC96B3C1_.wvu.PrintArea" localSheetId="20">'1B'!$B$1:$M$11</definedName>
    <definedName name="Z_71BC5093_C9C1_4AA0_864A_AADBDC96B3C1_.wvu.PrintArea" localSheetId="21">'1C'!$B$1:$M$53</definedName>
    <definedName name="Z_71BC5093_C9C1_4AA0_864A_AADBDC96B3C1_.wvu.PrintArea" localSheetId="22">'1D'!$B$1:$M$37</definedName>
    <definedName name="Z_71BC5093_C9C1_4AA0_864A_AADBDC96B3C1_.wvu.PrintArea" localSheetId="23">'1E'!$B$1:$L$30</definedName>
    <definedName name="Z_71BC5093_C9C1_4AA0_864A_AADBDC96B3C1_.wvu.PrintArea" localSheetId="26">'2A'!$B$1:$O$22</definedName>
    <definedName name="Z_71BC5093_C9C1_4AA0_864A_AADBDC96B3C1_.wvu.PrintArea" localSheetId="27">'2B'!$B$1:$M$45</definedName>
    <definedName name="Z_71BC5093_C9C1_4AA0_864A_AADBDC96B3C1_.wvu.PrintArea" localSheetId="28">'2C'!$B$1:$J$51</definedName>
    <definedName name="Z_71BC5093_C9C1_4AA0_864A_AADBDC96B3C1_.wvu.PrintArea" localSheetId="29">'2D'!$B$1:$O$31</definedName>
    <definedName name="Z_71BC5093_C9C1_4AA0_864A_AADBDC96B3C1_.wvu.PrintArea" localSheetId="30">'2E'!$B$1:$K$55</definedName>
    <definedName name="Z_71BC5093_C9C1_4AA0_864A_AADBDC96B3C1_.wvu.PrintArea" localSheetId="31">'2F'!$B$1:$H$29</definedName>
    <definedName name="Z_71BC5093_C9C1_4AA0_864A_AADBDC96B3C1_.wvu.PrintArea" localSheetId="32">'2G'!$AG$1:$AR$30</definedName>
    <definedName name="Z_71BC5093_C9C1_4AA0_864A_AADBDC96B3C1_.wvu.PrintArea" localSheetId="33">'2H'!$B$1:$O$26</definedName>
    <definedName name="Z_71BC5093_C9C1_4AA0_864A_AADBDC96B3C1_.wvu.PrintArea" localSheetId="34">'2I'!$B$1:$M$29</definedName>
    <definedName name="Z_71BC5093_C9C1_4AA0_864A_AADBDC96B3C1_.wvu.PrintArea" localSheetId="35">'2J'!$B$1:$I$19</definedName>
    <definedName name="Z_71BC5093_C9C1_4AA0_864A_AADBDC96B3C1_.wvu.PrintArea" localSheetId="36">'2K'!$B$1:$J$17</definedName>
    <definedName name="Z_71BC5093_C9C1_4AA0_864A_AADBDC96B3C1_.wvu.PrintArea" localSheetId="37">'2L'!$B$1:$L$7</definedName>
    <definedName name="Z_71BC5093_C9C1_4AA0_864A_AADBDC96B3C1_.wvu.PrintArea" localSheetId="38">'2M'!$Z$1:$AG$23</definedName>
    <definedName name="Z_71BC5093_C9C1_4AA0_864A_AADBDC96B3C1_.wvu.PrintArea" localSheetId="39">'2N'!$B$1:$I$43</definedName>
    <definedName name="Z_71BC5093_C9C1_4AA0_864A_AADBDC96B3C1_.wvu.PrintArea" localSheetId="40">'2O'!$B$1:$N$32</definedName>
    <definedName name="Z_71BC5093_C9C1_4AA0_864A_AADBDC96B3C1_.wvu.PrintArea" localSheetId="42">'4A'!$B$1:$H$68</definedName>
    <definedName name="Z_71BC5093_C9C1_4AA0_864A_AADBDC96B3C1_.wvu.PrintArea" localSheetId="43" hidden="1">'4B'!$B$1:$BS$641</definedName>
    <definedName name="Z_71BC5093_C9C1_4AA0_864A_AADBDC96B3C1_.wvu.PrintArea" localSheetId="44">'4C'!$B$1:$Q$47</definedName>
    <definedName name="Z_71BC5093_C9C1_4AA0_864A_AADBDC96B3C1_.wvu.PrintArea" localSheetId="45">'4D'!$B$1:$M$47</definedName>
    <definedName name="Z_71BC5093_C9C1_4AA0_864A_AADBDC96B3C1_.wvu.PrintArea" localSheetId="46">'4E'!$B$1:$O$46</definedName>
    <definedName name="Z_71BC5093_C9C1_4AA0_864A_AADBDC96B3C1_.wvu.PrintArea" localSheetId="47">'4F'!$B$1:$S$34</definedName>
    <definedName name="Z_71BC5093_C9C1_4AA0_864A_AADBDC96B3C1_.wvu.PrintArea" localSheetId="48">'4G'!$B$1:$Y$35</definedName>
    <definedName name="Z_71BC5093_C9C1_4AA0_864A_AADBDC96B3C1_.wvu.PrintArea" localSheetId="49">'4H'!$B$1:$I$38</definedName>
    <definedName name="Z_71BC5093_C9C1_4AA0_864A_AADBDC96B3C1_.wvu.PrintArea" localSheetId="50">'4I'!$B$1:$N$49</definedName>
    <definedName name="Z_71BC5093_C9C1_4AA0_864A_AADBDC96B3C1_.wvu.PrintArea" localSheetId="51">'4J'!$B$1:$P$35</definedName>
    <definedName name="Z_71BC5093_C9C1_4AA0_864A_AADBDC96B3C1_.wvu.PrintArea" localSheetId="52">'4K'!$B$1:$P$37</definedName>
    <definedName name="Z_71BC5093_C9C1_4AA0_864A_AADBDC96B3C1_.wvu.PrintArea" localSheetId="53">'4L'!$B$1:$W$130</definedName>
    <definedName name="Z_71BC5093_C9C1_4AA0_864A_AADBDC96B3C1_.wvu.PrintArea" localSheetId="54">'4M'!$B$1:$AC$101</definedName>
    <definedName name="Z_71BC5093_C9C1_4AA0_864A_AADBDC96B3C1_.wvu.PrintArea" localSheetId="55">'4N'!$B$1:$J$13</definedName>
    <definedName name="Z_71BC5093_C9C1_4AA0_864A_AADBDC96B3C1_.wvu.PrintArea" localSheetId="56">'4O'!$B$1:$M$14</definedName>
    <definedName name="Z_71BC5093_C9C1_4AA0_864A_AADBDC96B3C1_.wvu.PrintArea" localSheetId="57">'4P'!$B$1:$N$25</definedName>
    <definedName name="Z_71BC5093_C9C1_4AA0_864A_AADBDC96B3C1_.wvu.PrintArea" localSheetId="58">'4Q'!$B$1:$J$28</definedName>
    <definedName name="Z_71BC5093_C9C1_4AA0_864A_AADBDC96B3C1_.wvu.PrintArea" localSheetId="59">'4R'!$B$1:$W$52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3" hidden="1">'4B'!$643:$1048576,'4B'!$60:$108,'4B'!$110:$158,'4B'!#REF!,'4B'!$163:$211,'4B'!$213:$261,'4B'!$263:$311,'4B'!#REF!,'4B'!$316:$364,'4B'!$366:$414,'4B'!$416:$464,'4B'!#REF!,'4B'!$469:$517,'4B'!$519:$567,'4B'!$569:$617,'4B'!#REF!,'4B'!#REF!</definedName>
    <definedName name="Z_9D0BCB94_913C_464E_843B_7A43F508C4E7_.wvu.PrintArea" localSheetId="19">'1A'!$B$1:$L$23</definedName>
    <definedName name="Z_9D0BCB94_913C_464E_843B_7A43F508C4E7_.wvu.PrintArea" localSheetId="20">'1B'!$B$1:$L$11</definedName>
    <definedName name="Z_9D0BCB94_913C_464E_843B_7A43F508C4E7_.wvu.PrintArea" localSheetId="21">'1C'!$B$1:$L$53</definedName>
    <definedName name="Z_9D0BCB94_913C_464E_843B_7A43F508C4E7_.wvu.PrintArea" localSheetId="23">'1E'!$B$1:$K$30</definedName>
    <definedName name="Z_9D0BCB94_913C_464E_843B_7A43F508C4E7_.wvu.PrintArea" localSheetId="26">'2A'!#REF!</definedName>
    <definedName name="Z_9D0BCB94_913C_464E_843B_7A43F508C4E7_.wvu.PrintArea" localSheetId="27">'2B'!$B$1:$L$45</definedName>
    <definedName name="Z_9D0BCB94_913C_464E_843B_7A43F508C4E7_.wvu.PrintArea" localSheetId="30">'2E'!$B$1:$J$31</definedName>
    <definedName name="Z_9D0BCB94_913C_464E_843B_7A43F508C4E7_.wvu.PrintArea" localSheetId="31">'2F'!$B$1:$F$28</definedName>
    <definedName name="Z_9D0BCB94_913C_464E_843B_7A43F508C4E7_.wvu.PrintArea" localSheetId="32">'2G'!$AG$1:$AR$31</definedName>
    <definedName name="Z_9D0BCB94_913C_464E_843B_7A43F508C4E7_.wvu.PrintArea" localSheetId="33">'2H'!$B$1:$O$25</definedName>
    <definedName name="Z_9D0BCB94_913C_464E_843B_7A43F508C4E7_.wvu.PrintArea" localSheetId="34">'2I'!$B$1:$M$29</definedName>
    <definedName name="Z_9D0BCB94_913C_464E_843B_7A43F508C4E7_.wvu.PrintArea" localSheetId="37">'2L'!$B$1:$K$7</definedName>
    <definedName name="Z_9D0BCB94_913C_464E_843B_7A43F508C4E7_.wvu.PrintArea" localSheetId="38">'2M'!$Z$1:$AG$24</definedName>
    <definedName name="Z_9D0BCB94_913C_464E_843B_7A43F508C4E7_.wvu.PrintArea" localSheetId="42">'4A'!$B$1:$G$18</definedName>
    <definedName name="Z_9D0BCB94_913C_464E_843B_7A43F508C4E7_.wvu.PrintArea" localSheetId="44">'4C'!$B$1:$M$28</definedName>
    <definedName name="Z_9D0BCB94_913C_464E_843B_7A43F508C4E7_.wvu.PrintArea" localSheetId="49">'4H'!$B$1:$H$38</definedName>
    <definedName name="Z_9D0BCB94_913C_464E_843B_7A43F508C4E7_.wvu.PrintArea" localSheetId="50">'4I'!$B$1:$M$49</definedName>
    <definedName name="Z_A8453347_62D5_433C_AC17_73E6B4F2766F_.wvu.PrintArea" localSheetId="43" hidden="1">'4B'!$B$3:$AD$641</definedName>
    <definedName name="Z_C52B46E3_F629_4DFA_829C_FFB772C5F657_.wvu.PrintArea" localSheetId="19">'1A'!$B$1:$J$23</definedName>
    <definedName name="Z_C52B46E3_F629_4DFA_829C_FFB772C5F657_.wvu.PrintArea" localSheetId="20">'1B'!$B$1:$I$11</definedName>
    <definedName name="Z_C52B46E3_F629_4DFA_829C_FFB772C5F657_.wvu.PrintArea" localSheetId="21">'1C'!$B$1:$I$53</definedName>
    <definedName name="Z_C52B46E3_F629_4DFA_829C_FFB772C5F657_.wvu.PrintArea" localSheetId="26">'2A'!#REF!</definedName>
    <definedName name="Z_C52B46E3_F629_4DFA_829C_FFB772C5F657_.wvu.PrintArea" localSheetId="27">'2B'!$B$1:$G$45</definedName>
    <definedName name="Z_C52B46E3_F629_4DFA_829C_FFB772C5F657_.wvu.PrintArea" localSheetId="30">'2E'!$B$1:$H$31</definedName>
    <definedName name="Z_C52B46E3_F629_4DFA_829C_FFB772C5F657_.wvu.PrintArea" localSheetId="34">'2I'!$B$1:$G$28</definedName>
    <definedName name="Z_C52B46E3_F629_4DFA_829C_FFB772C5F657_.wvu.PrintArea" localSheetId="37">'2L'!$B$1:$I$7</definedName>
    <definedName name="Z_C52B46E3_F629_4DFA_829C_FFB772C5F657_.wvu.PrintArea" localSheetId="38">'2M'!$Z$1:$AF$5</definedName>
    <definedName name="Z_C52B46E3_F629_4DFA_829C_FFB772C5F657_.wvu.PrintArea" localSheetId="44">'4C'!$B$1:$E$28</definedName>
    <definedName name="Z_C52B46E3_F629_4DFA_829C_FFB772C5F657_.wvu.PrintArea" localSheetId="49">'4H'!$B$1:$E$13</definedName>
    <definedName name="Z_C52B46E3_F629_4DFA_829C_FFB772C5F657_.wvu.PrintArea" localSheetId="50">'4I'!$B$1:$D$20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225" l="1"/>
  <c r="M19" i="225"/>
  <c r="D57" i="315"/>
  <c r="L19" i="225"/>
  <c r="G19" i="225"/>
  <c r="G20" i="262" l="1"/>
  <c r="G17" i="262"/>
  <c r="F30" i="21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23" i="324" l="1"/>
  <c r="G4019"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G3693"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G3683"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G3509"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G3499"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G3174"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G3101"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G2899" i="324"/>
  <c r="D2899" i="324"/>
  <c r="C2899" i="324"/>
  <c r="D2898" i="324"/>
  <c r="C2898" i="324"/>
  <c r="D2897" i="324"/>
  <c r="C2897" i="324"/>
  <c r="G2896" i="324"/>
  <c r="D2896" i="324"/>
  <c r="C2896" i="324"/>
  <c r="D2895" i="324"/>
  <c r="C2895" i="324"/>
  <c r="D2894" i="324"/>
  <c r="C2894" i="324"/>
  <c r="G2893" i="324"/>
  <c r="D2893" i="324"/>
  <c r="C2893" i="324"/>
  <c r="D2892" i="324"/>
  <c r="C2892" i="324"/>
  <c r="D2891" i="324"/>
  <c r="C2891" i="324"/>
  <c r="G2890"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G2778"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G2730" i="324"/>
  <c r="D2730" i="324"/>
  <c r="C2730" i="324"/>
  <c r="D2729" i="324"/>
  <c r="C2729" i="324"/>
  <c r="G2728"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G2698"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G2672"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G2589"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G2532" i="324"/>
  <c r="D2532" i="324"/>
  <c r="C2532" i="324"/>
  <c r="D2531" i="324"/>
  <c r="C2531" i="324"/>
  <c r="D2530" i="324"/>
  <c r="C2530" i="324"/>
  <c r="D2529" i="324"/>
  <c r="C2529" i="324"/>
  <c r="D2528" i="324"/>
  <c r="C2528" i="324"/>
  <c r="D2527" i="324"/>
  <c r="C2527" i="324"/>
  <c r="D2526" i="324"/>
  <c r="C2526" i="324"/>
  <c r="D2525" i="324"/>
  <c r="C2525" i="324"/>
  <c r="D2524" i="324"/>
  <c r="C2524" i="324"/>
  <c r="G2523"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G2436"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G2426" i="324"/>
  <c r="D2426" i="324"/>
  <c r="C2426" i="324"/>
  <c r="D2425" i="324"/>
  <c r="C2425" i="324"/>
  <c r="D2424" i="324"/>
  <c r="C2424" i="324"/>
  <c r="D2423" i="324"/>
  <c r="C2423" i="324"/>
  <c r="D2422" i="324"/>
  <c r="C2422"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G2317" i="324"/>
  <c r="D2317" i="324"/>
  <c r="C2317" i="324"/>
  <c r="D2316" i="324"/>
  <c r="C2316" i="324"/>
  <c r="D2315" i="324"/>
  <c r="C2315" i="324"/>
  <c r="G2314"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G2234"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G2200"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G2130" i="324"/>
  <c r="D2130" i="324"/>
  <c r="C2130" i="324"/>
  <c r="D2129" i="324"/>
  <c r="C2129" i="324"/>
  <c r="D2128" i="324"/>
  <c r="C2128" i="324"/>
  <c r="G2127" i="324"/>
  <c r="D2127" i="324"/>
  <c r="C2127" i="324"/>
  <c r="D2126" i="324"/>
  <c r="C2126" i="324"/>
  <c r="D2125" i="324"/>
  <c r="C2125" i="324"/>
  <c r="D2124" i="324"/>
  <c r="C2124" i="324"/>
  <c r="D2123" i="324"/>
  <c r="C2123" i="324"/>
  <c r="D2122" i="324"/>
  <c r="C2122" i="324"/>
  <c r="D2121" i="324"/>
  <c r="C2121" i="324"/>
  <c r="D2120" i="324"/>
  <c r="C2120" i="324"/>
  <c r="G2119"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G2109" i="324"/>
  <c r="D2109" i="324"/>
  <c r="C2109" i="324"/>
  <c r="G2108"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G2098" i="324"/>
  <c r="D2098" i="324"/>
  <c r="C2098" i="324"/>
  <c r="D2097" i="324"/>
  <c r="C2097" i="324"/>
  <c r="D2096" i="324"/>
  <c r="C2096" i="324"/>
  <c r="D2095" i="324"/>
  <c r="C2095" i="324"/>
  <c r="D2094" i="324"/>
  <c r="C2094" i="324"/>
  <c r="D2093" i="324"/>
  <c r="C2093" i="324"/>
  <c r="G2092"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G2082"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G2038" i="324"/>
  <c r="D2038" i="324"/>
  <c r="C2038" i="324"/>
  <c r="D2037" i="324"/>
  <c r="C2037" i="324"/>
  <c r="D2036" i="324"/>
  <c r="C2036" i="324"/>
  <c r="D2035" i="324"/>
  <c r="C2035" i="324"/>
  <c r="D2034" i="324"/>
  <c r="C2034" i="324"/>
  <c r="D2033" i="324"/>
  <c r="C2033" i="324"/>
  <c r="D2032" i="324"/>
  <c r="C2032" i="324"/>
  <c r="D2031" i="324"/>
  <c r="C2031" i="324"/>
  <c r="D2030" i="324"/>
  <c r="C2030" i="324"/>
  <c r="G2029" i="324"/>
  <c r="D2029" i="324"/>
  <c r="C2029" i="324"/>
  <c r="D2028" i="324"/>
  <c r="C2028" i="324"/>
  <c r="D2027" i="324"/>
  <c r="C2027" i="324"/>
  <c r="G2026"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G1922"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G1733"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G1709"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G1693"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G1647"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G1627"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G1619"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G1605"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G1549"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G1503"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G1437"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G1405" i="324"/>
  <c r="D1405" i="324"/>
  <c r="C1405" i="324"/>
  <c r="G1404" i="324"/>
  <c r="D1404" i="324"/>
  <c r="C1404" i="324"/>
  <c r="D1403" i="324"/>
  <c r="C1403" i="324"/>
  <c r="G1402" i="324"/>
  <c r="D1402" i="324"/>
  <c r="C1402" i="324"/>
  <c r="D1401" i="324"/>
  <c r="C1401" i="324"/>
  <c r="D1400" i="324"/>
  <c r="C1400" i="324"/>
  <c r="G1399" i="324"/>
  <c r="D1399" i="324"/>
  <c r="C1399" i="324"/>
  <c r="G1398" i="324"/>
  <c r="D1398" i="324"/>
  <c r="C1398" i="324"/>
  <c r="D1397" i="324"/>
  <c r="C1397" i="324"/>
  <c r="G1396" i="324"/>
  <c r="D1396" i="324"/>
  <c r="C1396" i="324"/>
  <c r="D1395" i="324"/>
  <c r="C1395" i="324"/>
  <c r="D1394" i="324"/>
  <c r="C1394" i="324"/>
  <c r="D1393" i="324"/>
  <c r="C1393" i="324"/>
  <c r="D1392" i="324"/>
  <c r="C1392" i="324"/>
  <c r="G1391"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G1363"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G1339"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G1315"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G1297" i="324"/>
  <c r="D1297" i="324"/>
  <c r="C1297" i="324"/>
  <c r="D1296" i="324"/>
  <c r="C1296" i="324"/>
  <c r="D1295" i="324"/>
  <c r="C1295" i="324"/>
  <c r="D1294" i="324"/>
  <c r="C1294" i="324"/>
  <c r="D1293" i="324"/>
  <c r="C1293" i="324"/>
  <c r="D1292" i="324"/>
  <c r="C1292" i="324"/>
  <c r="D1291" i="324"/>
  <c r="C1291" i="324"/>
  <c r="D1290" i="324"/>
  <c r="C1290" i="324"/>
  <c r="G1289"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G1259"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G1229"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G1182"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G1174"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G1105"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G1084"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G1063"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G1034"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G910"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D826" i="324"/>
  <c r="C826" i="324"/>
  <c r="D825" i="324"/>
  <c r="C825" i="324"/>
  <c r="G824" i="324"/>
  <c r="D824" i="324"/>
  <c r="C824" i="324"/>
  <c r="D823" i="324"/>
  <c r="C823"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G698" i="324"/>
  <c r="D698" i="324"/>
  <c r="C698" i="324"/>
  <c r="D697" i="324"/>
  <c r="C697" i="324"/>
  <c r="D696" i="324"/>
  <c r="C696" i="324"/>
  <c r="G695"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G522"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G485"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G402"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G278" i="324"/>
  <c r="D278" i="324"/>
  <c r="C278" i="324"/>
  <c r="G277" i="324"/>
  <c r="D277" i="324"/>
  <c r="C277" i="324"/>
  <c r="D276" i="324"/>
  <c r="C276"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G192"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G136"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G106"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F1652"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F1567" i="269"/>
  <c r="B1567" i="269"/>
  <c r="B1566" i="269"/>
  <c r="B1565" i="269"/>
  <c r="B1564" i="269"/>
  <c r="F1563"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F1453"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F1412" i="269"/>
  <c r="B1412" i="269"/>
  <c r="B1411" i="269"/>
  <c r="B1410" i="269"/>
  <c r="B1409" i="269"/>
  <c r="B1408" i="269"/>
  <c r="B1407" i="269"/>
  <c r="B1406" i="269"/>
  <c r="B1405" i="269"/>
  <c r="B1404" i="269"/>
  <c r="B1403" i="269"/>
  <c r="B1402" i="269"/>
  <c r="B1401" i="269"/>
  <c r="B1400" i="269"/>
  <c r="F1399"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F1326" i="269"/>
  <c r="B1326" i="269"/>
  <c r="B1325" i="269"/>
  <c r="B1324" i="269"/>
  <c r="B1323" i="269"/>
  <c r="F1322" i="269"/>
  <c r="B1322" i="269"/>
  <c r="B1321" i="269"/>
  <c r="F1320" i="269"/>
  <c r="B1320" i="269"/>
  <c r="B1319" i="269"/>
  <c r="B1318" i="269"/>
  <c r="B1317" i="269"/>
  <c r="F1316"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F1291" i="269"/>
  <c r="B1291" i="269"/>
  <c r="B1290" i="269"/>
  <c r="B1289" i="269"/>
  <c r="B1288" i="269"/>
  <c r="F1287" i="269"/>
  <c r="B1287" i="269"/>
  <c r="B1286" i="269"/>
  <c r="B1285" i="269"/>
  <c r="F1284" i="269"/>
  <c r="B1284" i="269"/>
  <c r="B1283" i="269"/>
  <c r="B1282" i="269"/>
  <c r="B1281" i="269"/>
  <c r="F1280"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F1250" i="269"/>
  <c r="B1250" i="269"/>
  <c r="B1249" i="269"/>
  <c r="B1248" i="269"/>
  <c r="B1247" i="269"/>
  <c r="B1246" i="269"/>
  <c r="B1245" i="269"/>
  <c r="B1244" i="269"/>
  <c r="F1243"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F1217" i="269"/>
  <c r="B1217" i="269"/>
  <c r="B1216" i="269"/>
  <c r="B1215" i="269"/>
  <c r="B1214" i="269"/>
  <c r="F1213" i="269"/>
  <c r="B1213" i="269"/>
  <c r="B1212" i="269"/>
  <c r="B1211" i="269"/>
  <c r="B1210" i="269"/>
  <c r="F1209" i="269"/>
  <c r="B1209" i="269"/>
  <c r="B1208"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F1177"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F1130"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F1117"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F1092"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F1071" i="269"/>
  <c r="B1071" i="269"/>
  <c r="B1070" i="269"/>
  <c r="B1069" i="269"/>
  <c r="F1068" i="269"/>
  <c r="B1068" i="269"/>
  <c r="F1067" i="269"/>
  <c r="B1067" i="269"/>
  <c r="F1066" i="269"/>
  <c r="B1066" i="269"/>
  <c r="F1065" i="269"/>
  <c r="B1065" i="269"/>
  <c r="F1064" i="269"/>
  <c r="B1064" i="269"/>
  <c r="F1063" i="269"/>
  <c r="B1063" i="269"/>
  <c r="F1062" i="269"/>
  <c r="B1062" i="269"/>
  <c r="F1061" i="269"/>
  <c r="B1061" i="269"/>
  <c r="F1060" i="269"/>
  <c r="B1060" i="269"/>
  <c r="B1059" i="269"/>
  <c r="F1058" i="269"/>
  <c r="B1058" i="269"/>
  <c r="F1057" i="269"/>
  <c r="B1057" i="269"/>
  <c r="B1056" i="269"/>
  <c r="B1055" i="269"/>
  <c r="B1054" i="269"/>
  <c r="F1053"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F1037" i="269"/>
  <c r="B1037" i="269"/>
  <c r="B1036" i="269"/>
  <c r="B1035" i="269"/>
  <c r="B1034" i="269"/>
  <c r="F1033" i="269"/>
  <c r="B1033" i="269"/>
  <c r="F1032" i="269"/>
  <c r="B1032" i="269"/>
  <c r="B1031" i="269"/>
  <c r="F1030" i="269"/>
  <c r="B1030" i="269"/>
  <c r="F1029" i="269"/>
  <c r="B1029" i="269"/>
  <c r="F1028" i="269"/>
  <c r="B1028" i="269"/>
  <c r="F1027" i="269"/>
  <c r="B1027" i="269"/>
  <c r="F1026" i="269"/>
  <c r="B1026" i="269"/>
  <c r="F1025" i="269"/>
  <c r="B1025" i="269"/>
  <c r="B1024" i="269"/>
  <c r="B1023" i="269"/>
  <c r="B1022" i="269"/>
  <c r="F1021" i="269"/>
  <c r="B1021" i="269"/>
  <c r="F1020" i="269"/>
  <c r="B1020" i="269"/>
  <c r="B1019" i="269"/>
  <c r="F1018" i="269"/>
  <c r="B1018" i="269"/>
  <c r="F1017" i="269"/>
  <c r="B1017" i="269"/>
  <c r="F1016" i="269"/>
  <c r="B1016" i="269"/>
  <c r="B1015" i="269"/>
  <c r="F1014" i="269"/>
  <c r="B1014" i="269"/>
  <c r="F1013"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F996" i="269"/>
  <c r="B996" i="269"/>
  <c r="B995"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F963" i="269"/>
  <c r="B963" i="269"/>
  <c r="B962" i="269"/>
  <c r="F961" i="269"/>
  <c r="B961" i="269"/>
  <c r="B960" i="269"/>
  <c r="F959"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F925" i="269"/>
  <c r="B925" i="269"/>
  <c r="F924" i="269"/>
  <c r="B924" i="269"/>
  <c r="F923" i="269"/>
  <c r="B923" i="269"/>
  <c r="B922" i="269"/>
  <c r="F921" i="269"/>
  <c r="B921" i="269"/>
  <c r="F920" i="269"/>
  <c r="B920" i="269"/>
  <c r="B919" i="269"/>
  <c r="F918" i="269"/>
  <c r="B918" i="269"/>
  <c r="F917" i="269"/>
  <c r="B917" i="269"/>
  <c r="B916" i="269"/>
  <c r="F915" i="269"/>
  <c r="B915" i="269"/>
  <c r="F914" i="269"/>
  <c r="B914" i="269"/>
  <c r="F913"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F847"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F238" i="269"/>
  <c r="B238" i="269"/>
  <c r="B237" i="269"/>
  <c r="B236" i="269"/>
  <c r="B235" i="269"/>
  <c r="F234"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F170" i="269"/>
  <c r="B170" i="269"/>
  <c r="F169" i="269"/>
  <c r="B169" i="269"/>
  <c r="B168" i="269"/>
  <c r="B167" i="269"/>
  <c r="F166"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I99" i="235"/>
  <c r="I101" i="235" s="1"/>
  <c r="G3063" i="324" s="1"/>
  <c r="J99" i="235"/>
  <c r="G3046" i="324" s="1"/>
  <c r="K99" i="235"/>
  <c r="G3047" i="324" s="1"/>
  <c r="L99" i="235"/>
  <c r="G3048" i="324" s="1"/>
  <c r="M99" i="235"/>
  <c r="G3049" i="324" s="1"/>
  <c r="F99" i="235"/>
  <c r="G3042" i="324" s="1"/>
  <c r="N32" i="287"/>
  <c r="N33" i="287"/>
  <c r="R33" i="287"/>
  <c r="R32" i="287"/>
  <c r="R29" i="287"/>
  <c r="Q28" i="287"/>
  <c r="R28" i="287"/>
  <c r="R27" i="287"/>
  <c r="Q26" i="287"/>
  <c r="R26" i="287"/>
  <c r="N26" i="287"/>
  <c r="N27" i="287"/>
  <c r="N28" i="287"/>
  <c r="N29" i="287"/>
  <c r="S29" i="248"/>
  <c r="O29" i="248" s="1"/>
  <c r="S28" i="248"/>
  <c r="R28" i="248"/>
  <c r="O28" i="248" s="1"/>
  <c r="S27" i="248"/>
  <c r="O27" i="248" s="1"/>
  <c r="S26" i="248"/>
  <c r="R26" i="248"/>
  <c r="O26" i="248"/>
  <c r="S23" i="248"/>
  <c r="R22" i="248"/>
  <c r="S22" i="248"/>
  <c r="O22" i="248" s="1"/>
  <c r="S21" i="248"/>
  <c r="O21" i="248" s="1"/>
  <c r="S20" i="248"/>
  <c r="R20" i="248"/>
  <c r="O20" i="248"/>
  <c r="O23" i="248"/>
  <c r="I33" i="235"/>
  <c r="G2118" i="324" s="1"/>
  <c r="O30" i="235"/>
  <c r="G2106" i="324" s="1"/>
  <c r="F30" i="235"/>
  <c r="F34" i="235" s="1"/>
  <c r="N32" i="235"/>
  <c r="W32" i="235"/>
  <c r="W31" i="235"/>
  <c r="N29" i="235"/>
  <c r="N26" i="235"/>
  <c r="G2069" i="324" s="1"/>
  <c r="F33" i="235"/>
  <c r="G2115" i="324" s="1"/>
  <c r="G33" i="235"/>
  <c r="G2116" i="324" s="1"/>
  <c r="H33" i="235"/>
  <c r="G2117" i="324" s="1"/>
  <c r="J33" i="235"/>
  <c r="K33" i="235"/>
  <c r="G2120" i="324" s="1"/>
  <c r="L33" i="235"/>
  <c r="G2121" i="324" s="1"/>
  <c r="M33" i="235"/>
  <c r="G2122" i="324" s="1"/>
  <c r="O33" i="235"/>
  <c r="O34" i="235" s="1"/>
  <c r="G2142" i="324" s="1"/>
  <c r="P33" i="235"/>
  <c r="G2125" i="324" s="1"/>
  <c r="Q33" i="235"/>
  <c r="G2126" i="324" s="1"/>
  <c r="R33" i="235"/>
  <c r="S33" i="235"/>
  <c r="G2128" i="324" s="1"/>
  <c r="T33" i="235"/>
  <c r="T34" i="235" s="1"/>
  <c r="G2147" i="324" s="1"/>
  <c r="U33" i="235"/>
  <c r="V33" i="235"/>
  <c r="G2131" i="324" s="1"/>
  <c r="G30" i="235"/>
  <c r="G34" i="235" s="1"/>
  <c r="G2134" i="324" s="1"/>
  <c r="H30" i="235"/>
  <c r="H34" i="235" s="1"/>
  <c r="G2135" i="324" s="1"/>
  <c r="I30" i="235"/>
  <c r="G2100" i="324" s="1"/>
  <c r="J30" i="235"/>
  <c r="J34" i="235" s="1"/>
  <c r="G2137" i="324" s="1"/>
  <c r="K30" i="235"/>
  <c r="G2102" i="324" s="1"/>
  <c r="L30" i="235"/>
  <c r="G2103" i="324" s="1"/>
  <c r="M30" i="235"/>
  <c r="G2104" i="324" s="1"/>
  <c r="P30" i="235"/>
  <c r="G2107" i="324" s="1"/>
  <c r="Q30" i="235"/>
  <c r="R30" i="235"/>
  <c r="R34" i="235" s="1"/>
  <c r="G2145"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N29" i="313" s="1"/>
  <c r="Q29" i="313"/>
  <c r="P29" i="313"/>
  <c r="R28" i="313"/>
  <c r="N28" i="313" s="1"/>
  <c r="Q28" i="313"/>
  <c r="P28" i="313"/>
  <c r="R27" i="313"/>
  <c r="Q27" i="313"/>
  <c r="P27" i="313"/>
  <c r="N27" i="313" s="1"/>
  <c r="R24" i="313"/>
  <c r="Q24" i="313"/>
  <c r="P24" i="313"/>
  <c r="R22" i="313"/>
  <c r="Q22" i="313"/>
  <c r="P22" i="313"/>
  <c r="R21" i="313"/>
  <c r="Q21" i="313"/>
  <c r="P21" i="313"/>
  <c r="R20" i="313"/>
  <c r="Q20" i="313"/>
  <c r="P20" i="313"/>
  <c r="R17" i="313"/>
  <c r="Q17" i="313"/>
  <c r="N17" i="313" s="1"/>
  <c r="P17" i="313"/>
  <c r="R16" i="313"/>
  <c r="Q16" i="313"/>
  <c r="P16" i="313"/>
  <c r="R14" i="313"/>
  <c r="Q14" i="313"/>
  <c r="P14" i="313"/>
  <c r="R13" i="313"/>
  <c r="N13" i="313" s="1"/>
  <c r="Q13" i="313"/>
  <c r="P13" i="313"/>
  <c r="R10" i="313"/>
  <c r="Q10" i="313"/>
  <c r="P10" i="313"/>
  <c r="R9" i="313"/>
  <c r="Q9" i="313"/>
  <c r="P9" i="313"/>
  <c r="AA13" i="314"/>
  <c r="Z13" i="314"/>
  <c r="Y13" i="314"/>
  <c r="S13" i="314" s="1"/>
  <c r="W13" i="314"/>
  <c r="V13" i="314"/>
  <c r="U13" i="314"/>
  <c r="AA12" i="314"/>
  <c r="Z12" i="314"/>
  <c r="Y12" i="314"/>
  <c r="W12" i="314"/>
  <c r="V12" i="314"/>
  <c r="U12" i="314"/>
  <c r="AA11" i="314"/>
  <c r="Z11" i="314"/>
  <c r="Y11" i="314"/>
  <c r="W11" i="314"/>
  <c r="V11" i="314"/>
  <c r="U11" i="314"/>
  <c r="AA10" i="314"/>
  <c r="Z10" i="314"/>
  <c r="Y10" i="314"/>
  <c r="S10" i="314" s="1"/>
  <c r="W10" i="314"/>
  <c r="V10" i="314"/>
  <c r="U10" i="314"/>
  <c r="AA9" i="314"/>
  <c r="Z9" i="314"/>
  <c r="Y9" i="314"/>
  <c r="S9" i="314" s="1"/>
  <c r="W9" i="314"/>
  <c r="V9" i="314"/>
  <c r="U9" i="314"/>
  <c r="AA8" i="314"/>
  <c r="Z8" i="314"/>
  <c r="Y8" i="314"/>
  <c r="S8" i="314" s="1"/>
  <c r="W8" i="314"/>
  <c r="V8" i="314"/>
  <c r="U8" i="314"/>
  <c r="G26" i="206"/>
  <c r="T26" i="206" s="1"/>
  <c r="L90" i="234"/>
  <c r="Q90" i="234" s="1"/>
  <c r="G1550" i="324" s="1"/>
  <c r="N9" i="313"/>
  <c r="N30" i="313"/>
  <c r="N16" i="313"/>
  <c r="N22" i="313"/>
  <c r="N14" i="313"/>
  <c r="N21" i="313"/>
  <c r="N10" i="313"/>
  <c r="N24" i="313"/>
  <c r="S12"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L13" i="315" s="1"/>
  <c r="E13" i="315"/>
  <c r="G4039" i="324" s="1"/>
  <c r="O11" i="315"/>
  <c r="N11" i="315"/>
  <c r="E11" i="315"/>
  <c r="G4033" i="324" s="1"/>
  <c r="F11" i="206"/>
  <c r="F25" i="206" s="1"/>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c r="N75" i="246"/>
  <c r="L75" i="246" s="1"/>
  <c r="N76" i="246"/>
  <c r="L76" i="246" s="1"/>
  <c r="N77" i="246"/>
  <c r="L77" i="246" s="1"/>
  <c r="N78" i="246"/>
  <c r="L78" i="246" s="1"/>
  <c r="N79" i="246"/>
  <c r="L79" i="246" s="1"/>
  <c r="N80" i="246"/>
  <c r="L80" i="246" s="1"/>
  <c r="N81" i="246"/>
  <c r="L81" i="246" s="1"/>
  <c r="N82" i="246"/>
  <c r="L82" i="246" s="1"/>
  <c r="N73" i="246"/>
  <c r="L73" i="246" s="1"/>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s="1"/>
  <c r="N37" i="246"/>
  <c r="L37" i="246" s="1"/>
  <c r="N45" i="246"/>
  <c r="L45" i="246" s="1"/>
  <c r="N46" i="246"/>
  <c r="L46" i="246"/>
  <c r="N47" i="246"/>
  <c r="L47" i="246" s="1"/>
  <c r="N48" i="246"/>
  <c r="L48" i="246"/>
  <c r="N39" i="246"/>
  <c r="N40" i="246"/>
  <c r="L40" i="246" s="1"/>
  <c r="N41" i="246"/>
  <c r="L41" i="246" s="1"/>
  <c r="N42" i="246"/>
  <c r="L42" i="246" s="1"/>
  <c r="N43" i="246"/>
  <c r="L43" i="246" s="1"/>
  <c r="N69" i="246"/>
  <c r="L69" i="246"/>
  <c r="N55" i="246"/>
  <c r="L55" i="246"/>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H12" i="314"/>
  <c r="G3155" i="324" s="1"/>
  <c r="L12" i="314"/>
  <c r="L13" i="314"/>
  <c r="G3167" i="324" s="1"/>
  <c r="F14" i="314"/>
  <c r="G3169" i="324" s="1"/>
  <c r="G14" i="314"/>
  <c r="G3170" i="324" s="1"/>
  <c r="J14" i="314"/>
  <c r="G3173" i="324" s="1"/>
  <c r="K14" i="314"/>
  <c r="G136" i="231"/>
  <c r="G622" i="324" s="1"/>
  <c r="T136" i="231"/>
  <c r="U136" i="231"/>
  <c r="V136" i="231"/>
  <c r="W136" i="231"/>
  <c r="Y136" i="231"/>
  <c r="R136" i="231" s="1"/>
  <c r="Z136" i="231"/>
  <c r="G147" i="231"/>
  <c r="G636" i="324" s="1"/>
  <c r="T147" i="231"/>
  <c r="U147" i="231"/>
  <c r="V147" i="231"/>
  <c r="W147" i="231"/>
  <c r="Y147" i="231"/>
  <c r="R147" i="231" s="1"/>
  <c r="Z147" i="231"/>
  <c r="AA147" i="231"/>
  <c r="AB147" i="231"/>
  <c r="G148" i="231"/>
  <c r="T148" i="231"/>
  <c r="U148" i="231"/>
  <c r="V148" i="231"/>
  <c r="W148" i="231"/>
  <c r="Y148" i="231"/>
  <c r="Z148" i="231"/>
  <c r="AA148" i="231"/>
  <c r="AB148" i="231"/>
  <c r="G149" i="231"/>
  <c r="G654" i="324" s="1"/>
  <c r="T149" i="231"/>
  <c r="U149" i="231"/>
  <c r="V149" i="231"/>
  <c r="W149" i="231"/>
  <c r="R149" i="231" s="1"/>
  <c r="Y149" i="231"/>
  <c r="Z149" i="231"/>
  <c r="AA149" i="231"/>
  <c r="AB149" i="231"/>
  <c r="G150" i="231"/>
  <c r="T150" i="231"/>
  <c r="U150" i="231"/>
  <c r="V150" i="231"/>
  <c r="R150" i="231" s="1"/>
  <c r="W150" i="231"/>
  <c r="Y150" i="231"/>
  <c r="Z150" i="231"/>
  <c r="AA150" i="231"/>
  <c r="AB150" i="231"/>
  <c r="G151" i="231"/>
  <c r="G672" i="324" s="1"/>
  <c r="T151" i="231"/>
  <c r="U151" i="231"/>
  <c r="R151" i="231" s="1"/>
  <c r="V151" i="231"/>
  <c r="W151" i="231"/>
  <c r="Y151" i="231"/>
  <c r="Z151" i="231"/>
  <c r="AA151" i="231"/>
  <c r="AB151" i="231"/>
  <c r="G152" i="231"/>
  <c r="G681" i="324" s="1"/>
  <c r="T152" i="231"/>
  <c r="R152" i="231" s="1"/>
  <c r="U152" i="231"/>
  <c r="V152" i="231"/>
  <c r="W152" i="231"/>
  <c r="Y152" i="231"/>
  <c r="Z152" i="231"/>
  <c r="AA152" i="231"/>
  <c r="AB152" i="231"/>
  <c r="G153" i="231"/>
  <c r="G690" i="324" s="1"/>
  <c r="T153" i="231"/>
  <c r="U153" i="231"/>
  <c r="V153" i="231"/>
  <c r="W153" i="231"/>
  <c r="Y153" i="231"/>
  <c r="Z153" i="231"/>
  <c r="AA153" i="231"/>
  <c r="AB153" i="231"/>
  <c r="C154" i="231"/>
  <c r="D154" i="231"/>
  <c r="G696" i="324" s="1"/>
  <c r="E154" i="231"/>
  <c r="G697" i="324" s="1"/>
  <c r="F154" i="231"/>
  <c r="H154" i="231"/>
  <c r="G700" i="324" s="1"/>
  <c r="I154" i="231"/>
  <c r="G701" i="324" s="1"/>
  <c r="G157" i="231"/>
  <c r="G706" i="324" s="1"/>
  <c r="T157" i="231"/>
  <c r="U157" i="231"/>
  <c r="V157" i="231"/>
  <c r="W157" i="231"/>
  <c r="Y157" i="231"/>
  <c r="R157" i="231" s="1"/>
  <c r="Z157" i="231"/>
  <c r="G158" i="231"/>
  <c r="G713" i="324" s="1"/>
  <c r="T158" i="231"/>
  <c r="U158" i="231"/>
  <c r="V158" i="231"/>
  <c r="W158" i="231"/>
  <c r="Y158" i="231"/>
  <c r="R158" i="231" s="1"/>
  <c r="Z158" i="231"/>
  <c r="G159" i="231"/>
  <c r="G720" i="324" s="1"/>
  <c r="T159" i="231"/>
  <c r="U159" i="231"/>
  <c r="V159" i="231"/>
  <c r="W159" i="231"/>
  <c r="Y159" i="231"/>
  <c r="Z159" i="231"/>
  <c r="R159" i="231" s="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168" i="231" s="1"/>
  <c r="G769" i="324" s="1"/>
  <c r="D168" i="231"/>
  <c r="G766" i="324" s="1"/>
  <c r="E168" i="231"/>
  <c r="G767" i="324" s="1"/>
  <c r="F168" i="231"/>
  <c r="F183" i="231" s="1"/>
  <c r="G838" i="324" s="1"/>
  <c r="H168" i="231"/>
  <c r="G770" i="324" s="1"/>
  <c r="I168" i="231"/>
  <c r="G771" i="324" s="1"/>
  <c r="G171" i="231"/>
  <c r="T171" i="231"/>
  <c r="U171" i="231"/>
  <c r="V171" i="231"/>
  <c r="W171" i="231"/>
  <c r="Y171" i="231"/>
  <c r="Z171" i="231"/>
  <c r="G172" i="231"/>
  <c r="G783" i="324" s="1"/>
  <c r="T172" i="231"/>
  <c r="U172" i="231"/>
  <c r="V172" i="231"/>
  <c r="W172" i="231"/>
  <c r="Y172" i="231"/>
  <c r="Z172" i="231"/>
  <c r="R172" i="231" s="1"/>
  <c r="G173" i="231"/>
  <c r="G790" i="324" s="1"/>
  <c r="T173" i="231"/>
  <c r="U173" i="231"/>
  <c r="V173" i="231"/>
  <c r="W173" i="231"/>
  <c r="Y173" i="231"/>
  <c r="R173" i="231" s="1"/>
  <c r="Z173" i="231"/>
  <c r="G174" i="231"/>
  <c r="G797" i="324" s="1"/>
  <c r="T174" i="231"/>
  <c r="U174" i="231"/>
  <c r="V174" i="231"/>
  <c r="W174" i="231"/>
  <c r="Y174" i="231"/>
  <c r="Z174" i="231"/>
  <c r="G175" i="231"/>
  <c r="G804" i="324" s="1"/>
  <c r="T175" i="231"/>
  <c r="R175" i="231" s="1"/>
  <c r="U175" i="231"/>
  <c r="V175" i="231"/>
  <c r="W175" i="231"/>
  <c r="Y175" i="231"/>
  <c r="Z175" i="231"/>
  <c r="G176" i="231"/>
  <c r="G811" i="324" s="1"/>
  <c r="T176" i="231"/>
  <c r="U176" i="231"/>
  <c r="R176" i="231" s="1"/>
  <c r="V176" i="231"/>
  <c r="W176" i="231"/>
  <c r="Y176" i="231"/>
  <c r="Z176" i="231"/>
  <c r="G177" i="231"/>
  <c r="T177" i="231"/>
  <c r="R177" i="231" s="1"/>
  <c r="U177" i="231"/>
  <c r="V177" i="231"/>
  <c r="W177" i="231"/>
  <c r="Y177" i="231"/>
  <c r="Z177" i="231"/>
  <c r="C178" i="231"/>
  <c r="D178" i="231"/>
  <c r="G822" i="324" s="1"/>
  <c r="E178" i="231"/>
  <c r="G823" i="324" s="1"/>
  <c r="F178" i="231"/>
  <c r="H178" i="231"/>
  <c r="H183" i="231" s="1"/>
  <c r="G840" i="324" s="1"/>
  <c r="I178" i="231"/>
  <c r="G181" i="231"/>
  <c r="T181" i="231"/>
  <c r="U181" i="231"/>
  <c r="V181" i="231"/>
  <c r="W181" i="231"/>
  <c r="Y181" i="231"/>
  <c r="Z181" i="231"/>
  <c r="G192" i="231"/>
  <c r="G846" i="324" s="1"/>
  <c r="T192" i="231"/>
  <c r="U192" i="231"/>
  <c r="V192" i="231"/>
  <c r="W192" i="231"/>
  <c r="Y192" i="231"/>
  <c r="Z192" i="231"/>
  <c r="AA192" i="231"/>
  <c r="AB192" i="231"/>
  <c r="G193" i="231"/>
  <c r="T193" i="231"/>
  <c r="U193" i="231"/>
  <c r="V193" i="231"/>
  <c r="W193" i="231"/>
  <c r="Y193" i="231"/>
  <c r="R193" i="231" s="1"/>
  <c r="Z193" i="231"/>
  <c r="AA193" i="231"/>
  <c r="AB193" i="231"/>
  <c r="G194" i="231"/>
  <c r="G864" i="324" s="1"/>
  <c r="T194" i="231"/>
  <c r="U194" i="231"/>
  <c r="V194" i="231"/>
  <c r="W194" i="231"/>
  <c r="Y194" i="231"/>
  <c r="Z194" i="231"/>
  <c r="R194" i="231" s="1"/>
  <c r="AA194" i="231"/>
  <c r="AB194" i="231"/>
  <c r="G195" i="231"/>
  <c r="G873" i="324" s="1"/>
  <c r="T195" i="231"/>
  <c r="U195" i="231"/>
  <c r="V195" i="231"/>
  <c r="W195" i="231"/>
  <c r="Y195" i="231"/>
  <c r="R195" i="231" s="1"/>
  <c r="Z195" i="231"/>
  <c r="AA195" i="231"/>
  <c r="AB195" i="231"/>
  <c r="G196" i="231"/>
  <c r="G882" i="324" s="1"/>
  <c r="T196" i="231"/>
  <c r="U196" i="231"/>
  <c r="V196" i="231"/>
  <c r="W196" i="231"/>
  <c r="R196" i="231" s="1"/>
  <c r="Y196" i="231"/>
  <c r="Z196" i="231"/>
  <c r="AA196" i="231"/>
  <c r="AB196" i="231"/>
  <c r="G197" i="231"/>
  <c r="G891" i="324" s="1"/>
  <c r="T197" i="231"/>
  <c r="U197" i="231"/>
  <c r="V197" i="231"/>
  <c r="R197" i="231" s="1"/>
  <c r="W197" i="231"/>
  <c r="Y197" i="231"/>
  <c r="Z197" i="231"/>
  <c r="AA197" i="231"/>
  <c r="AB197" i="231"/>
  <c r="G198" i="231"/>
  <c r="G900" i="324" s="1"/>
  <c r="T198" i="231"/>
  <c r="U198" i="231"/>
  <c r="R198" i="231" s="1"/>
  <c r="V198" i="231"/>
  <c r="W198" i="231"/>
  <c r="Y198" i="231"/>
  <c r="Z198" i="231"/>
  <c r="AA198" i="231"/>
  <c r="AB198" i="231"/>
  <c r="C199" i="231"/>
  <c r="G905" i="324" s="1"/>
  <c r="D199" i="231"/>
  <c r="E199" i="231"/>
  <c r="G907" i="324" s="1"/>
  <c r="F199" i="231"/>
  <c r="G908" i="324" s="1"/>
  <c r="H199" i="231"/>
  <c r="I199" i="231"/>
  <c r="G911" i="324" s="1"/>
  <c r="G202" i="231"/>
  <c r="G916" i="324" s="1"/>
  <c r="T202" i="231"/>
  <c r="U202" i="231"/>
  <c r="V202" i="231"/>
  <c r="W202" i="231"/>
  <c r="Y202" i="231"/>
  <c r="Z202" i="231"/>
  <c r="G203" i="231"/>
  <c r="G923" i="324" s="1"/>
  <c r="T203" i="231"/>
  <c r="U203" i="231"/>
  <c r="V203" i="231"/>
  <c r="W203" i="231"/>
  <c r="Y203" i="231"/>
  <c r="Z203" i="231"/>
  <c r="R203" i="231" s="1"/>
  <c r="G204" i="231"/>
  <c r="G930" i="324" s="1"/>
  <c r="T204" i="231"/>
  <c r="U204" i="231"/>
  <c r="V204" i="231"/>
  <c r="W204" i="231"/>
  <c r="Y204" i="231"/>
  <c r="Z204" i="231"/>
  <c r="G205" i="231"/>
  <c r="G937" i="324" s="1"/>
  <c r="T205" i="231"/>
  <c r="R205" i="231" s="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R209" i="231" s="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G977" i="324" s="1"/>
  <c r="F213" i="231"/>
  <c r="G978" i="324" s="1"/>
  <c r="H213" i="231"/>
  <c r="G980" i="324" s="1"/>
  <c r="I213" i="231"/>
  <c r="G981" i="324" s="1"/>
  <c r="G216" i="231"/>
  <c r="G986" i="324" s="1"/>
  <c r="T216" i="231"/>
  <c r="R216" i="231" s="1"/>
  <c r="U216" i="231"/>
  <c r="V216" i="231"/>
  <c r="W216" i="231"/>
  <c r="Y216" i="231"/>
  <c r="Z216" i="231"/>
  <c r="G217" i="231"/>
  <c r="G993" i="324" s="1"/>
  <c r="T217" i="231"/>
  <c r="U217" i="231"/>
  <c r="V217" i="231"/>
  <c r="W217" i="231"/>
  <c r="Y217" i="231"/>
  <c r="Z217" i="231"/>
  <c r="G218" i="231"/>
  <c r="G1000" i="324" s="1"/>
  <c r="T218" i="231"/>
  <c r="R218" i="231" s="1"/>
  <c r="U218" i="231"/>
  <c r="V218" i="231"/>
  <c r="W218" i="231"/>
  <c r="Y218" i="231"/>
  <c r="Z218" i="231"/>
  <c r="G219" i="231"/>
  <c r="T219" i="231"/>
  <c r="U219" i="231"/>
  <c r="R219" i="231" s="1"/>
  <c r="V219" i="231"/>
  <c r="W219" i="231"/>
  <c r="Y219" i="231"/>
  <c r="Z219" i="231"/>
  <c r="G220" i="231"/>
  <c r="G1014" i="324" s="1"/>
  <c r="T220" i="231"/>
  <c r="U220" i="231"/>
  <c r="V220" i="231"/>
  <c r="W220" i="231"/>
  <c r="Y220" i="231"/>
  <c r="Z220" i="231"/>
  <c r="G221" i="23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223" i="231" s="1"/>
  <c r="G1035" i="324" s="1"/>
  <c r="H223" i="231"/>
  <c r="G1036" i="324" s="1"/>
  <c r="I223" i="231"/>
  <c r="G1037" i="324" s="1"/>
  <c r="G226" i="23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T129" i="231"/>
  <c r="U129" i="231"/>
  <c r="V129" i="231"/>
  <c r="W129" i="231"/>
  <c r="R129" i="231" s="1"/>
  <c r="Y129" i="231"/>
  <c r="Z129" i="231"/>
  <c r="G130" i="231"/>
  <c r="G594" i="324" s="1"/>
  <c r="T130" i="231"/>
  <c r="R130" i="231" s="1"/>
  <c r="U130" i="231"/>
  <c r="V130" i="231"/>
  <c r="W130" i="231"/>
  <c r="Y130" i="231"/>
  <c r="Z130" i="231"/>
  <c r="G131" i="231"/>
  <c r="G601" i="324" s="1"/>
  <c r="T131" i="231"/>
  <c r="U131" i="231"/>
  <c r="V131" i="231"/>
  <c r="W131" i="231"/>
  <c r="Y131" i="231"/>
  <c r="Z131" i="231"/>
  <c r="G132" i="231"/>
  <c r="G608" i="324" s="1"/>
  <c r="T132" i="231"/>
  <c r="U132" i="231"/>
  <c r="R132" i="231" s="1"/>
  <c r="V132" i="231"/>
  <c r="W132" i="231"/>
  <c r="Y132" i="231"/>
  <c r="Z132" i="231"/>
  <c r="C133" i="231"/>
  <c r="G133" i="231" s="1"/>
  <c r="G615" i="324" s="1"/>
  <c r="D133" i="231"/>
  <c r="G612" i="324" s="1"/>
  <c r="E133" i="231"/>
  <c r="G613" i="324" s="1"/>
  <c r="F133" i="231"/>
  <c r="G614" i="324" s="1"/>
  <c r="H133" i="231"/>
  <c r="G616" i="324" s="1"/>
  <c r="I133" i="231"/>
  <c r="G617" i="324" s="1"/>
  <c r="G119" i="231"/>
  <c r="G531" i="324" s="1"/>
  <c r="T119" i="231"/>
  <c r="U119" i="231"/>
  <c r="V119" i="231"/>
  <c r="W119" i="231"/>
  <c r="Y119" i="231"/>
  <c r="Z119" i="231"/>
  <c r="G120" i="231"/>
  <c r="T120" i="231"/>
  <c r="U120" i="231"/>
  <c r="V120" i="231"/>
  <c r="R120" i="231" s="1"/>
  <c r="W120" i="231"/>
  <c r="Y120" i="231"/>
  <c r="Z120" i="231"/>
  <c r="G121" i="231"/>
  <c r="G545" i="324" s="1"/>
  <c r="T121" i="231"/>
  <c r="U121" i="231"/>
  <c r="V121" i="231"/>
  <c r="W121" i="231"/>
  <c r="Y121" i="231"/>
  <c r="R121" i="231" s="1"/>
  <c r="Z121" i="231"/>
  <c r="G122" i="231"/>
  <c r="T122" i="231"/>
  <c r="U122" i="231"/>
  <c r="V122" i="231"/>
  <c r="W122" i="231"/>
  <c r="Y122" i="231"/>
  <c r="R122" i="231" s="1"/>
  <c r="Z122" i="231"/>
  <c r="C123" i="231"/>
  <c r="G123" i="231" s="1"/>
  <c r="G559" i="324" s="1"/>
  <c r="D123" i="231"/>
  <c r="G556" i="324" s="1"/>
  <c r="E123" i="231"/>
  <c r="G557" i="324" s="1"/>
  <c r="F123" i="231"/>
  <c r="G558" i="324" s="1"/>
  <c r="H123" i="231"/>
  <c r="G560" i="324" s="1"/>
  <c r="I123" i="231"/>
  <c r="G561" i="324" s="1"/>
  <c r="G112" i="231"/>
  <c r="G496" i="324" s="1"/>
  <c r="T112" i="231"/>
  <c r="U112" i="231"/>
  <c r="V112" i="231"/>
  <c r="W112" i="231"/>
  <c r="Y112" i="231"/>
  <c r="Z112" i="231"/>
  <c r="R112" i="231" s="1"/>
  <c r="G113" i="231"/>
  <c r="G503" i="324" s="1"/>
  <c r="T113" i="231"/>
  <c r="R113" i="231" s="1"/>
  <c r="U113" i="231"/>
  <c r="V113" i="231"/>
  <c r="W113" i="231"/>
  <c r="Y113" i="231"/>
  <c r="Z113" i="231"/>
  <c r="G114" i="231"/>
  <c r="G510" i="324" s="1"/>
  <c r="T114" i="231"/>
  <c r="U114" i="231"/>
  <c r="R114" i="231" s="1"/>
  <c r="V114" i="231"/>
  <c r="W114" i="231"/>
  <c r="Y114" i="231"/>
  <c r="Z114" i="231"/>
  <c r="G115" i="231"/>
  <c r="G517" i="324" s="1"/>
  <c r="T115" i="231"/>
  <c r="U115" i="231"/>
  <c r="V115" i="231"/>
  <c r="W115" i="231"/>
  <c r="Y115" i="231"/>
  <c r="Z115" i="231"/>
  <c r="C116" i="231"/>
  <c r="G520" i="324" s="1"/>
  <c r="D116" i="231"/>
  <c r="G521" i="324" s="1"/>
  <c r="E116" i="231"/>
  <c r="F116" i="231"/>
  <c r="G523" i="324" s="1"/>
  <c r="H116" i="23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R103" i="231" s="1"/>
  <c r="AB103" i="231"/>
  <c r="G104" i="231"/>
  <c r="G444" i="324" s="1"/>
  <c r="T104" i="231"/>
  <c r="U104" i="231"/>
  <c r="V104" i="231"/>
  <c r="W104" i="231"/>
  <c r="Y104" i="231"/>
  <c r="Z104" i="231"/>
  <c r="R104" i="231" s="1"/>
  <c r="AA104" i="231"/>
  <c r="AB104" i="231"/>
  <c r="G105" i="231"/>
  <c r="T105" i="231"/>
  <c r="U105" i="231"/>
  <c r="V105" i="231"/>
  <c r="W105" i="231"/>
  <c r="Y105" i="231"/>
  <c r="R105" i="231" s="1"/>
  <c r="Z105" i="231"/>
  <c r="AA105" i="231"/>
  <c r="AB105" i="231"/>
  <c r="G106" i="231"/>
  <c r="G462" i="324" s="1"/>
  <c r="T106" i="231"/>
  <c r="U106" i="231"/>
  <c r="V106" i="231"/>
  <c r="W106" i="231"/>
  <c r="Y106" i="231"/>
  <c r="Z106" i="231"/>
  <c r="AA106" i="231"/>
  <c r="AB106" i="231"/>
  <c r="G107" i="231"/>
  <c r="G471" i="324" s="1"/>
  <c r="T107" i="231"/>
  <c r="U107" i="231"/>
  <c r="V107" i="231"/>
  <c r="W107" i="231"/>
  <c r="R107" i="231" s="1"/>
  <c r="Y107" i="231"/>
  <c r="Z107" i="231"/>
  <c r="AA107" i="231"/>
  <c r="AB107" i="231"/>
  <c r="G108" i="231"/>
  <c r="G480" i="324" s="1"/>
  <c r="T108" i="231"/>
  <c r="U108" i="231"/>
  <c r="V108" i="231"/>
  <c r="R108" i="231" s="1"/>
  <c r="W108" i="231"/>
  <c r="Y108" i="231"/>
  <c r="Z108" i="231"/>
  <c r="AA108" i="231"/>
  <c r="AB108" i="231"/>
  <c r="C109" i="231"/>
  <c r="D109" i="231"/>
  <c r="G486" i="324" s="1"/>
  <c r="E109" i="231"/>
  <c r="G109" i="231" s="1"/>
  <c r="G489" i="324" s="1"/>
  <c r="F109" i="231"/>
  <c r="G488" i="324" s="1"/>
  <c r="H109" i="231"/>
  <c r="G490" i="324" s="1"/>
  <c r="I109" i="231"/>
  <c r="G491" i="324" s="1"/>
  <c r="G91" i="231"/>
  <c r="G412" i="324" s="1"/>
  <c r="T91" i="231"/>
  <c r="U91" i="231"/>
  <c r="V91" i="231"/>
  <c r="W91" i="231"/>
  <c r="Y91" i="231"/>
  <c r="Z91" i="231"/>
  <c r="R91" i="231" s="1"/>
  <c r="G81" i="231"/>
  <c r="G356" i="324" s="1"/>
  <c r="T81" i="231"/>
  <c r="R81" i="231" s="1"/>
  <c r="U81" i="231"/>
  <c r="V81" i="231"/>
  <c r="W81" i="231"/>
  <c r="Y81" i="231"/>
  <c r="Z81" i="231"/>
  <c r="G82" i="231"/>
  <c r="G363" i="324" s="1"/>
  <c r="T82" i="231"/>
  <c r="U82" i="231"/>
  <c r="V82" i="231"/>
  <c r="W82" i="231"/>
  <c r="Y82" i="231"/>
  <c r="Z82" i="231"/>
  <c r="G83" i="231"/>
  <c r="T83" i="231"/>
  <c r="U83" i="231"/>
  <c r="V83" i="231"/>
  <c r="W83" i="231"/>
  <c r="Y83" i="231"/>
  <c r="Z83" i="231"/>
  <c r="R83" i="231" s="1"/>
  <c r="G84" i="231"/>
  <c r="G377" i="324" s="1"/>
  <c r="T84" i="231"/>
  <c r="U84" i="231"/>
  <c r="V84" i="231"/>
  <c r="W84" i="231"/>
  <c r="Y84" i="231"/>
  <c r="Z84" i="231"/>
  <c r="G85" i="231"/>
  <c r="G384" i="324" s="1"/>
  <c r="T85" i="231"/>
  <c r="U85" i="231"/>
  <c r="V85" i="231"/>
  <c r="W85" i="231"/>
  <c r="Y85" i="231"/>
  <c r="R85" i="231" s="1"/>
  <c r="Z85" i="231"/>
  <c r="G86" i="231"/>
  <c r="G391" i="324" s="1"/>
  <c r="T86" i="231"/>
  <c r="U86" i="231"/>
  <c r="V86" i="231"/>
  <c r="W86" i="231"/>
  <c r="Y86" i="231"/>
  <c r="Z86" i="231"/>
  <c r="R86" i="231" s="1"/>
  <c r="G87" i="231"/>
  <c r="G398" i="324" s="1"/>
  <c r="T87" i="231"/>
  <c r="U87" i="231"/>
  <c r="V87" i="231"/>
  <c r="W87" i="231"/>
  <c r="Y87" i="231"/>
  <c r="Z87" i="231"/>
  <c r="C88" i="231"/>
  <c r="C93" i="231" s="1"/>
  <c r="D88" i="231"/>
  <c r="E88" i="231"/>
  <c r="G403" i="324" s="1"/>
  <c r="F88" i="231"/>
  <c r="G404" i="324" s="1"/>
  <c r="H88" i="231"/>
  <c r="G406" i="324" s="1"/>
  <c r="I88" i="231"/>
  <c r="G407" i="324" s="1"/>
  <c r="G74" i="231"/>
  <c r="G321" i="324" s="1"/>
  <c r="T74" i="231"/>
  <c r="U74" i="231"/>
  <c r="V74" i="231"/>
  <c r="W74" i="231"/>
  <c r="Y74" i="231"/>
  <c r="Z74" i="231"/>
  <c r="G75" i="231"/>
  <c r="T75" i="231"/>
  <c r="U75" i="231"/>
  <c r="V75" i="231"/>
  <c r="W75" i="231"/>
  <c r="Y75" i="231"/>
  <c r="Z75" i="231"/>
  <c r="G76" i="231"/>
  <c r="G335" i="324" s="1"/>
  <c r="T76" i="231"/>
  <c r="U76" i="231"/>
  <c r="V76" i="231"/>
  <c r="W76" i="231"/>
  <c r="Y76" i="231"/>
  <c r="Z76" i="231"/>
  <c r="G77" i="231"/>
  <c r="G342" i="324" s="1"/>
  <c r="T77" i="231"/>
  <c r="R77" i="231" s="1"/>
  <c r="U77" i="231"/>
  <c r="V77" i="231"/>
  <c r="W77" i="231"/>
  <c r="Y77" i="231"/>
  <c r="Z77" i="231"/>
  <c r="D78" i="231"/>
  <c r="G346" i="324" s="1"/>
  <c r="E78" i="231"/>
  <c r="G347" i="324" s="1"/>
  <c r="F78" i="231"/>
  <c r="G348" i="324" s="1"/>
  <c r="H78" i="231"/>
  <c r="G350" i="324" s="1"/>
  <c r="I78" i="231"/>
  <c r="G351" i="324" s="1"/>
  <c r="T67" i="231"/>
  <c r="U67" i="231"/>
  <c r="V67" i="231"/>
  <c r="W67" i="231"/>
  <c r="Y67" i="231"/>
  <c r="Z67" i="231"/>
  <c r="R67" i="231" s="1"/>
  <c r="G68" i="231"/>
  <c r="T68" i="231"/>
  <c r="U68" i="231"/>
  <c r="V68" i="231"/>
  <c r="W68" i="231"/>
  <c r="Y68" i="231"/>
  <c r="Z68" i="231"/>
  <c r="G69" i="231"/>
  <c r="G300" i="324" s="1"/>
  <c r="T69" i="231"/>
  <c r="U69" i="231"/>
  <c r="V69" i="231"/>
  <c r="W69" i="231"/>
  <c r="Y69" i="231"/>
  <c r="Z69" i="231"/>
  <c r="G70" i="231"/>
  <c r="G307" i="324" s="1"/>
  <c r="T70" i="231"/>
  <c r="R70" i="231" s="1"/>
  <c r="U70" i="231"/>
  <c r="V70" i="231"/>
  <c r="W70" i="231"/>
  <c r="Y70" i="231"/>
  <c r="Z70" i="231"/>
  <c r="D71" i="231"/>
  <c r="G311" i="324" s="1"/>
  <c r="E71" i="231"/>
  <c r="G71" i="231" s="1"/>
  <c r="G314" i="324" s="1"/>
  <c r="F71" i="231"/>
  <c r="G313" i="324" s="1"/>
  <c r="I71" i="231"/>
  <c r="G316" i="324" s="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R61" i="231" s="1"/>
  <c r="AA61" i="231"/>
  <c r="AB61" i="231"/>
  <c r="G62" i="231"/>
  <c r="T62" i="231"/>
  <c r="U62" i="231"/>
  <c r="V62" i="231"/>
  <c r="W62" i="231"/>
  <c r="Y62" i="231"/>
  <c r="Z62" i="231"/>
  <c r="AA62" i="231"/>
  <c r="AB62" i="231"/>
  <c r="G63" i="231"/>
  <c r="T63" i="231"/>
  <c r="U63" i="231"/>
  <c r="R63" i="231" s="1"/>
  <c r="V63" i="231"/>
  <c r="W63" i="231"/>
  <c r="Y63" i="231"/>
  <c r="Z63" i="231"/>
  <c r="AA63" i="231"/>
  <c r="AB63" i="231"/>
  <c r="D64" i="231"/>
  <c r="G276" i="324" s="1"/>
  <c r="E64" i="231"/>
  <c r="F64" i="231"/>
  <c r="H64" i="231"/>
  <c r="H93" i="231" s="1"/>
  <c r="G420" i="324" s="1"/>
  <c r="I64" i="231"/>
  <c r="G281" i="324" s="1"/>
  <c r="G11" i="206"/>
  <c r="G25" i="206" s="1"/>
  <c r="H11" i="206"/>
  <c r="H25" i="206" s="1"/>
  <c r="J72" i="234"/>
  <c r="K72" i="234" s="1"/>
  <c r="K71" i="234"/>
  <c r="K70" i="234"/>
  <c r="J69" i="234"/>
  <c r="G1406" i="324" s="1"/>
  <c r="AG68" i="234"/>
  <c r="AA68" i="234" s="1"/>
  <c r="K68" i="234"/>
  <c r="AT67" i="234"/>
  <c r="AG67" i="234"/>
  <c r="AA67" i="234" s="1"/>
  <c r="K67" i="234"/>
  <c r="G1403" i="324" s="1"/>
  <c r="K61" i="234"/>
  <c r="G1228" i="324" s="1"/>
  <c r="K62" i="234"/>
  <c r="G1240" i="324" s="1"/>
  <c r="J63" i="234"/>
  <c r="G1394" i="324" s="1"/>
  <c r="K64" i="234"/>
  <c r="G1397" i="324" s="1"/>
  <c r="K65" i="234"/>
  <c r="J66" i="234"/>
  <c r="G1400" i="324" s="1"/>
  <c r="G199" i="231"/>
  <c r="G909" i="324" s="1"/>
  <c r="R211" i="231"/>
  <c r="R212" i="231"/>
  <c r="G178" i="231"/>
  <c r="G825" i="324" s="1"/>
  <c r="R210" i="231"/>
  <c r="R202" i="231"/>
  <c r="R192" i="231"/>
  <c r="R165" i="231"/>
  <c r="R160" i="231"/>
  <c r="R166" i="231"/>
  <c r="G161" i="231"/>
  <c r="G734" i="324" s="1"/>
  <c r="R148" i="231"/>
  <c r="R204" i="231"/>
  <c r="I228" i="231"/>
  <c r="G1051" i="324" s="1"/>
  <c r="H228" i="231"/>
  <c r="G1050" i="324" s="1"/>
  <c r="I183" i="231"/>
  <c r="G841" i="324" s="1"/>
  <c r="I138" i="231"/>
  <c r="G631" i="324" s="1"/>
  <c r="E138" i="231"/>
  <c r="G627" i="324" s="1"/>
  <c r="R115" i="231"/>
  <c r="R106" i="231"/>
  <c r="R131" i="231"/>
  <c r="G116" i="231"/>
  <c r="G524" i="324" s="1"/>
  <c r="R69" i="231"/>
  <c r="D93" i="231"/>
  <c r="G416" i="324" s="1"/>
  <c r="R74" i="231"/>
  <c r="I93" i="231"/>
  <c r="G421" i="324" s="1"/>
  <c r="R75" i="231"/>
  <c r="R87" i="231"/>
  <c r="R76" i="231"/>
  <c r="G64" i="231"/>
  <c r="G279" i="324" s="1"/>
  <c r="R68" i="231"/>
  <c r="H14" i="314"/>
  <c r="G3171" i="324" s="1"/>
  <c r="S14" i="314"/>
  <c r="S12" i="248"/>
  <c r="R12" i="248"/>
  <c r="Q12" i="248"/>
  <c r="O12" i="248" s="1"/>
  <c r="M46" i="245"/>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G1660" i="324" s="1"/>
  <c r="F106" i="234"/>
  <c r="G1656" i="324" s="1"/>
  <c r="K97" i="234"/>
  <c r="G1598" i="324" s="1"/>
  <c r="K98" i="234"/>
  <c r="G1604" i="324" s="1"/>
  <c r="K100" i="234"/>
  <c r="K101" i="234"/>
  <c r="G1625" i="324" s="1"/>
  <c r="J102" i="234"/>
  <c r="G1630" i="324" s="1"/>
  <c r="I102" i="234"/>
  <c r="K102" i="234" s="1"/>
  <c r="G1631" i="324" s="1"/>
  <c r="H102" i="234"/>
  <c r="G1628" i="324" s="1"/>
  <c r="G102" i="234"/>
  <c r="F102" i="234"/>
  <c r="G1626" i="324" s="1"/>
  <c r="G99" i="234"/>
  <c r="G1606" i="324" s="1"/>
  <c r="H99" i="234"/>
  <c r="G1607" i="324" s="1"/>
  <c r="I99" i="234"/>
  <c r="G1608" i="324" s="1"/>
  <c r="J99" i="234"/>
  <c r="G1609" i="324" s="1"/>
  <c r="F99" i="234"/>
  <c r="K99" i="234"/>
  <c r="G1610" i="324" s="1"/>
  <c r="F84" i="234"/>
  <c r="G1470" i="324" s="1"/>
  <c r="F89" i="234"/>
  <c r="G1527" i="324" s="1"/>
  <c r="F88" i="234"/>
  <c r="F90" i="234" s="1"/>
  <c r="F87" i="234"/>
  <c r="G89" i="234"/>
  <c r="G1528" i="324" s="1"/>
  <c r="H89" i="234"/>
  <c r="G1529" i="324" s="1"/>
  <c r="I89" i="234"/>
  <c r="G1530" i="324" s="1"/>
  <c r="J89" i="234"/>
  <c r="J129" i="234" s="1"/>
  <c r="G1828" i="324" s="1"/>
  <c r="G88" i="234"/>
  <c r="G1516" i="324" s="1"/>
  <c r="H88" i="234"/>
  <c r="G1517" i="324" s="1"/>
  <c r="I88" i="234"/>
  <c r="J88" i="234"/>
  <c r="AQ84" i="234"/>
  <c r="AP84" i="234"/>
  <c r="AO84" i="234"/>
  <c r="P84" i="234"/>
  <c r="G1408" i="324" s="1"/>
  <c r="O84" i="234"/>
  <c r="G1479" i="324" s="1"/>
  <c r="N84" i="234"/>
  <c r="G1478" i="324" s="1"/>
  <c r="M84" i="234"/>
  <c r="G1477" i="324" s="1"/>
  <c r="J84" i="234"/>
  <c r="G1474" i="324" s="1"/>
  <c r="I84" i="234"/>
  <c r="G1473" i="324" s="1"/>
  <c r="H84" i="234"/>
  <c r="G1472" i="324" s="1"/>
  <c r="G84" i="234"/>
  <c r="G1471" i="324" s="1"/>
  <c r="AG83" i="234"/>
  <c r="AF83" i="234"/>
  <c r="AE83" i="234"/>
  <c r="AD83" i="234"/>
  <c r="AC83" i="234"/>
  <c r="AA83" i="234" s="1"/>
  <c r="Q83" i="234"/>
  <c r="K83" i="234"/>
  <c r="G1463" i="324" s="1"/>
  <c r="AG82" i="234"/>
  <c r="AF82" i="234"/>
  <c r="AE82" i="234"/>
  <c r="AA82" i="234"/>
  <c r="AD82" i="234"/>
  <c r="AC82" i="234"/>
  <c r="Q82" i="234"/>
  <c r="K82" i="234"/>
  <c r="G1451" i="324" s="1"/>
  <c r="K85" i="234"/>
  <c r="G1488" i="324" s="1"/>
  <c r="Q85" i="234"/>
  <c r="G1411" i="324" s="1"/>
  <c r="AC85" i="234"/>
  <c r="AA85" i="234" s="1"/>
  <c r="AD85" i="234"/>
  <c r="AE85" i="234"/>
  <c r="AF85" i="234"/>
  <c r="AG85" i="234"/>
  <c r="Q86" i="234"/>
  <c r="G1413" i="324" s="1"/>
  <c r="AC86" i="234"/>
  <c r="AD86" i="234"/>
  <c r="AE86" i="234"/>
  <c r="AF86" i="234"/>
  <c r="AG86" i="234"/>
  <c r="AA86" i="234" s="1"/>
  <c r="G87" i="234"/>
  <c r="G1504" i="324" s="1"/>
  <c r="H87" i="234"/>
  <c r="G1505" i="324" s="1"/>
  <c r="I87" i="234"/>
  <c r="G1506" i="324" s="1"/>
  <c r="J87" i="234"/>
  <c r="G1507" i="324" s="1"/>
  <c r="L87" i="234"/>
  <c r="G1509" i="324" s="1"/>
  <c r="M87" i="234"/>
  <c r="N87" i="234"/>
  <c r="G1511" i="324" s="1"/>
  <c r="O87" i="234"/>
  <c r="G1512" i="324" s="1"/>
  <c r="P87" i="234"/>
  <c r="G1513" i="324" s="1"/>
  <c r="AO87" i="234"/>
  <c r="AA87" i="234" s="1"/>
  <c r="AP87" i="234"/>
  <c r="AQ87" i="234"/>
  <c r="AQ105" i="234"/>
  <c r="AP105" i="234"/>
  <c r="AO105" i="234"/>
  <c r="AA105" i="234"/>
  <c r="J105" i="234"/>
  <c r="G1651" i="324" s="1"/>
  <c r="I105" i="234"/>
  <c r="G1650" i="324" s="1"/>
  <c r="H105" i="234"/>
  <c r="K105" i="234" s="1"/>
  <c r="G1652" i="324" s="1"/>
  <c r="G105" i="234"/>
  <c r="G1648" i="324" s="1"/>
  <c r="F105" i="234"/>
  <c r="AG104" i="234"/>
  <c r="AF104" i="234"/>
  <c r="AE104" i="234"/>
  <c r="AD104" i="234"/>
  <c r="AC104" i="234"/>
  <c r="AA104" i="234" s="1"/>
  <c r="K104" i="234"/>
  <c r="G1646" i="324" s="1"/>
  <c r="AG103" i="234"/>
  <c r="AF103" i="234"/>
  <c r="AE103" i="234"/>
  <c r="AD103" i="234"/>
  <c r="AC103" i="234"/>
  <c r="AA103" i="234"/>
  <c r="K103" i="234"/>
  <c r="G1640" i="324" s="1"/>
  <c r="Q88" i="234"/>
  <c r="G1526" i="324" s="1"/>
  <c r="Q89" i="234"/>
  <c r="G1538" i="324" s="1"/>
  <c r="AE89" i="234"/>
  <c r="M90" i="234"/>
  <c r="G1546" i="324" s="1"/>
  <c r="N90" i="234"/>
  <c r="G1547" i="324" s="1"/>
  <c r="O90" i="234"/>
  <c r="G1548" i="324" s="1"/>
  <c r="P90" i="234"/>
  <c r="AO90" i="234"/>
  <c r="AA90" i="234" s="1"/>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W37" i="235" s="1"/>
  <c r="G2207" i="324" s="1"/>
  <c r="Y56" i="235"/>
  <c r="G2482" i="324" s="1"/>
  <c r="Z56" i="235"/>
  <c r="G2483" i="324" s="1"/>
  <c r="F27" i="235"/>
  <c r="G2079" i="324" s="1"/>
  <c r="W28" i="235"/>
  <c r="N31" i="235"/>
  <c r="N28" i="235"/>
  <c r="W26" i="235"/>
  <c r="G2078" i="324" s="1"/>
  <c r="V27" i="235"/>
  <c r="G2095" i="324" s="1"/>
  <c r="U27" i="235"/>
  <c r="G2094" i="324" s="1"/>
  <c r="T27" i="235"/>
  <c r="G2093" i="324" s="1"/>
  <c r="S27" i="235"/>
  <c r="R27" i="235"/>
  <c r="G2091" i="324" s="1"/>
  <c r="Q27" i="235"/>
  <c r="G2090" i="324" s="1"/>
  <c r="P27" i="235"/>
  <c r="G2089" i="324" s="1"/>
  <c r="O27" i="235"/>
  <c r="G2088" i="324" s="1"/>
  <c r="M27" i="235"/>
  <c r="G2086" i="324" s="1"/>
  <c r="L27" i="235"/>
  <c r="G2085" i="324" s="1"/>
  <c r="K27" i="235"/>
  <c r="G2084" i="324" s="1"/>
  <c r="J27" i="235"/>
  <c r="G2083" i="324" s="1"/>
  <c r="I27" i="235"/>
  <c r="H27" i="235"/>
  <c r="G2081" i="324" s="1"/>
  <c r="G27" i="235"/>
  <c r="G2080" i="324" s="1"/>
  <c r="W25" i="235"/>
  <c r="G2060" i="324" s="1"/>
  <c r="N25" i="235"/>
  <c r="G2051" i="324" s="1"/>
  <c r="D40" i="261"/>
  <c r="P27" i="234"/>
  <c r="G1191" i="324" s="1"/>
  <c r="O27" i="234"/>
  <c r="G1190" i="324" s="1"/>
  <c r="N27" i="234"/>
  <c r="G1189" i="324" s="1"/>
  <c r="M27" i="234"/>
  <c r="G1188" i="324" s="1"/>
  <c r="L27" i="234"/>
  <c r="G1187" i="324" s="1"/>
  <c r="Q26" i="234"/>
  <c r="G1180" i="324" s="1"/>
  <c r="Q25" i="234"/>
  <c r="G1168" i="324" s="1"/>
  <c r="Q31" i="234"/>
  <c r="G1216" i="324" s="1"/>
  <c r="Q32" i="234"/>
  <c r="L33" i="234"/>
  <c r="Q33" i="234" s="1"/>
  <c r="P33" i="234"/>
  <c r="O33" i="234"/>
  <c r="G1238" i="324" s="1"/>
  <c r="N33" i="234"/>
  <c r="G1237" i="324" s="1"/>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G3114" i="324" s="1"/>
  <c r="F22" i="238"/>
  <c r="G3109" i="324" s="1"/>
  <c r="G22" i="238"/>
  <c r="S22" i="238" s="1"/>
  <c r="O22" i="238" s="1"/>
  <c r="Q22" i="238"/>
  <c r="F21" i="238"/>
  <c r="R21" i="238" s="1"/>
  <c r="G21" i="238"/>
  <c r="G3106" i="324" s="1"/>
  <c r="Q23" i="238"/>
  <c r="G11" i="238"/>
  <c r="G3086" i="324" s="1"/>
  <c r="F11" i="238"/>
  <c r="G3085" i="324" s="1"/>
  <c r="E11" i="238"/>
  <c r="G3084" i="324" s="1"/>
  <c r="H11" i="238"/>
  <c r="G3087" i="324" s="1"/>
  <c r="S10" i="238"/>
  <c r="R10" i="238"/>
  <c r="Q10" i="238"/>
  <c r="O10" i="238" s="1"/>
  <c r="H10" i="238"/>
  <c r="G3083" i="324" s="1"/>
  <c r="S9" i="238"/>
  <c r="R9" i="238"/>
  <c r="Q9" i="238"/>
  <c r="H9" i="238"/>
  <c r="G3079" i="324" s="1"/>
  <c r="S8" i="238"/>
  <c r="R8" i="238"/>
  <c r="Q8" i="238"/>
  <c r="H8" i="238"/>
  <c r="G3075" i="324" s="1"/>
  <c r="G18" i="238"/>
  <c r="G3102" i="324" s="1"/>
  <c r="F18" i="238"/>
  <c r="E18" i="238"/>
  <c r="G3100" i="324" s="1"/>
  <c r="S17" i="238"/>
  <c r="O17" i="238" s="1"/>
  <c r="R17" i="238"/>
  <c r="Q17" i="238"/>
  <c r="H17" i="238"/>
  <c r="G3099" i="324" s="1"/>
  <c r="S16" i="238"/>
  <c r="R16" i="238"/>
  <c r="O16" i="238" s="1"/>
  <c r="Q16" i="238"/>
  <c r="H16" i="238"/>
  <c r="G3095" i="324" s="1"/>
  <c r="S15" i="238"/>
  <c r="O15" i="238" s="1"/>
  <c r="R15" i="238"/>
  <c r="Q15" i="238"/>
  <c r="H15" i="238"/>
  <c r="G3091" i="324" s="1"/>
  <c r="S21" i="238"/>
  <c r="R22"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J90" i="234"/>
  <c r="G1543" i="324" s="1"/>
  <c r="F108" i="234"/>
  <c r="G1668" i="324" s="1"/>
  <c r="AG88" i="234"/>
  <c r="AE88" i="234"/>
  <c r="AF88" i="234"/>
  <c r="AA84" i="234"/>
  <c r="O8" i="238"/>
  <c r="O9" i="238"/>
  <c r="N13" i="305"/>
  <c r="H13" i="305"/>
  <c r="I19" i="231"/>
  <c r="G71" i="324" s="1"/>
  <c r="H19" i="231"/>
  <c r="G70" i="324" s="1"/>
  <c r="F19" i="231"/>
  <c r="G68" i="324" s="1"/>
  <c r="E19" i="231"/>
  <c r="G67" i="324" s="1"/>
  <c r="D19" i="231"/>
  <c r="G66" i="324" s="1"/>
  <c r="I23" i="237"/>
  <c r="F999" i="269" s="1"/>
  <c r="H23" i="237"/>
  <c r="F998" i="269" s="1"/>
  <c r="G23" i="237"/>
  <c r="J23" i="237" s="1"/>
  <c r="F1000" i="269" s="1"/>
  <c r="F23" i="237"/>
  <c r="E23" i="237"/>
  <c r="F995" i="269" s="1"/>
  <c r="I15" i="237"/>
  <c r="H15" i="237"/>
  <c r="F962" i="269" s="1"/>
  <c r="G15" i="237"/>
  <c r="F15" i="237"/>
  <c r="J15" i="237" s="1"/>
  <c r="E15" i="237"/>
  <c r="E14" i="230"/>
  <c r="F601" i="269" s="1"/>
  <c r="G19" i="231"/>
  <c r="G69" i="324" s="1"/>
  <c r="N25" i="242"/>
  <c r="L25" i="242" s="1"/>
  <c r="AZ46" i="305"/>
  <c r="AT46" i="305"/>
  <c r="AZ45" i="305"/>
  <c r="AT45" i="305"/>
  <c r="AX38" i="305"/>
  <c r="AW38" i="305"/>
  <c r="AR38" i="305"/>
  <c r="AQ38" i="305"/>
  <c r="F21" i="220"/>
  <c r="F862" i="268" s="1"/>
  <c r="F22" i="220"/>
  <c r="F20" i="220"/>
  <c r="G19" i="202"/>
  <c r="I19" i="202" s="1"/>
  <c r="F59" i="299" s="1"/>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I38" i="284" s="1"/>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I30" i="284" s="1"/>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I22" i="284" s="1"/>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I14" i="284" s="1"/>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N22" i="251" s="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N17" i="251" s="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N16" i="251" s="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N15" i="251" s="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N14" i="251" s="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N13" i="251" s="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AL49" i="285" s="1"/>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AL42" i="285" s="1"/>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AL61" i="285" s="1"/>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AL57" i="285" s="1"/>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AL45" i="285" s="1"/>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AL41" i="285" s="1"/>
  <c r="BA41" i="285"/>
  <c r="AZ41" i="285"/>
  <c r="AY41" i="285"/>
  <c r="AX41" i="285"/>
  <c r="AW41" i="285"/>
  <c r="BB40" i="285"/>
  <c r="BA40" i="285"/>
  <c r="AZ40" i="285"/>
  <c r="AL40" i="285" s="1"/>
  <c r="AY40" i="285"/>
  <c r="AX40" i="285"/>
  <c r="AW40" i="285"/>
  <c r="BB39" i="285"/>
  <c r="BA39" i="285"/>
  <c r="AZ39" i="285"/>
  <c r="AY39" i="285"/>
  <c r="AX39" i="285"/>
  <c r="AW39" i="285"/>
  <c r="BB38" i="285"/>
  <c r="BA38" i="285"/>
  <c r="AZ38" i="285"/>
  <c r="AY38" i="285"/>
  <c r="AX38" i="285"/>
  <c r="AW38" i="285"/>
  <c r="BB37" i="285"/>
  <c r="AL37" i="285" s="1"/>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AL33" i="285" s="1"/>
  <c r="BA33" i="285"/>
  <c r="AZ33" i="285"/>
  <c r="AY33" i="285"/>
  <c r="AX33" i="285"/>
  <c r="AW33" i="285"/>
  <c r="BB32" i="285"/>
  <c r="BA32" i="285"/>
  <c r="AZ32" i="285"/>
  <c r="AY32" i="285"/>
  <c r="AX32" i="285"/>
  <c r="AW32" i="285"/>
  <c r="BB31" i="285"/>
  <c r="BA31" i="285"/>
  <c r="AZ31" i="285"/>
  <c r="AY31" i="285"/>
  <c r="AX31" i="285"/>
  <c r="AL31" i="285" s="1"/>
  <c r="AW31" i="285"/>
  <c r="BB30" i="285"/>
  <c r="BA30" i="285"/>
  <c r="AZ30" i="285"/>
  <c r="AY30" i="285"/>
  <c r="AX30" i="285"/>
  <c r="AW30" i="285"/>
  <c r="BB29" i="285"/>
  <c r="AL29" i="285" s="1"/>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3830" i="324" s="1"/>
  <c r="G26" i="261"/>
  <c r="G3840" i="324" s="1"/>
  <c r="J26" i="261"/>
  <c r="G3843" i="324" s="1"/>
  <c r="G27" i="261"/>
  <c r="G3853" i="324" s="1"/>
  <c r="J27" i="261"/>
  <c r="G3856" i="324" s="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F901" i="268" s="1"/>
  <c r="L11" i="221"/>
  <c r="F909" i="268" s="1"/>
  <c r="L12" i="221"/>
  <c r="F917" i="268" s="1"/>
  <c r="E13" i="221"/>
  <c r="F13" i="221"/>
  <c r="G13" i="221"/>
  <c r="H13" i="221"/>
  <c r="I13" i="221"/>
  <c r="J13" i="221"/>
  <c r="K13" i="221"/>
  <c r="K22" i="221" s="1"/>
  <c r="F972" i="268" s="1"/>
  <c r="L16" i="221"/>
  <c r="F933" i="268" s="1"/>
  <c r="L17" i="221"/>
  <c r="L18" i="221"/>
  <c r="L19" i="221"/>
  <c r="E20" i="221"/>
  <c r="F20" i="221"/>
  <c r="G20" i="221"/>
  <c r="L20" i="221" s="1"/>
  <c r="F965" i="268" s="1"/>
  <c r="H20" i="221"/>
  <c r="I20" i="221"/>
  <c r="F962" i="268" s="1"/>
  <c r="J20" i="221"/>
  <c r="K20" i="221"/>
  <c r="E22" i="221"/>
  <c r="F22" i="221"/>
  <c r="F967" i="268" s="1"/>
  <c r="G22" i="221"/>
  <c r="H22" i="221"/>
  <c r="F969" i="268" s="1"/>
  <c r="E24" i="221"/>
  <c r="F24" i="221"/>
  <c r="G24" i="221"/>
  <c r="H24" i="221"/>
  <c r="F977" i="268" s="1"/>
  <c r="I24" i="221"/>
  <c r="J24" i="221"/>
  <c r="K24" i="221"/>
  <c r="F980" i="268" s="1"/>
  <c r="L27" i="221"/>
  <c r="L28" i="221"/>
  <c r="E29" i="221"/>
  <c r="L29" i="221" s="1"/>
  <c r="F1005" i="268" s="1"/>
  <c r="F29" i="221"/>
  <c r="G29" i="221"/>
  <c r="F1000" i="268" s="1"/>
  <c r="H29" i="221"/>
  <c r="I29" i="221"/>
  <c r="J29" i="221"/>
  <c r="K29" i="221"/>
  <c r="F1004" i="268" s="1"/>
  <c r="I17" i="219"/>
  <c r="I20" i="219" s="1"/>
  <c r="H17" i="219"/>
  <c r="H20" i="219" s="1"/>
  <c r="G17" i="219"/>
  <c r="G20" i="219" s="1"/>
  <c r="F17" i="219"/>
  <c r="F20" i="219" s="1"/>
  <c r="E17" i="219"/>
  <c r="E20" i="219" s="1"/>
  <c r="J16" i="219"/>
  <c r="J15" i="219"/>
  <c r="J14" i="219"/>
  <c r="J13" i="219"/>
  <c r="G8" i="219"/>
  <c r="E8" i="217"/>
  <c r="G9" i="217"/>
  <c r="G13" i="217"/>
  <c r="E14" i="217"/>
  <c r="F18" i="216"/>
  <c r="F787" i="268" s="1"/>
  <c r="E18" i="216"/>
  <c r="F786" i="268" s="1"/>
  <c r="F11" i="216"/>
  <c r="E11" i="216"/>
  <c r="E15" i="217" s="1"/>
  <c r="G8" i="215"/>
  <c r="J8" i="215"/>
  <c r="F674" i="268" s="1"/>
  <c r="G9" i="215"/>
  <c r="J9" i="215"/>
  <c r="G10" i="215"/>
  <c r="J10" i="215"/>
  <c r="E11" i="215"/>
  <c r="F11" i="215"/>
  <c r="G11" i="215"/>
  <c r="F689" i="268" s="1"/>
  <c r="H11" i="215"/>
  <c r="E8" i="219" s="1"/>
  <c r="I11" i="215"/>
  <c r="F8" i="219" s="1"/>
  <c r="G16" i="215"/>
  <c r="J16" i="215"/>
  <c r="F698" i="268" s="1"/>
  <c r="G17" i="215"/>
  <c r="J17" i="215"/>
  <c r="G18" i="215"/>
  <c r="J18" i="215"/>
  <c r="F710" i="268" s="1"/>
  <c r="G19" i="215"/>
  <c r="J19" i="215"/>
  <c r="G20" i="215"/>
  <c r="J20" i="215"/>
  <c r="G21" i="215"/>
  <c r="J21" i="215"/>
  <c r="G22" i="215"/>
  <c r="J22" i="215"/>
  <c r="F734" i="268" s="1"/>
  <c r="E23" i="215"/>
  <c r="F23" i="215"/>
  <c r="G23" i="215"/>
  <c r="H23" i="215"/>
  <c r="I23" i="215"/>
  <c r="H8" i="219" s="1"/>
  <c r="H10" i="219" s="1"/>
  <c r="H21" i="219" s="1"/>
  <c r="G26" i="215"/>
  <c r="G28" i="215" s="1"/>
  <c r="G27" i="215"/>
  <c r="F746" i="268" s="1"/>
  <c r="E28" i="215"/>
  <c r="E30" i="215" s="1"/>
  <c r="F28" i="215"/>
  <c r="G33" i="215"/>
  <c r="G36" i="215" s="1"/>
  <c r="F764" i="268" s="1"/>
  <c r="G34" i="215"/>
  <c r="F758" i="268" s="1"/>
  <c r="G35" i="215"/>
  <c r="E36" i="215"/>
  <c r="F36" i="215"/>
  <c r="E15" i="230" s="1"/>
  <c r="F602" i="269" s="1"/>
  <c r="E16" i="263"/>
  <c r="G16" i="263"/>
  <c r="F656" i="268" s="1"/>
  <c r="L13" i="263"/>
  <c r="F651" i="268" s="1"/>
  <c r="K13" i="263"/>
  <c r="I13" i="263"/>
  <c r="F648" i="268" s="1"/>
  <c r="H13" i="263"/>
  <c r="F13" i="263"/>
  <c r="F18" i="263" s="1"/>
  <c r="F660" i="268" s="1"/>
  <c r="D13" i="263"/>
  <c r="D18" i="263" s="1"/>
  <c r="C13" i="263"/>
  <c r="C18" i="263" s="1"/>
  <c r="F657" i="268" s="1"/>
  <c r="J12" i="263"/>
  <c r="G12" i="263"/>
  <c r="E12" i="263"/>
  <c r="F634" i="268" s="1"/>
  <c r="J11" i="263"/>
  <c r="G11" i="263"/>
  <c r="F626" i="268" s="1"/>
  <c r="E11" i="263"/>
  <c r="J10" i="263"/>
  <c r="G10" i="263"/>
  <c r="E10" i="263"/>
  <c r="E10" i="262"/>
  <c r="E12" i="262" s="1"/>
  <c r="G10" i="262"/>
  <c r="J10" i="262"/>
  <c r="E11" i="262"/>
  <c r="G11" i="262"/>
  <c r="J11" i="262"/>
  <c r="C12" i="262"/>
  <c r="C17" i="262" s="1"/>
  <c r="D12" i="262"/>
  <c r="D17" i="262" s="1"/>
  <c r="F12" i="262"/>
  <c r="F17" i="262" s="1"/>
  <c r="H12" i="262"/>
  <c r="H17" i="262"/>
  <c r="J17" i="262" s="1"/>
  <c r="F597" i="268" s="1"/>
  <c r="I12" i="262"/>
  <c r="I17" i="262" s="1"/>
  <c r="F596" i="268" s="1"/>
  <c r="K12" i="262"/>
  <c r="K17" i="262" s="1"/>
  <c r="F598" i="268" s="1"/>
  <c r="L12" i="262"/>
  <c r="E15" i="262"/>
  <c r="G15" i="262"/>
  <c r="F584" i="268" s="1"/>
  <c r="L15" i="262"/>
  <c r="F589" i="268" s="1"/>
  <c r="E20" i="262"/>
  <c r="F604" i="268" s="1"/>
  <c r="C17" i="214"/>
  <c r="E28" i="214" s="1"/>
  <c r="F549" i="268" s="1"/>
  <c r="C11" i="214"/>
  <c r="H54" i="213"/>
  <c r="H52" i="213"/>
  <c r="H47" i="213"/>
  <c r="H44" i="213"/>
  <c r="H43" i="213"/>
  <c r="H42" i="213"/>
  <c r="H40" i="213"/>
  <c r="G39" i="213"/>
  <c r="G41" i="213" s="1"/>
  <c r="F39" i="213"/>
  <c r="F498" i="268" s="1"/>
  <c r="E39" i="213"/>
  <c r="H39" i="213" s="1"/>
  <c r="F500" i="268" s="1"/>
  <c r="H38" i="213"/>
  <c r="F496" i="268" s="1"/>
  <c r="H37" i="213"/>
  <c r="F492" i="268" s="1"/>
  <c r="H36" i="213"/>
  <c r="F8" i="217" s="1"/>
  <c r="H35" i="213"/>
  <c r="H32" i="213"/>
  <c r="H29" i="213"/>
  <c r="H28" i="213"/>
  <c r="H27" i="213"/>
  <c r="H25" i="213"/>
  <c r="G24" i="213"/>
  <c r="F452" i="268" s="1"/>
  <c r="F24" i="213"/>
  <c r="F26" i="213" s="1"/>
  <c r="E24" i="213"/>
  <c r="E26" i="213" s="1"/>
  <c r="H23" i="213"/>
  <c r="H22" i="213"/>
  <c r="H21" i="213"/>
  <c r="H20" i="213"/>
  <c r="H19" i="213"/>
  <c r="H16" i="213"/>
  <c r="F429" i="268" s="1"/>
  <c r="H13" i="213"/>
  <c r="H12" i="213"/>
  <c r="F418" i="268" s="1"/>
  <c r="H11" i="213"/>
  <c r="F414" i="268" s="1"/>
  <c r="G10" i="213"/>
  <c r="G14" i="213" s="1"/>
  <c r="F425" i="268" s="1"/>
  <c r="F10" i="213"/>
  <c r="F14" i="213" s="1"/>
  <c r="E10" i="213"/>
  <c r="E14" i="213" s="1"/>
  <c r="H9" i="213"/>
  <c r="F406" i="268" s="1"/>
  <c r="H8" i="213"/>
  <c r="K29" i="212"/>
  <c r="F397" i="268" s="1"/>
  <c r="J29" i="212"/>
  <c r="I29" i="212"/>
  <c r="F395" i="268" s="1"/>
  <c r="H29" i="212"/>
  <c r="G29" i="212"/>
  <c r="F29" i="212"/>
  <c r="E29" i="212"/>
  <c r="F391" i="268" s="1"/>
  <c r="L28" i="212"/>
  <c r="F390" i="268" s="1"/>
  <c r="L27" i="212"/>
  <c r="K24" i="212"/>
  <c r="F373" i="268" s="1"/>
  <c r="J24" i="212"/>
  <c r="F372" i="268" s="1"/>
  <c r="I24" i="212"/>
  <c r="H24" i="212"/>
  <c r="G24" i="212"/>
  <c r="F24" i="212"/>
  <c r="E24" i="212"/>
  <c r="L24" i="212" s="1"/>
  <c r="F374" i="268" s="1"/>
  <c r="K20" i="212"/>
  <c r="J20" i="212"/>
  <c r="I20" i="212"/>
  <c r="H20" i="212"/>
  <c r="G20" i="212"/>
  <c r="F20" i="212"/>
  <c r="E20" i="212"/>
  <c r="F351" i="268" s="1"/>
  <c r="L19" i="212"/>
  <c r="L18" i="212"/>
  <c r="L17" i="212"/>
  <c r="F334" i="268" s="1"/>
  <c r="L16" i="212"/>
  <c r="K13" i="212"/>
  <c r="K22" i="212" s="1"/>
  <c r="F365" i="268" s="1"/>
  <c r="J13" i="212"/>
  <c r="I13" i="212"/>
  <c r="H13" i="212"/>
  <c r="H22" i="212" s="1"/>
  <c r="F362" i="268" s="1"/>
  <c r="G13" i="212"/>
  <c r="G22" i="212" s="1"/>
  <c r="F361" i="268" s="1"/>
  <c r="F13" i="212"/>
  <c r="F22" i="212" s="1"/>
  <c r="F360" i="268" s="1"/>
  <c r="E13" i="212"/>
  <c r="L12" i="212"/>
  <c r="L11" i="212"/>
  <c r="L10" i="212"/>
  <c r="L9" i="212"/>
  <c r="L8" i="212"/>
  <c r="G41" i="307"/>
  <c r="G40" i="307"/>
  <c r="G39" i="307"/>
  <c r="F41" i="307"/>
  <c r="F40" i="307"/>
  <c r="F39" i="307"/>
  <c r="E50" i="211"/>
  <c r="F267" i="268" s="1"/>
  <c r="E46" i="211"/>
  <c r="F264" i="268" s="1"/>
  <c r="G41" i="211"/>
  <c r="G38" i="211"/>
  <c r="G33" i="211"/>
  <c r="G32" i="211"/>
  <c r="F28" i="211"/>
  <c r="E28" i="211"/>
  <c r="G27" i="211"/>
  <c r="G26" i="211"/>
  <c r="G25" i="211"/>
  <c r="G24" i="211"/>
  <c r="G28" i="211"/>
  <c r="F243" i="268" s="1"/>
  <c r="G21" i="211"/>
  <c r="G20" i="211"/>
  <c r="F225" i="268" s="1"/>
  <c r="G19" i="211"/>
  <c r="G18" i="211"/>
  <c r="F15" i="211"/>
  <c r="E15" i="211"/>
  <c r="E10" i="209" s="1"/>
  <c r="G14" i="211"/>
  <c r="G13" i="211"/>
  <c r="F210" i="268" s="1"/>
  <c r="G12" i="211"/>
  <c r="G11" i="211"/>
  <c r="G10" i="211"/>
  <c r="G9" i="211"/>
  <c r="G8" i="211"/>
  <c r="H43" i="210"/>
  <c r="G43" i="210"/>
  <c r="F43" i="210"/>
  <c r="E43" i="210"/>
  <c r="J43" i="210" s="1"/>
  <c r="F188" i="268" s="1"/>
  <c r="H42" i="210"/>
  <c r="G42" i="210"/>
  <c r="F42" i="210"/>
  <c r="F179" i="268" s="1"/>
  <c r="E42" i="210"/>
  <c r="H37" i="210"/>
  <c r="G37" i="210"/>
  <c r="F37" i="210"/>
  <c r="E37" i="210"/>
  <c r="H33" i="210"/>
  <c r="G33" i="210"/>
  <c r="J33" i="210" s="1"/>
  <c r="F161" i="268" s="1"/>
  <c r="F33" i="210"/>
  <c r="E33" i="210"/>
  <c r="I32" i="210"/>
  <c r="I34" i="210" s="1"/>
  <c r="F166" i="268" s="1"/>
  <c r="H31" i="210"/>
  <c r="J31" i="210" s="1"/>
  <c r="F150" i="268" s="1"/>
  <c r="G31" i="210"/>
  <c r="F31" i="210"/>
  <c r="E31" i="210"/>
  <c r="H26" i="210"/>
  <c r="G26" i="210"/>
  <c r="F132" i="268" s="1"/>
  <c r="F26" i="210"/>
  <c r="F131" i="268" s="1"/>
  <c r="E26" i="210"/>
  <c r="H22" i="210"/>
  <c r="G22" i="210"/>
  <c r="J22" i="210" s="1"/>
  <c r="F124" i="268" s="1"/>
  <c r="F22" i="210"/>
  <c r="E22" i="210"/>
  <c r="H20" i="210"/>
  <c r="G20" i="210"/>
  <c r="F20" i="210"/>
  <c r="F109" i="268" s="1"/>
  <c r="E20" i="210"/>
  <c r="I16" i="210"/>
  <c r="H15" i="210"/>
  <c r="G15" i="210"/>
  <c r="F15" i="210"/>
  <c r="E15" i="210"/>
  <c r="J15" i="210" s="1"/>
  <c r="F97" i="268" s="1"/>
  <c r="H14" i="210"/>
  <c r="G14" i="210"/>
  <c r="F14" i="210"/>
  <c r="F88" i="268" s="1"/>
  <c r="E14" i="210"/>
  <c r="H13" i="210"/>
  <c r="G13" i="210"/>
  <c r="F13" i="210"/>
  <c r="E13" i="210"/>
  <c r="J13" i="210" s="1"/>
  <c r="F86" i="268" s="1"/>
  <c r="H12" i="210"/>
  <c r="G12" i="210"/>
  <c r="F12" i="210"/>
  <c r="E12" i="210"/>
  <c r="H11" i="210"/>
  <c r="G11" i="210"/>
  <c r="F11" i="210"/>
  <c r="E11" i="210"/>
  <c r="J11" i="210" s="1"/>
  <c r="F76" i="268" s="1"/>
  <c r="H10" i="210"/>
  <c r="G10" i="210"/>
  <c r="F10" i="210"/>
  <c r="E10" i="210"/>
  <c r="J10" i="210" s="1"/>
  <c r="F71" i="268" s="1"/>
  <c r="H9" i="210"/>
  <c r="G9" i="210"/>
  <c r="F9" i="210"/>
  <c r="E9" i="210"/>
  <c r="H8" i="210"/>
  <c r="H16" i="210" s="1"/>
  <c r="G8" i="210"/>
  <c r="G16" i="210" s="1"/>
  <c r="F8" i="210"/>
  <c r="E8" i="210"/>
  <c r="J37" i="210"/>
  <c r="F172" i="268" s="1"/>
  <c r="G13" i="263"/>
  <c r="F646" i="268" s="1"/>
  <c r="H10" i="213"/>
  <c r="E9" i="219" s="1"/>
  <c r="L13" i="212"/>
  <c r="F318"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875" i="268" s="1"/>
  <c r="F37" i="220"/>
  <c r="F36" i="220"/>
  <c r="F30" i="220"/>
  <c r="F29" i="220"/>
  <c r="F868" i="268" s="1"/>
  <c r="F28" i="220"/>
  <c r="F22" i="305"/>
  <c r="P54" i="305"/>
  <c r="J54" i="305"/>
  <c r="O53" i="305"/>
  <c r="M53" i="305"/>
  <c r="I53" i="305"/>
  <c r="G53" i="305"/>
  <c r="F606" i="299" s="1"/>
  <c r="O52" i="305"/>
  <c r="M52" i="305"/>
  <c r="M54" i="305" s="1"/>
  <c r="F616" i="299" s="1"/>
  <c r="I52" i="305"/>
  <c r="I54" i="305"/>
  <c r="G52" i="305"/>
  <c r="O46" i="305"/>
  <c r="M46" i="305"/>
  <c r="I46" i="305"/>
  <c r="G46" i="305"/>
  <c r="O45" i="305"/>
  <c r="N45" i="305"/>
  <c r="F579" i="299"/>
  <c r="M45" i="305"/>
  <c r="I45" i="305"/>
  <c r="H45" i="305"/>
  <c r="F574" i="299"/>
  <c r="G45" i="305"/>
  <c r="F573" i="299" s="1"/>
  <c r="O40" i="305"/>
  <c r="M40" i="305"/>
  <c r="F557" i="299"/>
  <c r="I40" i="305"/>
  <c r="G40" i="305"/>
  <c r="F554" i="299" s="1"/>
  <c r="N38" i="305"/>
  <c r="M38" i="305"/>
  <c r="P38" i="305" s="1"/>
  <c r="F552" i="299" s="1"/>
  <c r="L38" i="305"/>
  <c r="H38" i="305"/>
  <c r="F546" i="299" s="1"/>
  <c r="G38" i="305"/>
  <c r="J38" i="305" s="1"/>
  <c r="F548" i="299" s="1"/>
  <c r="F38" i="305"/>
  <c r="P34" i="305"/>
  <c r="J34" i="305"/>
  <c r="F528" i="299" s="1"/>
  <c r="O33" i="305"/>
  <c r="M33" i="305"/>
  <c r="F523" i="299"/>
  <c r="I33" i="305"/>
  <c r="G33" i="305"/>
  <c r="O32" i="305"/>
  <c r="M32" i="305"/>
  <c r="F517" i="299" s="1"/>
  <c r="I32" i="305"/>
  <c r="G32" i="305"/>
  <c r="F514" i="299"/>
  <c r="O31" i="305"/>
  <c r="M31" i="305"/>
  <c r="F511" i="299"/>
  <c r="I31" i="305"/>
  <c r="G31" i="305"/>
  <c r="O30" i="305"/>
  <c r="M30" i="305"/>
  <c r="F505" i="299"/>
  <c r="I30" i="305"/>
  <c r="G30" i="305"/>
  <c r="O29" i="305"/>
  <c r="M29" i="305"/>
  <c r="F499" i="299" s="1"/>
  <c r="I29" i="305"/>
  <c r="G29" i="305"/>
  <c r="O28" i="305"/>
  <c r="O34" i="305" s="1"/>
  <c r="F531" i="299" s="1"/>
  <c r="M28" i="305"/>
  <c r="M34" i="305"/>
  <c r="I28" i="305"/>
  <c r="G28" i="305"/>
  <c r="G34" i="305" s="1"/>
  <c r="F526" i="299" s="1"/>
  <c r="K24" i="305"/>
  <c r="K36" i="305"/>
  <c r="K42" i="305"/>
  <c r="K48" i="305" s="1"/>
  <c r="F593" i="299" s="1"/>
  <c r="E24" i="305"/>
  <c r="E36" i="305"/>
  <c r="E42" i="305" s="1"/>
  <c r="M22" i="305"/>
  <c r="F474" i="299"/>
  <c r="G22" i="305"/>
  <c r="M21" i="305"/>
  <c r="F466" i="299" s="1"/>
  <c r="G21" i="305"/>
  <c r="F462" i="299" s="1"/>
  <c r="O20" i="305"/>
  <c r="M20" i="305"/>
  <c r="F459" i="299"/>
  <c r="I20" i="305"/>
  <c r="G20" i="305"/>
  <c r="F456" i="299" s="1"/>
  <c r="O19" i="305"/>
  <c r="M19" i="305"/>
  <c r="I19" i="305"/>
  <c r="G19" i="305"/>
  <c r="F450" i="299"/>
  <c r="O18" i="305"/>
  <c r="M18" i="305"/>
  <c r="F447" i="299" s="1"/>
  <c r="I18" i="305"/>
  <c r="G18" i="305"/>
  <c r="F444" i="299"/>
  <c r="M17" i="305"/>
  <c r="G17" i="305"/>
  <c r="M13" i="305"/>
  <c r="P13" i="305" s="1"/>
  <c r="G13" i="305"/>
  <c r="J13" i="305" s="1"/>
  <c r="L10" i="305"/>
  <c r="F470" i="299"/>
  <c r="F578" i="299"/>
  <c r="F614" i="299"/>
  <c r="F618" i="299"/>
  <c r="F582" i="299"/>
  <c r="S42" i="240"/>
  <c r="F1162" i="269" s="1"/>
  <c r="F603" i="299"/>
  <c r="F609" i="299"/>
  <c r="Y15" i="288"/>
  <c r="X15" i="288"/>
  <c r="B60" i="80"/>
  <c r="C1" i="30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B193" i="273"/>
  <c r="B194" i="273"/>
  <c r="B195" i="273"/>
  <c r="B196" i="273"/>
  <c r="B197" i="273"/>
  <c r="F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F41" i="302"/>
  <c r="B42" i="302"/>
  <c r="F42" i="302"/>
  <c r="B43" i="302"/>
  <c r="F43" i="302"/>
  <c r="B44" i="302"/>
  <c r="F44" i="302"/>
  <c r="B45" i="302"/>
  <c r="F45" i="302"/>
  <c r="B46" i="302"/>
  <c r="F46" i="302"/>
  <c r="B47" i="302"/>
  <c r="F47" i="302"/>
  <c r="B48" i="302"/>
  <c r="F48" i="302"/>
  <c r="B49" i="302"/>
  <c r="F49" i="302"/>
  <c r="B50" i="302"/>
  <c r="F50" i="302"/>
  <c r="B51" i="302"/>
  <c r="F51" i="302"/>
  <c r="B52" i="302"/>
  <c r="F52" i="302"/>
  <c r="B53" i="302"/>
  <c r="F53" i="302"/>
  <c r="B54" i="302"/>
  <c r="F54" i="302"/>
  <c r="B55" i="302"/>
  <c r="F55" i="302"/>
  <c r="B56" i="302"/>
  <c r="F56" i="302"/>
  <c r="B57" i="302"/>
  <c r="F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B89" i="268"/>
  <c r="F89" i="268"/>
  <c r="B90" i="268"/>
  <c r="F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B211" i="268"/>
  <c r="F211" i="268"/>
  <c r="B212" i="268"/>
  <c r="F212" i="268"/>
  <c r="B213" i="268"/>
  <c r="F213" i="268"/>
  <c r="B214" i="268"/>
  <c r="B215" i="268"/>
  <c r="F215" i="268"/>
  <c r="B216" i="268"/>
  <c r="B217" i="268"/>
  <c r="F217" i="268"/>
  <c r="B218" i="268"/>
  <c r="F218" i="268"/>
  <c r="B219" i="268"/>
  <c r="F219" i="268"/>
  <c r="B220" i="268"/>
  <c r="F220" i="268"/>
  <c r="B221" i="268"/>
  <c r="F221" i="268"/>
  <c r="B222" i="268"/>
  <c r="F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B312" i="268"/>
  <c r="F312" i="268"/>
  <c r="B313" i="268"/>
  <c r="F313" i="268"/>
  <c r="B314" i="268"/>
  <c r="F314" i="268"/>
  <c r="B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F356" i="268"/>
  <c r="B357" i="268"/>
  <c r="F357" i="268"/>
  <c r="B358" i="268"/>
  <c r="B359" i="268"/>
  <c r="B360" i="268"/>
  <c r="B361" i="268"/>
  <c r="B362" i="268"/>
  <c r="B363" i="268"/>
  <c r="B364" i="268"/>
  <c r="B365" i="268"/>
  <c r="B366" i="268"/>
  <c r="B367" i="268"/>
  <c r="B368" i="268"/>
  <c r="F368" i="268"/>
  <c r="B369" i="268"/>
  <c r="F369" i="268"/>
  <c r="B370" i="268"/>
  <c r="F370" i="268"/>
  <c r="B371" i="268"/>
  <c r="F371" i="268"/>
  <c r="B372" i="268"/>
  <c r="B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B453" i="268"/>
  <c r="B454" i="268"/>
  <c r="F454" i="268"/>
  <c r="B455" i="268"/>
  <c r="F455" i="268"/>
  <c r="B456" i="268"/>
  <c r="F456" i="268"/>
  <c r="B457" i="268"/>
  <c r="B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B553" i="268"/>
  <c r="F553" i="268"/>
  <c r="B554" i="268"/>
  <c r="F554" i="268"/>
  <c r="B555" i="268"/>
  <c r="F555" i="268"/>
  <c r="B556" i="268"/>
  <c r="F556" i="268"/>
  <c r="B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B573" i="268"/>
  <c r="B574" i="268"/>
  <c r="B575" i="268"/>
  <c r="F575" i="268"/>
  <c r="B576" i="268"/>
  <c r="B577" i="268"/>
  <c r="B578" i="268"/>
  <c r="F578" i="268"/>
  <c r="B579" i="268"/>
  <c r="B580" i="268"/>
  <c r="F580" i="268"/>
  <c r="B581" i="268"/>
  <c r="F581" i="268"/>
  <c r="B582" i="268"/>
  <c r="F582" i="268"/>
  <c r="B583" i="268"/>
  <c r="F583" i="268"/>
  <c r="B584" i="268"/>
  <c r="B585" i="268"/>
  <c r="F585" i="268"/>
  <c r="B586" i="268"/>
  <c r="F586" i="268"/>
  <c r="B587" i="268"/>
  <c r="F587" i="268"/>
  <c r="B588" i="268"/>
  <c r="F588" i="268"/>
  <c r="B589" i="268"/>
  <c r="B590" i="268"/>
  <c r="B591" i="268"/>
  <c r="B592" i="268"/>
  <c r="B593" i="268"/>
  <c r="B594" i="268"/>
  <c r="B595" i="268"/>
  <c r="B596" i="268"/>
  <c r="B597" i="268"/>
  <c r="B598" i="268"/>
  <c r="B599" i="268"/>
  <c r="B600" i="268"/>
  <c r="F600" i="268"/>
  <c r="B601" i="268"/>
  <c r="F601" i="268"/>
  <c r="B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B627" i="268"/>
  <c r="F627" i="268"/>
  <c r="B628" i="268"/>
  <c r="F628" i="268"/>
  <c r="B629" i="268"/>
  <c r="F629" i="268"/>
  <c r="B630" i="268"/>
  <c r="F630" i="268"/>
  <c r="B631" i="268"/>
  <c r="F631" i="268"/>
  <c r="B632" i="268"/>
  <c r="F632" i="268"/>
  <c r="B633" i="268"/>
  <c r="F633" i="268"/>
  <c r="B634" i="268"/>
  <c r="B635" i="268"/>
  <c r="F635" i="268"/>
  <c r="B636" i="268"/>
  <c r="F636" i="268"/>
  <c r="B637" i="268"/>
  <c r="F637" i="268"/>
  <c r="B638" i="268"/>
  <c r="F638" i="268"/>
  <c r="B639" i="268"/>
  <c r="F639" i="268"/>
  <c r="B640" i="268"/>
  <c r="F640" i="268"/>
  <c r="B641" i="268"/>
  <c r="F641" i="268"/>
  <c r="B642" i="268"/>
  <c r="F642" i="268"/>
  <c r="B643" i="268"/>
  <c r="F643" i="268"/>
  <c r="B644" i="268"/>
  <c r="B645" i="268"/>
  <c r="F645" i="268"/>
  <c r="B646" i="268"/>
  <c r="B647" i="268"/>
  <c r="F647" i="268"/>
  <c r="B648" i="268"/>
  <c r="B649" i="268"/>
  <c r="B650" i="268"/>
  <c r="F650" i="268"/>
  <c r="B651" i="268"/>
  <c r="B652" i="268"/>
  <c r="F652" i="268"/>
  <c r="B653" i="268"/>
  <c r="F653" i="268"/>
  <c r="B654" i="268"/>
  <c r="F654" i="268"/>
  <c r="B655" i="268"/>
  <c r="F655" i="268"/>
  <c r="B656" i="268"/>
  <c r="B657" i="268"/>
  <c r="B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F671" i="268"/>
  <c r="B672" i="268"/>
  <c r="F672" i="268"/>
  <c r="B673" i="268"/>
  <c r="F673" i="268"/>
  <c r="B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B735" i="268"/>
  <c r="F735" i="268"/>
  <c r="B736" i="268"/>
  <c r="F736" i="268"/>
  <c r="B737" i="268"/>
  <c r="F737" i="268"/>
  <c r="B738" i="268"/>
  <c r="F738" i="268"/>
  <c r="B739" i="268"/>
  <c r="B740" i="268"/>
  <c r="B741" i="268"/>
  <c r="F741" i="268"/>
  <c r="B742" i="268"/>
  <c r="F742" i="268"/>
  <c r="B743" i="268"/>
  <c r="B744" i="268"/>
  <c r="F744" i="268"/>
  <c r="B745" i="268"/>
  <c r="F745" i="268"/>
  <c r="B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B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B902" i="268"/>
  <c r="F902" i="268"/>
  <c r="B903" i="268"/>
  <c r="F903" i="268"/>
  <c r="B904" i="268"/>
  <c r="F904" i="268"/>
  <c r="B905" i="268"/>
  <c r="F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B918" i="268"/>
  <c r="F918" i="268"/>
  <c r="B919" i="268"/>
  <c r="F919" i="268"/>
  <c r="B920" i="268"/>
  <c r="F920" i="268"/>
  <c r="B921" i="268"/>
  <c r="F921" i="268"/>
  <c r="B922" i="268"/>
  <c r="F922" i="268"/>
  <c r="B923" i="268"/>
  <c r="B924" i="268"/>
  <c r="F924" i="268"/>
  <c r="B925" i="268"/>
  <c r="B926" i="268"/>
  <c r="F926" i="268"/>
  <c r="B927" i="268"/>
  <c r="F927" i="268"/>
  <c r="B928" i="268"/>
  <c r="F928" i="268"/>
  <c r="B929" i="268"/>
  <c r="F929" i="268"/>
  <c r="B930" i="268"/>
  <c r="F930" i="268"/>
  <c r="B931" i="268"/>
  <c r="F931" i="268"/>
  <c r="B932" i="268"/>
  <c r="F932" i="268"/>
  <c r="B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B963" i="268"/>
  <c r="F963" i="268"/>
  <c r="B964" i="268"/>
  <c r="F964" i="268"/>
  <c r="B965" i="268"/>
  <c r="B966" i="268"/>
  <c r="F966" i="268"/>
  <c r="B967" i="268"/>
  <c r="B968" i="268"/>
  <c r="F968" i="268"/>
  <c r="B969" i="268"/>
  <c r="B970" i="268"/>
  <c r="B971" i="268"/>
  <c r="B972" i="268"/>
  <c r="B973" i="268"/>
  <c r="B974" i="268"/>
  <c r="F974" i="268"/>
  <c r="B975" i="268"/>
  <c r="B976" i="268"/>
  <c r="F976" i="268"/>
  <c r="B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B1001" i="268"/>
  <c r="F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F52" i="299"/>
  <c r="B53" i="299"/>
  <c r="B54" i="299"/>
  <c r="B55" i="299"/>
  <c r="B56" i="299"/>
  <c r="B57" i="299"/>
  <c r="B58" i="299"/>
  <c r="B59" i="299"/>
  <c r="B60" i="299"/>
  <c r="B61" i="299"/>
  <c r="F61" i="299"/>
  <c r="B62" i="299"/>
  <c r="F62" i="299"/>
  <c r="B63" i="299"/>
  <c r="F63" i="299"/>
  <c r="B64" i="299"/>
  <c r="B65" i="299"/>
  <c r="F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F129" i="299"/>
  <c r="B130" i="299"/>
  <c r="F130" i="299"/>
  <c r="B131" i="299"/>
  <c r="F131" i="299"/>
  <c r="B132" i="299"/>
  <c r="F132" i="299"/>
  <c r="B133" i="299"/>
  <c r="F133" i="299"/>
  <c r="B134" i="299"/>
  <c r="B135" i="299"/>
  <c r="F135" i="299"/>
  <c r="B136" i="299"/>
  <c r="F136" i="299"/>
  <c r="B137" i="299"/>
  <c r="F137" i="299"/>
  <c r="B138" i="299"/>
  <c r="B139" i="299"/>
  <c r="B140" i="299"/>
  <c r="B141" i="299"/>
  <c r="F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F194" i="299"/>
  <c r="B195" i="299"/>
  <c r="F195" i="299"/>
  <c r="B196" i="299"/>
  <c r="F196" i="299"/>
  <c r="B197" i="299"/>
  <c r="F197" i="299"/>
  <c r="B198" i="299"/>
  <c r="F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F219" i="299"/>
  <c r="B220" i="299"/>
  <c r="F220" i="299"/>
  <c r="B221" i="299"/>
  <c r="F221" i="299"/>
  <c r="B222" i="299"/>
  <c r="F222" i="299"/>
  <c r="B223" i="299"/>
  <c r="F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F239" i="299"/>
  <c r="B240" i="299"/>
  <c r="F240" i="299"/>
  <c r="B241" i="299"/>
  <c r="F241" i="299"/>
  <c r="B242" i="299"/>
  <c r="F242" i="299"/>
  <c r="B243" i="299"/>
  <c r="F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F275" i="299"/>
  <c r="B276" i="299"/>
  <c r="B277" i="299"/>
  <c r="B278" i="299"/>
  <c r="B279" i="299"/>
  <c r="B280" i="299"/>
  <c r="B281" i="299"/>
  <c r="B282" i="299"/>
  <c r="F282" i="299"/>
  <c r="B283" i="299"/>
  <c r="F283" i="299"/>
  <c r="B284" i="299"/>
  <c r="F284" i="299"/>
  <c r="B285" i="299"/>
  <c r="F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F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F320" i="299"/>
  <c r="B321" i="299"/>
  <c r="F321" i="299"/>
  <c r="B322" i="299"/>
  <c r="F322" i="299"/>
  <c r="B323" i="299"/>
  <c r="F323" i="299"/>
  <c r="B324" i="299"/>
  <c r="F324" i="299"/>
  <c r="B325" i="299"/>
  <c r="F325" i="299"/>
  <c r="B326" i="299"/>
  <c r="B327" i="299"/>
  <c r="B328" i="299"/>
  <c r="B329" i="299"/>
  <c r="B330" i="299"/>
  <c r="B331" i="299"/>
  <c r="B332" i="299"/>
  <c r="F332" i="299"/>
  <c r="B333" i="299"/>
  <c r="F333" i="299"/>
  <c r="B334" i="299"/>
  <c r="F334" i="299"/>
  <c r="B335" i="299"/>
  <c r="F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F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F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M24" i="305"/>
  <c r="M36" i="305" s="1"/>
  <c r="F477" i="299"/>
  <c r="G24" i="305"/>
  <c r="G36" i="305" s="1"/>
  <c r="L45" i="305"/>
  <c r="F577" i="299" s="1"/>
  <c r="L52" i="305"/>
  <c r="F602" i="299" s="1"/>
  <c r="L40" i="305"/>
  <c r="F556" i="299" s="1"/>
  <c r="F19" i="305"/>
  <c r="F449" i="299"/>
  <c r="F28" i="305"/>
  <c r="F30" i="305"/>
  <c r="F501" i="299"/>
  <c r="F32" i="305"/>
  <c r="V15" i="288"/>
  <c r="L29" i="305"/>
  <c r="F498" i="299" s="1"/>
  <c r="L31" i="305"/>
  <c r="F510" i="299" s="1"/>
  <c r="L33" i="305"/>
  <c r="F522" i="299"/>
  <c r="L18" i="305"/>
  <c r="F446" i="299"/>
  <c r="L20" i="305"/>
  <c r="F458" i="299" s="1"/>
  <c r="F45" i="305"/>
  <c r="F572" i="299" s="1"/>
  <c r="F46" i="305"/>
  <c r="F581" i="299"/>
  <c r="F53" i="305"/>
  <c r="F605" i="299"/>
  <c r="N24" i="305"/>
  <c r="N36" i="305" s="1"/>
  <c r="H24" i="305"/>
  <c r="H36" i="305" s="1"/>
  <c r="L22" i="305"/>
  <c r="F473" i="299" s="1"/>
  <c r="F31" i="305"/>
  <c r="F507" i="299" s="1"/>
  <c r="I34" i="305"/>
  <c r="F527" i="299" s="1"/>
  <c r="L19" i="305"/>
  <c r="L28" i="305"/>
  <c r="L30" i="305"/>
  <c r="L34" i="305" s="1"/>
  <c r="F529" i="299" s="1"/>
  <c r="L32" i="305"/>
  <c r="F516" i="299"/>
  <c r="I38" i="305"/>
  <c r="F547" i="299" s="1"/>
  <c r="L46" i="305"/>
  <c r="F584" i="299" s="1"/>
  <c r="L53" i="305"/>
  <c r="F608" i="299" s="1"/>
  <c r="F18" i="305"/>
  <c r="F443" i="299"/>
  <c r="F20" i="305"/>
  <c r="F455" i="299"/>
  <c r="L21" i="305"/>
  <c r="F465" i="299" s="1"/>
  <c r="F29" i="305"/>
  <c r="F34" i="305" s="1"/>
  <c r="F525" i="299" s="1"/>
  <c r="F33" i="305"/>
  <c r="F519" i="299"/>
  <c r="F40" i="305"/>
  <c r="F553" i="299"/>
  <c r="F52" i="305"/>
  <c r="F21" i="305"/>
  <c r="F461" i="299"/>
  <c r="O54" i="305"/>
  <c r="F617" i="299" s="1"/>
  <c r="F530" i="299"/>
  <c r="F613" i="299"/>
  <c r="F436" i="299"/>
  <c r="F469" i="299"/>
  <c r="F493" i="299"/>
  <c r="F440" i="299"/>
  <c r="F539" i="299"/>
  <c r="F489"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79" i="299"/>
  <c r="F513" i="299"/>
  <c r="F54" i="305"/>
  <c r="F611" i="299"/>
  <c r="F452" i="299"/>
  <c r="F492" i="299"/>
  <c r="F599" i="299"/>
  <c r="F533" i="299"/>
  <c r="F486" i="299"/>
  <c r="F56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W53" i="305" s="1"/>
  <c r="AJ52" i="305"/>
  <c r="AJ46" i="305"/>
  <c r="AJ45" i="305"/>
  <c r="AD46" i="305"/>
  <c r="W46" i="305" s="1"/>
  <c r="AD45" i="305"/>
  <c r="W45" i="305" s="1"/>
  <c r="AE45" i="305"/>
  <c r="Y45" i="305"/>
  <c r="AI22" i="305"/>
  <c r="AI21" i="305"/>
  <c r="W52" i="305"/>
  <c r="Y38" i="305"/>
  <c r="AE38" i="305"/>
  <c r="AJ33" i="305"/>
  <c r="AJ32" i="305"/>
  <c r="AJ31" i="305"/>
  <c r="AJ30" i="305"/>
  <c r="W30" i="305" s="1"/>
  <c r="AJ29" i="305"/>
  <c r="AJ28" i="305"/>
  <c r="W28" i="305" s="1"/>
  <c r="AD33" i="305"/>
  <c r="AD32" i="305"/>
  <c r="AD31" i="305"/>
  <c r="AD30" i="305"/>
  <c r="AD29" i="305"/>
  <c r="AD28" i="305"/>
  <c r="AC22" i="305"/>
  <c r="W22" i="305" s="1"/>
  <c r="AC21" i="305"/>
  <c r="W21" i="305" s="1"/>
  <c r="AJ22" i="305"/>
  <c r="AJ21" i="305"/>
  <c r="AJ20" i="305"/>
  <c r="AJ19" i="305"/>
  <c r="AJ18" i="305"/>
  <c r="AJ17" i="305"/>
  <c r="AD22" i="305"/>
  <c r="AD21" i="305"/>
  <c r="AD20" i="305"/>
  <c r="AD19" i="305"/>
  <c r="AD18" i="305"/>
  <c r="W18" i="305" s="1"/>
  <c r="AD17" i="305"/>
  <c r="W17" i="305" s="1"/>
  <c r="Y13" i="305"/>
  <c r="AE13" i="305"/>
  <c r="W13" i="305" s="1"/>
  <c r="AG10" i="305"/>
  <c r="AE10" i="305"/>
  <c r="AA10" i="305"/>
  <c r="Y10" i="305"/>
  <c r="W10" i="305" s="1"/>
  <c r="W31" i="305"/>
  <c r="W20" i="305"/>
  <c r="W29" i="305"/>
  <c r="W33" i="305"/>
  <c r="W38" i="305"/>
  <c r="W19"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F124" i="273" s="1"/>
  <c r="I33" i="257"/>
  <c r="Z33" i="257" s="1"/>
  <c r="H33" i="257"/>
  <c r="F122" i="273" s="1"/>
  <c r="G33" i="257"/>
  <c r="G35" i="257" s="1"/>
  <c r="F137" i="273" s="1"/>
  <c r="F33" i="257"/>
  <c r="F35" i="257" s="1"/>
  <c r="F136"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K458" i="293" s="1"/>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K453" i="293" s="1"/>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AK446" i="293" s="1"/>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K444" i="293" s="1"/>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K442" i="293" s="1"/>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K440" i="293" s="1"/>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K433" i="293" s="1"/>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K426" i="293" s="1"/>
  <c r="AW426" i="293"/>
  <c r="AV426" i="293"/>
  <c r="AU426" i="293"/>
  <c r="AT426" i="293"/>
  <c r="BO425" i="293"/>
  <c r="BN425" i="293"/>
  <c r="BM425" i="293"/>
  <c r="BL425" i="293"/>
  <c r="BK425" i="293"/>
  <c r="BJ425" i="293"/>
  <c r="AZ425" i="293"/>
  <c r="AY425" i="293"/>
  <c r="AX425" i="293"/>
  <c r="AW425" i="293"/>
  <c r="AV425" i="293"/>
  <c r="AU425" i="293"/>
  <c r="AK425" i="293" s="1"/>
  <c r="AT425" i="293"/>
  <c r="BO424" i="293"/>
  <c r="BN424" i="293"/>
  <c r="BM424" i="293"/>
  <c r="BL424" i="293"/>
  <c r="BK424" i="293"/>
  <c r="BJ424" i="293"/>
  <c r="AZ424" i="293"/>
  <c r="AK424" i="293" s="1"/>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K421" i="293" s="1"/>
  <c r="AX421" i="293"/>
  <c r="AW421" i="293"/>
  <c r="AV421" i="293"/>
  <c r="AU421" i="293"/>
  <c r="AT421" i="293"/>
  <c r="BO420" i="293"/>
  <c r="BN420" i="293"/>
  <c r="BM420" i="293"/>
  <c r="BL420" i="293"/>
  <c r="BK420" i="293"/>
  <c r="BJ420" i="293"/>
  <c r="AZ420" i="293"/>
  <c r="AY420" i="293"/>
  <c r="AX420" i="293"/>
  <c r="AW420" i="293"/>
  <c r="AV420" i="293"/>
  <c r="AK420" i="293" s="1"/>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AK415" i="293" s="1"/>
  <c r="BO414" i="293"/>
  <c r="BN414" i="293"/>
  <c r="BM414" i="293"/>
  <c r="BL414" i="293"/>
  <c r="BK414" i="293"/>
  <c r="BJ414" i="293"/>
  <c r="AZ414" i="293"/>
  <c r="AY414" i="293"/>
  <c r="AX414" i="293"/>
  <c r="AW414" i="293"/>
  <c r="AV414" i="293"/>
  <c r="AU414" i="293"/>
  <c r="AT414" i="293"/>
  <c r="AK414" i="293" s="1"/>
  <c r="BO413" i="293"/>
  <c r="BN413" i="293"/>
  <c r="BM413" i="293"/>
  <c r="BL413" i="293"/>
  <c r="BK413" i="293"/>
  <c r="BJ413" i="293"/>
  <c r="AZ413" i="293"/>
  <c r="AY413" i="293"/>
  <c r="AX413" i="293"/>
  <c r="AW413" i="293"/>
  <c r="AV413" i="293"/>
  <c r="AK413" i="293" s="1"/>
  <c r="AU413" i="293"/>
  <c r="AT413" i="293"/>
  <c r="BO412" i="293"/>
  <c r="BN412" i="293"/>
  <c r="BM412" i="293"/>
  <c r="BL412" i="293"/>
  <c r="BK412" i="293"/>
  <c r="BJ412" i="293"/>
  <c r="AZ412" i="293"/>
  <c r="AY412" i="293"/>
  <c r="AX412" i="293"/>
  <c r="AW412" i="293"/>
  <c r="AV412" i="293"/>
  <c r="AK412" i="293" s="1"/>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K410" i="293" s="1"/>
  <c r="AW410" i="293"/>
  <c r="AV410" i="293"/>
  <c r="AU410" i="293"/>
  <c r="AT410" i="293"/>
  <c r="BO409" i="293"/>
  <c r="BN409" i="293"/>
  <c r="BM409" i="293"/>
  <c r="BL409" i="293"/>
  <c r="BK409" i="293"/>
  <c r="BJ409" i="293"/>
  <c r="AZ409" i="293"/>
  <c r="AY409" i="293"/>
  <c r="AX409" i="293"/>
  <c r="AW409" i="293"/>
  <c r="AV409" i="293"/>
  <c r="AU409" i="293"/>
  <c r="AK409" i="293" s="1"/>
  <c r="AT409" i="293"/>
  <c r="BO408" i="293"/>
  <c r="BN408" i="293"/>
  <c r="BM408" i="293"/>
  <c r="BL408" i="293"/>
  <c r="BK408" i="293"/>
  <c r="BJ408" i="293"/>
  <c r="AZ408" i="293"/>
  <c r="AY408" i="293"/>
  <c r="AX408" i="293"/>
  <c r="AW408" i="293"/>
  <c r="AK408" i="293" s="1"/>
  <c r="AV408" i="293"/>
  <c r="AU408" i="293"/>
  <c r="AT408" i="293"/>
  <c r="BO407" i="293"/>
  <c r="BN407" i="293"/>
  <c r="BM407" i="293"/>
  <c r="BL407" i="293"/>
  <c r="BK407" i="293"/>
  <c r="BJ407" i="293"/>
  <c r="AZ407" i="293"/>
  <c r="AY407" i="293"/>
  <c r="AX407" i="293"/>
  <c r="AW407" i="293"/>
  <c r="AV407" i="293"/>
  <c r="AU407" i="293"/>
  <c r="AT407" i="293"/>
  <c r="AK407" i="293" s="1"/>
  <c r="BO406" i="293"/>
  <c r="BN406" i="293"/>
  <c r="BM406" i="293"/>
  <c r="BL406" i="293"/>
  <c r="BK406" i="293"/>
  <c r="BJ406" i="293"/>
  <c r="AZ406" i="293"/>
  <c r="AY406" i="293"/>
  <c r="AX406" i="293"/>
  <c r="AW406" i="293"/>
  <c r="AV406" i="293"/>
  <c r="AU406" i="293"/>
  <c r="AT406" i="293"/>
  <c r="AK406" i="293" s="1"/>
  <c r="BO405" i="293"/>
  <c r="BN405" i="293"/>
  <c r="BM405" i="293"/>
  <c r="BL405" i="293"/>
  <c r="BK405" i="293"/>
  <c r="BJ405" i="293"/>
  <c r="AZ405" i="293"/>
  <c r="AY405" i="293"/>
  <c r="AX405" i="293"/>
  <c r="AW405" i="293"/>
  <c r="AV405" i="293"/>
  <c r="AK405" i="293" s="1"/>
  <c r="AU405" i="293"/>
  <c r="AT405" i="293"/>
  <c r="BO404" i="293"/>
  <c r="BN404" i="293"/>
  <c r="BM404" i="293"/>
  <c r="BL404" i="293"/>
  <c r="BK404" i="293"/>
  <c r="BJ404" i="293"/>
  <c r="AZ404" i="293"/>
  <c r="AY404" i="293"/>
  <c r="AX404" i="293"/>
  <c r="AW404" i="293"/>
  <c r="AV404" i="293"/>
  <c r="AK404" i="293" s="1"/>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K402" i="293" s="1"/>
  <c r="AW402" i="293"/>
  <c r="AV402" i="293"/>
  <c r="AU402" i="293"/>
  <c r="AT402" i="293"/>
  <c r="BO401" i="293"/>
  <c r="BN401" i="293"/>
  <c r="BM401" i="293"/>
  <c r="BL401" i="293"/>
  <c r="BK401" i="293"/>
  <c r="BJ401" i="293"/>
  <c r="AZ401" i="293"/>
  <c r="AY401" i="293"/>
  <c r="AX401" i="293"/>
  <c r="AW401" i="293"/>
  <c r="AV401" i="293"/>
  <c r="AU401" i="293"/>
  <c r="AK401" i="293" s="1"/>
  <c r="AT401" i="293"/>
  <c r="BO400" i="293"/>
  <c r="BN400" i="293"/>
  <c r="BM400" i="293"/>
  <c r="BL400" i="293"/>
  <c r="BK400" i="293"/>
  <c r="BJ400" i="293"/>
  <c r="AZ400" i="293"/>
  <c r="AY400" i="293"/>
  <c r="AX400" i="293"/>
  <c r="AW400" i="293"/>
  <c r="AK400" i="293" s="1"/>
  <c r="AV400" i="293"/>
  <c r="AU400" i="293"/>
  <c r="AT400" i="293"/>
  <c r="BO399" i="293"/>
  <c r="BN399" i="293"/>
  <c r="BM399" i="293"/>
  <c r="BL399" i="293"/>
  <c r="BK399" i="293"/>
  <c r="BJ399" i="293"/>
  <c r="AZ399" i="293"/>
  <c r="AY399" i="293"/>
  <c r="AX399" i="293"/>
  <c r="AW399" i="293"/>
  <c r="AV399" i="293"/>
  <c r="AU399" i="293"/>
  <c r="AT399" i="293"/>
  <c r="AK399" i="293" s="1"/>
  <c r="BO398" i="293"/>
  <c r="BN398" i="293"/>
  <c r="BM398" i="293"/>
  <c r="BL398" i="293"/>
  <c r="BK398" i="293"/>
  <c r="BJ398" i="293"/>
  <c r="AZ398" i="293"/>
  <c r="AY398" i="293"/>
  <c r="AX398" i="293"/>
  <c r="AW398" i="293"/>
  <c r="AV398" i="293"/>
  <c r="AU398" i="293"/>
  <c r="AT398" i="293"/>
  <c r="AK398" i="293" s="1"/>
  <c r="BO397" i="293"/>
  <c r="BN397" i="293"/>
  <c r="BM397" i="293"/>
  <c r="BL397" i="293"/>
  <c r="BK397" i="293"/>
  <c r="BJ397" i="293"/>
  <c r="AZ397" i="293"/>
  <c r="AY397" i="293"/>
  <c r="AX397" i="293"/>
  <c r="AW397" i="293"/>
  <c r="AV397" i="293"/>
  <c r="AK397" i="293" s="1"/>
  <c r="AU397" i="293"/>
  <c r="AT397" i="293"/>
  <c r="BO396" i="293"/>
  <c r="BN396" i="293"/>
  <c r="BM396" i="293"/>
  <c r="BL396" i="293"/>
  <c r="BK396" i="293"/>
  <c r="BJ396" i="293"/>
  <c r="AZ396" i="293"/>
  <c r="AY396" i="293"/>
  <c r="AX396" i="293"/>
  <c r="AW396" i="293"/>
  <c r="AV396" i="293"/>
  <c r="AK396" i="293" s="1"/>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K394" i="293" s="1"/>
  <c r="AW394" i="293"/>
  <c r="AV394" i="293"/>
  <c r="AU394" i="293"/>
  <c r="AT394" i="293"/>
  <c r="BO393" i="293"/>
  <c r="BN393" i="293"/>
  <c r="BM393" i="293"/>
  <c r="BL393" i="293"/>
  <c r="BK393" i="293"/>
  <c r="BJ393" i="293"/>
  <c r="AZ393" i="293"/>
  <c r="AY393" i="293"/>
  <c r="AX393" i="293"/>
  <c r="AW393" i="293"/>
  <c r="AV393" i="293"/>
  <c r="AU393" i="293"/>
  <c r="AK393" i="293" s="1"/>
  <c r="AT393" i="293"/>
  <c r="BO392" i="293"/>
  <c r="BN392" i="293"/>
  <c r="BM392" i="293"/>
  <c r="BL392" i="293"/>
  <c r="BK392" i="293"/>
  <c r="BJ392" i="293"/>
  <c r="AZ392" i="293"/>
  <c r="AY392" i="293"/>
  <c r="AX392" i="293"/>
  <c r="AW392" i="293"/>
  <c r="AK392" i="293" s="1"/>
  <c r="AV392" i="293"/>
  <c r="AU392" i="293"/>
  <c r="AT392" i="293"/>
  <c r="BO391" i="293"/>
  <c r="BN391" i="293"/>
  <c r="BM391" i="293"/>
  <c r="BL391" i="293"/>
  <c r="BK391" i="293"/>
  <c r="BJ391" i="293"/>
  <c r="AZ391" i="293"/>
  <c r="AY391" i="293"/>
  <c r="AX391" i="293"/>
  <c r="AW391" i="293"/>
  <c r="AV391" i="293"/>
  <c r="AU391" i="293"/>
  <c r="AT391" i="293"/>
  <c r="AK391" i="293" s="1"/>
  <c r="BO390" i="293"/>
  <c r="BN390" i="293"/>
  <c r="BM390" i="293"/>
  <c r="BL390" i="293"/>
  <c r="BK390" i="293"/>
  <c r="BJ390" i="293"/>
  <c r="AZ390" i="293"/>
  <c r="AY390" i="293"/>
  <c r="AX390" i="293"/>
  <c r="AW390" i="293"/>
  <c r="AV390" i="293"/>
  <c r="AU390" i="293"/>
  <c r="AT390" i="293"/>
  <c r="AK390" i="293" s="1"/>
  <c r="BO389" i="293"/>
  <c r="BN389" i="293"/>
  <c r="BM389" i="293"/>
  <c r="BL389" i="293"/>
  <c r="BK389" i="293"/>
  <c r="BJ389" i="293"/>
  <c r="AZ389" i="293"/>
  <c r="AY389" i="293"/>
  <c r="AX389" i="293"/>
  <c r="AW389" i="293"/>
  <c r="AV389" i="293"/>
  <c r="AK389" i="293" s="1"/>
  <c r="AU389" i="293"/>
  <c r="AT389" i="293"/>
  <c r="BO388" i="293"/>
  <c r="BN388" i="293"/>
  <c r="BM388" i="293"/>
  <c r="BL388" i="293"/>
  <c r="BK388" i="293"/>
  <c r="BJ388" i="293"/>
  <c r="AZ388" i="293"/>
  <c r="AY388" i="293"/>
  <c r="AX388" i="293"/>
  <c r="AW388" i="293"/>
  <c r="AV388" i="293"/>
  <c r="AK388" i="293" s="1"/>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K386" i="293" s="1"/>
  <c r="AW386" i="293"/>
  <c r="AV386" i="293"/>
  <c r="AU386" i="293"/>
  <c r="AT386" i="293"/>
  <c r="BO385" i="293"/>
  <c r="BN385" i="293"/>
  <c r="BM385" i="293"/>
  <c r="BL385" i="293"/>
  <c r="BK385" i="293"/>
  <c r="BJ385" i="293"/>
  <c r="AZ385" i="293"/>
  <c r="AY385" i="293"/>
  <c r="AX385" i="293"/>
  <c r="AW385" i="293"/>
  <c r="AV385" i="293"/>
  <c r="AU385" i="293"/>
  <c r="AK385" i="293" s="1"/>
  <c r="AT385" i="293"/>
  <c r="BO384" i="293"/>
  <c r="BN384" i="293"/>
  <c r="BM384" i="293"/>
  <c r="BL384" i="293"/>
  <c r="BK384" i="293"/>
  <c r="BJ384" i="293"/>
  <c r="AZ384" i="293"/>
  <c r="AY384" i="293"/>
  <c r="AX384" i="293"/>
  <c r="AW384" i="293"/>
  <c r="AK384" i="293" s="1"/>
  <c r="AV384" i="293"/>
  <c r="AU384" i="293"/>
  <c r="AT384" i="293"/>
  <c r="BO383" i="293"/>
  <c r="BN383" i="293"/>
  <c r="BM383" i="293"/>
  <c r="BL383" i="293"/>
  <c r="BK383" i="293"/>
  <c r="BJ383" i="293"/>
  <c r="AZ383" i="293"/>
  <c r="AY383" i="293"/>
  <c r="AX383" i="293"/>
  <c r="AW383" i="293"/>
  <c r="AV383" i="293"/>
  <c r="AU383" i="293"/>
  <c r="AT383" i="293"/>
  <c r="AK383" i="293" s="1"/>
  <c r="BO382" i="293"/>
  <c r="BN382" i="293"/>
  <c r="BM382" i="293"/>
  <c r="BL382" i="293"/>
  <c r="BK382" i="293"/>
  <c r="BJ382" i="293"/>
  <c r="AZ382" i="293"/>
  <c r="AY382" i="293"/>
  <c r="AX382" i="293"/>
  <c r="AW382" i="293"/>
  <c r="AV382" i="293"/>
  <c r="AU382" i="293"/>
  <c r="AT382" i="293"/>
  <c r="AK382" i="293" s="1"/>
  <c r="BO381" i="293"/>
  <c r="BN381" i="293"/>
  <c r="BM381" i="293"/>
  <c r="BL381" i="293"/>
  <c r="BK381" i="293"/>
  <c r="BJ381" i="293"/>
  <c r="AZ381" i="293"/>
  <c r="AY381" i="293"/>
  <c r="AX381" i="293"/>
  <c r="AW381" i="293"/>
  <c r="AV381" i="293"/>
  <c r="AK381" i="293" s="1"/>
  <c r="AU381" i="293"/>
  <c r="AT381" i="293"/>
  <c r="BO380" i="293"/>
  <c r="BN380" i="293"/>
  <c r="BM380" i="293"/>
  <c r="BL380" i="293"/>
  <c r="BK380" i="293"/>
  <c r="BJ380" i="293"/>
  <c r="AZ380" i="293"/>
  <c r="AY380" i="293"/>
  <c r="AX380" i="293"/>
  <c r="AW380" i="293"/>
  <c r="AV380" i="293"/>
  <c r="AK380" i="293" s="1"/>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K378" i="293" s="1"/>
  <c r="AW378" i="293"/>
  <c r="AV378" i="293"/>
  <c r="AU378" i="293"/>
  <c r="AT378" i="293"/>
  <c r="BO377" i="293"/>
  <c r="BN377" i="293"/>
  <c r="BM377" i="293"/>
  <c r="BL377" i="293"/>
  <c r="BK377" i="293"/>
  <c r="BJ377" i="293"/>
  <c r="AZ377" i="293"/>
  <c r="AY377" i="293"/>
  <c r="AX377" i="293"/>
  <c r="AW377" i="293"/>
  <c r="AV377" i="293"/>
  <c r="AU377" i="293"/>
  <c r="AK377" i="293" s="1"/>
  <c r="AT377" i="293"/>
  <c r="BO376" i="293"/>
  <c r="BN376" i="293"/>
  <c r="BM376" i="293"/>
  <c r="BL376" i="293"/>
  <c r="BK376" i="293"/>
  <c r="BJ376" i="293"/>
  <c r="AZ376" i="293"/>
  <c r="AY376" i="293"/>
  <c r="AX376" i="293"/>
  <c r="AW376" i="293"/>
  <c r="AK376" i="293" s="1"/>
  <c r="AV376" i="293"/>
  <c r="AU376" i="293"/>
  <c r="AT376" i="293"/>
  <c r="BO375" i="293"/>
  <c r="BN375" i="293"/>
  <c r="BM375" i="293"/>
  <c r="BL375" i="293"/>
  <c r="BK375" i="293"/>
  <c r="BJ375" i="293"/>
  <c r="AZ375" i="293"/>
  <c r="AY375" i="293"/>
  <c r="AX375" i="293"/>
  <c r="AW375" i="293"/>
  <c r="AV375" i="293"/>
  <c r="AU375" i="293"/>
  <c r="AT375" i="293"/>
  <c r="AK375" i="293" s="1"/>
  <c r="BO374" i="293"/>
  <c r="BN374" i="293"/>
  <c r="BM374" i="293"/>
  <c r="BL374" i="293"/>
  <c r="BK374" i="293"/>
  <c r="BJ374" i="293"/>
  <c r="AZ374" i="293"/>
  <c r="AY374" i="293"/>
  <c r="AX374" i="293"/>
  <c r="AW374" i="293"/>
  <c r="AV374" i="293"/>
  <c r="AU374" i="293"/>
  <c r="AT374" i="293"/>
  <c r="AK374" i="293" s="1"/>
  <c r="BO373" i="293"/>
  <c r="BN373" i="293"/>
  <c r="BM373" i="293"/>
  <c r="BL373" i="293"/>
  <c r="BK373" i="293"/>
  <c r="BJ373" i="293"/>
  <c r="AZ373" i="293"/>
  <c r="AY373" i="293"/>
  <c r="AX373" i="293"/>
  <c r="AW373" i="293"/>
  <c r="AV373" i="293"/>
  <c r="AK373" i="293" s="1"/>
  <c r="AU373" i="293"/>
  <c r="AT373" i="293"/>
  <c r="BO372" i="293"/>
  <c r="BN372" i="293"/>
  <c r="BM372" i="293"/>
  <c r="BL372" i="293"/>
  <c r="BK372" i="293"/>
  <c r="BJ372" i="293"/>
  <c r="AZ372" i="293"/>
  <c r="AY372" i="293"/>
  <c r="AX372" i="293"/>
  <c r="AW372" i="293"/>
  <c r="AV372" i="293"/>
  <c r="AK372" i="293" s="1"/>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K370" i="293" s="1"/>
  <c r="AW370" i="293"/>
  <c r="AV370" i="293"/>
  <c r="AU370" i="293"/>
  <c r="AT370" i="293"/>
  <c r="BO369" i="293"/>
  <c r="BN369" i="293"/>
  <c r="BM369" i="293"/>
  <c r="BL369" i="293"/>
  <c r="BK369" i="293"/>
  <c r="BJ369" i="293"/>
  <c r="AZ369" i="293"/>
  <c r="AY369" i="293"/>
  <c r="AX369" i="293"/>
  <c r="AW369" i="293"/>
  <c r="AV369" i="293"/>
  <c r="AU369" i="293"/>
  <c r="AK369" i="293" s="1"/>
  <c r="AT369" i="293"/>
  <c r="BO368" i="293"/>
  <c r="BN368" i="293"/>
  <c r="BM368" i="293"/>
  <c r="BL368" i="293"/>
  <c r="BK368" i="293"/>
  <c r="BJ368" i="293"/>
  <c r="AZ368" i="293"/>
  <c r="AY368" i="293"/>
  <c r="AX368" i="293"/>
  <c r="AW368" i="293"/>
  <c r="AK368" i="293" s="1"/>
  <c r="AV368" i="293"/>
  <c r="AU368" i="293"/>
  <c r="AT368" i="293"/>
  <c r="BO367" i="293"/>
  <c r="BN367" i="293"/>
  <c r="BM367" i="293"/>
  <c r="BL367" i="293"/>
  <c r="BK367" i="293"/>
  <c r="BJ367" i="293"/>
  <c r="AZ367" i="293"/>
  <c r="AY367" i="293"/>
  <c r="AX367" i="293"/>
  <c r="AW367" i="293"/>
  <c r="AV367" i="293"/>
  <c r="AU367" i="293"/>
  <c r="AT367" i="293"/>
  <c r="AK367" i="293" s="1"/>
  <c r="BO366" i="293"/>
  <c r="BN366" i="293"/>
  <c r="BM366" i="293"/>
  <c r="BL366" i="293"/>
  <c r="BK366" i="293"/>
  <c r="BJ366" i="293"/>
  <c r="AZ366" i="293"/>
  <c r="AY366" i="293"/>
  <c r="AX366" i="293"/>
  <c r="AW366" i="293"/>
  <c r="AV366" i="293"/>
  <c r="AU366" i="293"/>
  <c r="AT366" i="293"/>
  <c r="AK366" i="293" s="1"/>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K362" i="293" s="1"/>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K354" i="293" s="1"/>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AK322" i="293" s="1"/>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AK311" i="293" s="1"/>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K308" i="293" s="1"/>
  <c r="AW308" i="293"/>
  <c r="AV308" i="293"/>
  <c r="AU308" i="293"/>
  <c r="AT308" i="293"/>
  <c r="BO307" i="293"/>
  <c r="BN307" i="293"/>
  <c r="BM307" i="293"/>
  <c r="BL307" i="293"/>
  <c r="BK307" i="293"/>
  <c r="BJ307" i="293"/>
  <c r="AZ307" i="293"/>
  <c r="AY307" i="293"/>
  <c r="AX307" i="293"/>
  <c r="AW307" i="293"/>
  <c r="AV307" i="293"/>
  <c r="AU307" i="293"/>
  <c r="AK307" i="293" s="1"/>
  <c r="AT307" i="293"/>
  <c r="BO306" i="293"/>
  <c r="BN306" i="293"/>
  <c r="BM306" i="293"/>
  <c r="BL306" i="293"/>
  <c r="BK306" i="293"/>
  <c r="BJ306" i="293"/>
  <c r="AZ306" i="293"/>
  <c r="AY306" i="293"/>
  <c r="AX306" i="293"/>
  <c r="AW306" i="293"/>
  <c r="AV306" i="293"/>
  <c r="AU306" i="293"/>
  <c r="AK306" i="293" s="1"/>
  <c r="AT306" i="293"/>
  <c r="BO305" i="293"/>
  <c r="BN305" i="293"/>
  <c r="BM305" i="293"/>
  <c r="BL305" i="293"/>
  <c r="BK305" i="293"/>
  <c r="BJ305" i="293"/>
  <c r="AZ305" i="293"/>
  <c r="AY305" i="293"/>
  <c r="AX305" i="293"/>
  <c r="AW305" i="293"/>
  <c r="AK305" i="293" s="1"/>
  <c r="AV305" i="293"/>
  <c r="AU305" i="293"/>
  <c r="AT305" i="293"/>
  <c r="BO304" i="293"/>
  <c r="BN304" i="293"/>
  <c r="BM304" i="293"/>
  <c r="BL304" i="293"/>
  <c r="BK304" i="293"/>
  <c r="BJ304" i="293"/>
  <c r="AZ304" i="293"/>
  <c r="AY304" i="293"/>
  <c r="AX304" i="293"/>
  <c r="AW304" i="293"/>
  <c r="AV304" i="293"/>
  <c r="AU304" i="293"/>
  <c r="AT304" i="293"/>
  <c r="AK304" i="293" s="1"/>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K301" i="293" s="1"/>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K299" i="293" s="1"/>
  <c r="AT299" i="293"/>
  <c r="BO298" i="293"/>
  <c r="BN298" i="293"/>
  <c r="BM298" i="293"/>
  <c r="BL298" i="293"/>
  <c r="BK298" i="293"/>
  <c r="BJ298" i="293"/>
  <c r="AZ298" i="293"/>
  <c r="AY298" i="293"/>
  <c r="AX298" i="293"/>
  <c r="AW298" i="293"/>
  <c r="AV298" i="293"/>
  <c r="AU298" i="293"/>
  <c r="AK298" i="293" s="1"/>
  <c r="AT298" i="293"/>
  <c r="BO297" i="293"/>
  <c r="BN297" i="293"/>
  <c r="BM297" i="293"/>
  <c r="BL297" i="293"/>
  <c r="BK297" i="293"/>
  <c r="BJ297" i="293"/>
  <c r="AZ297" i="293"/>
  <c r="AY297" i="293"/>
  <c r="AX297" i="293"/>
  <c r="AW297" i="293"/>
  <c r="AK297" i="293" s="1"/>
  <c r="AV297" i="293"/>
  <c r="AU297" i="293"/>
  <c r="AT297" i="293"/>
  <c r="BO296" i="293"/>
  <c r="BN296" i="293"/>
  <c r="BM296" i="293"/>
  <c r="BL296" i="293"/>
  <c r="BK296" i="293"/>
  <c r="BJ296" i="293"/>
  <c r="AZ296" i="293"/>
  <c r="AY296" i="293"/>
  <c r="AX296" i="293"/>
  <c r="AW296" i="293"/>
  <c r="AV296" i="293"/>
  <c r="AU296" i="293"/>
  <c r="AT296" i="293"/>
  <c r="AK296" i="293" s="1"/>
  <c r="BO295" i="293"/>
  <c r="BN295" i="293"/>
  <c r="BM295" i="293"/>
  <c r="BL295" i="293"/>
  <c r="BK295" i="293"/>
  <c r="BJ295" i="293"/>
  <c r="AZ295" i="293"/>
  <c r="AY295" i="293"/>
  <c r="AX295" i="293"/>
  <c r="AW295" i="293"/>
  <c r="AV295" i="293"/>
  <c r="AU295" i="293"/>
  <c r="AT295" i="293"/>
  <c r="AK295" i="293" s="1"/>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K292" i="293" s="1"/>
  <c r="AW292" i="293"/>
  <c r="AV292" i="293"/>
  <c r="AU292" i="293"/>
  <c r="AT292" i="293"/>
  <c r="BO291" i="293"/>
  <c r="BN291" i="293"/>
  <c r="BM291" i="293"/>
  <c r="BL291" i="293"/>
  <c r="BK291" i="293"/>
  <c r="BJ291" i="293"/>
  <c r="AZ291" i="293"/>
  <c r="AY291" i="293"/>
  <c r="AX291" i="293"/>
  <c r="AW291" i="293"/>
  <c r="AV291" i="293"/>
  <c r="AU291" i="293"/>
  <c r="AK291" i="293" s="1"/>
  <c r="AT291" i="293"/>
  <c r="BO290" i="293"/>
  <c r="BN290" i="293"/>
  <c r="BM290" i="293"/>
  <c r="BL290" i="293"/>
  <c r="BK290" i="293"/>
  <c r="BJ290" i="293"/>
  <c r="AZ290" i="293"/>
  <c r="AY290" i="293"/>
  <c r="AX290" i="293"/>
  <c r="AW290" i="293"/>
  <c r="AV290" i="293"/>
  <c r="AU290" i="293"/>
  <c r="AK290" i="293" s="1"/>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AK288" i="293" s="1"/>
  <c r="BO287" i="293"/>
  <c r="BN287" i="293"/>
  <c r="BM287" i="293"/>
  <c r="BL287" i="293"/>
  <c r="BK287" i="293"/>
  <c r="BJ287" i="293"/>
  <c r="AZ287" i="293"/>
  <c r="AY287" i="293"/>
  <c r="AX287" i="293"/>
  <c r="AW287" i="293"/>
  <c r="AV287" i="293"/>
  <c r="AU287" i="293"/>
  <c r="AT287" i="293"/>
  <c r="AK287" i="293" s="1"/>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K283" i="293" s="1"/>
  <c r="AT283" i="293"/>
  <c r="BO282" i="293"/>
  <c r="BN282" i="293"/>
  <c r="BM282" i="293"/>
  <c r="BL282" i="293"/>
  <c r="BK282" i="293"/>
  <c r="BJ282" i="293"/>
  <c r="AZ282" i="293"/>
  <c r="AY282" i="293"/>
  <c r="AX282" i="293"/>
  <c r="AW282" i="293"/>
  <c r="AV282" i="293"/>
  <c r="AU282" i="293"/>
  <c r="AK282" i="293" s="1"/>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AK280" i="293" s="1"/>
  <c r="BO279" i="293"/>
  <c r="BN279" i="293"/>
  <c r="BM279" i="293"/>
  <c r="BL279" i="293"/>
  <c r="BK279" i="293"/>
  <c r="BJ279" i="293"/>
  <c r="AZ279" i="293"/>
  <c r="AY279" i="293"/>
  <c r="AX279" i="293"/>
  <c r="AW279" i="293"/>
  <c r="AV279" i="293"/>
  <c r="AU279" i="293"/>
  <c r="AT279" i="293"/>
  <c r="AK279" i="293" s="1"/>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K276" i="293" s="1"/>
  <c r="AW276" i="293"/>
  <c r="AV276" i="293"/>
  <c r="AU276" i="293"/>
  <c r="AT276" i="293"/>
  <c r="BO275" i="293"/>
  <c r="BN275" i="293"/>
  <c r="BM275" i="293"/>
  <c r="BL275" i="293"/>
  <c r="BK275" i="293"/>
  <c r="BJ275" i="293"/>
  <c r="AZ275" i="293"/>
  <c r="AY275" i="293"/>
  <c r="AX275" i="293"/>
  <c r="AW275" i="293"/>
  <c r="AV275" i="293"/>
  <c r="AU275" i="293"/>
  <c r="AK275" i="293" s="1"/>
  <c r="AT275" i="293"/>
  <c r="BO274" i="293"/>
  <c r="BN274" i="293"/>
  <c r="BM274" i="293"/>
  <c r="BL274" i="293"/>
  <c r="BK274" i="293"/>
  <c r="BJ274" i="293"/>
  <c r="AZ274" i="293"/>
  <c r="AY274" i="293"/>
  <c r="AX274" i="293"/>
  <c r="AW274" i="293"/>
  <c r="AV274" i="293"/>
  <c r="AU274" i="293"/>
  <c r="AK274" i="293" s="1"/>
  <c r="AT274" i="293"/>
  <c r="BO273" i="293"/>
  <c r="BN273" i="293"/>
  <c r="BM273" i="293"/>
  <c r="BL273" i="293"/>
  <c r="BK273" i="293"/>
  <c r="BJ273" i="293"/>
  <c r="AZ273" i="293"/>
  <c r="AY273" i="293"/>
  <c r="AX273" i="293"/>
  <c r="AW273" i="293"/>
  <c r="AK273" i="293" s="1"/>
  <c r="AV273" i="293"/>
  <c r="AU273" i="293"/>
  <c r="AT273" i="293"/>
  <c r="BO272" i="293"/>
  <c r="BN272" i="293"/>
  <c r="BM272" i="293"/>
  <c r="BL272" i="293"/>
  <c r="BK272" i="293"/>
  <c r="BJ272" i="293"/>
  <c r="AZ272" i="293"/>
  <c r="AY272" i="293"/>
  <c r="AX272" i="293"/>
  <c r="AW272" i="293"/>
  <c r="AV272" i="293"/>
  <c r="AU272" i="293"/>
  <c r="AT272" i="293"/>
  <c r="AK272" i="293" s="1"/>
  <c r="BO271" i="293"/>
  <c r="BN271" i="293"/>
  <c r="BM271" i="293"/>
  <c r="BL271" i="293"/>
  <c r="BK271" i="293"/>
  <c r="BJ271" i="293"/>
  <c r="AZ271" i="293"/>
  <c r="AY271" i="293"/>
  <c r="AX271" i="293"/>
  <c r="AW271" i="293"/>
  <c r="AV271" i="293"/>
  <c r="AU271" i="293"/>
  <c r="AT271" i="293"/>
  <c r="AK271" i="293" s="1"/>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K269" i="293" s="1"/>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K266" i="293" s="1"/>
  <c r="AT266" i="293"/>
  <c r="BO265" i="293"/>
  <c r="BN265" i="293"/>
  <c r="BM265" i="293"/>
  <c r="BL265" i="293"/>
  <c r="BK265" i="293"/>
  <c r="BJ265" i="293"/>
  <c r="AZ265" i="293"/>
  <c r="AY265" i="293"/>
  <c r="AX265" i="293"/>
  <c r="AW265" i="293"/>
  <c r="AK265" i="293" s="1"/>
  <c r="AV265" i="293"/>
  <c r="AU265" i="293"/>
  <c r="AT265" i="293"/>
  <c r="BO264" i="293"/>
  <c r="BN264" i="293"/>
  <c r="BM264" i="293"/>
  <c r="BL264" i="293"/>
  <c r="BK264" i="293"/>
  <c r="BJ264" i="293"/>
  <c r="AZ264" i="293"/>
  <c r="AY264" i="293"/>
  <c r="AX264" i="293"/>
  <c r="AW264" i="293"/>
  <c r="AV264" i="293"/>
  <c r="AU264" i="293"/>
  <c r="AT264" i="293"/>
  <c r="AK264" i="293" s="1"/>
  <c r="BO263" i="293"/>
  <c r="BN263" i="293"/>
  <c r="BM263" i="293"/>
  <c r="BL263" i="293"/>
  <c r="BK263" i="293"/>
  <c r="BJ263" i="293"/>
  <c r="AZ263" i="293"/>
  <c r="AY263" i="293"/>
  <c r="AX263" i="293"/>
  <c r="AW263" i="293"/>
  <c r="AV263" i="293"/>
  <c r="AU263" i="293"/>
  <c r="AT263" i="293"/>
  <c r="AK263" i="293" s="1"/>
  <c r="BO262" i="293"/>
  <c r="BN262" i="293"/>
  <c r="BM262" i="293"/>
  <c r="BL262" i="293"/>
  <c r="BK262" i="293"/>
  <c r="BJ262" i="293"/>
  <c r="AZ262" i="293"/>
  <c r="AY262" i="293"/>
  <c r="AX262" i="293"/>
  <c r="AW262" i="293"/>
  <c r="AV262" i="293"/>
  <c r="AK262" i="293" s="1"/>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K260" i="293" s="1"/>
  <c r="AW260" i="293"/>
  <c r="AV260" i="293"/>
  <c r="AU260" i="293"/>
  <c r="AT260" i="293"/>
  <c r="BO259" i="293"/>
  <c r="BN259" i="293"/>
  <c r="BM259" i="293"/>
  <c r="BL259" i="293"/>
  <c r="BK259" i="293"/>
  <c r="BJ259" i="293"/>
  <c r="AZ259" i="293"/>
  <c r="AY259" i="293"/>
  <c r="AX259" i="293"/>
  <c r="AW259" i="293"/>
  <c r="AV259" i="293"/>
  <c r="AU259" i="293"/>
  <c r="AK259" i="293" s="1"/>
  <c r="AT259" i="293"/>
  <c r="BO258" i="293"/>
  <c r="BN258" i="293"/>
  <c r="BM258" i="293"/>
  <c r="BL258" i="293"/>
  <c r="BK258" i="293"/>
  <c r="BJ258" i="293"/>
  <c r="AZ258" i="293"/>
  <c r="AY258" i="293"/>
  <c r="AX258" i="293"/>
  <c r="AW258" i="293"/>
  <c r="AV258" i="293"/>
  <c r="AU258" i="293"/>
  <c r="AK258" i="293" s="1"/>
  <c r="AT258" i="293"/>
  <c r="BO257" i="293"/>
  <c r="BN257" i="293"/>
  <c r="BM257" i="293"/>
  <c r="BL257" i="293"/>
  <c r="BK257" i="293"/>
  <c r="BJ257" i="293"/>
  <c r="AZ257" i="293"/>
  <c r="AY257" i="293"/>
  <c r="AX257" i="293"/>
  <c r="AW257" i="293"/>
  <c r="AK257" i="293" s="1"/>
  <c r="AV257" i="293"/>
  <c r="AU257" i="293"/>
  <c r="AT257" i="293"/>
  <c r="BO256" i="293"/>
  <c r="BN256" i="293"/>
  <c r="BM256" i="293"/>
  <c r="BL256" i="293"/>
  <c r="BK256" i="293"/>
  <c r="BJ256" i="293"/>
  <c r="AZ256" i="293"/>
  <c r="AY256" i="293"/>
  <c r="AX256" i="293"/>
  <c r="AW256" i="293"/>
  <c r="AK256" i="293" s="1"/>
  <c r="AV256" i="293"/>
  <c r="AU256" i="293"/>
  <c r="AT256" i="293"/>
  <c r="BO255" i="293"/>
  <c r="BN255" i="293"/>
  <c r="BM255" i="293"/>
  <c r="BL255" i="293"/>
  <c r="BK255" i="293"/>
  <c r="BJ255" i="293"/>
  <c r="AZ255" i="293"/>
  <c r="AY255" i="293"/>
  <c r="AX255" i="293"/>
  <c r="AW255" i="293"/>
  <c r="AV255" i="293"/>
  <c r="AU255" i="293"/>
  <c r="AT255" i="293"/>
  <c r="AK255" i="293" s="1"/>
  <c r="BO254" i="293"/>
  <c r="BN254" i="293"/>
  <c r="BM254" i="293"/>
  <c r="BL254" i="293"/>
  <c r="BK254" i="293"/>
  <c r="BJ254" i="293"/>
  <c r="AZ254" i="293"/>
  <c r="AY254" i="293"/>
  <c r="AX254" i="293"/>
  <c r="AW254" i="293"/>
  <c r="AV254" i="293"/>
  <c r="AK254" i="293" s="1"/>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K252" i="293" s="1"/>
  <c r="AW252" i="293"/>
  <c r="AV252" i="293"/>
  <c r="AU252" i="293"/>
  <c r="AT252" i="293"/>
  <c r="BO251" i="293"/>
  <c r="BN251" i="293"/>
  <c r="BM251" i="293"/>
  <c r="BL251" i="293"/>
  <c r="BK251" i="293"/>
  <c r="BJ251" i="293"/>
  <c r="AZ251" i="293"/>
  <c r="AY251" i="293"/>
  <c r="AX251" i="293"/>
  <c r="AW251" i="293"/>
  <c r="AV251" i="293"/>
  <c r="AU251" i="293"/>
  <c r="AK251" i="293" s="1"/>
  <c r="AT251" i="293"/>
  <c r="BO250" i="293"/>
  <c r="BN250" i="293"/>
  <c r="BM250" i="293"/>
  <c r="BL250" i="293"/>
  <c r="BK250" i="293"/>
  <c r="BJ250" i="293"/>
  <c r="AZ250" i="293"/>
  <c r="AY250" i="293"/>
  <c r="AX250" i="293"/>
  <c r="AW250" i="293"/>
  <c r="AV250" i="293"/>
  <c r="AU250" i="293"/>
  <c r="AK250" i="293" s="1"/>
  <c r="AT250" i="293"/>
  <c r="BO249" i="293"/>
  <c r="BN249" i="293"/>
  <c r="BM249" i="293"/>
  <c r="BL249" i="293"/>
  <c r="BK249" i="293"/>
  <c r="BJ249" i="293"/>
  <c r="AZ249" i="293"/>
  <c r="AY249" i="293"/>
  <c r="AX249" i="293"/>
  <c r="AW249" i="293"/>
  <c r="AK249" i="293" s="1"/>
  <c r="AV249" i="293"/>
  <c r="AU249" i="293"/>
  <c r="AT249" i="293"/>
  <c r="BO248" i="293"/>
  <c r="BN248" i="293"/>
  <c r="BM248" i="293"/>
  <c r="BL248" i="293"/>
  <c r="BK248" i="293"/>
  <c r="BJ248" i="293"/>
  <c r="AZ248" i="293"/>
  <c r="AY248" i="293"/>
  <c r="AX248" i="293"/>
  <c r="AW248" i="293"/>
  <c r="AK248" i="293" s="1"/>
  <c r="AV248" i="293"/>
  <c r="AU248" i="293"/>
  <c r="AT248" i="293"/>
  <c r="BO247" i="293"/>
  <c r="BN247" i="293"/>
  <c r="BM247" i="293"/>
  <c r="BL247" i="293"/>
  <c r="BK247" i="293"/>
  <c r="BJ247" i="293"/>
  <c r="AZ247" i="293"/>
  <c r="AY247" i="293"/>
  <c r="AX247" i="293"/>
  <c r="AW247" i="293"/>
  <c r="AV247" i="293"/>
  <c r="AU247" i="293"/>
  <c r="AT247" i="293"/>
  <c r="AK247" i="293" s="1"/>
  <c r="BO246" i="293"/>
  <c r="BN246" i="293"/>
  <c r="BM246" i="293"/>
  <c r="BL246" i="293"/>
  <c r="BK246" i="293"/>
  <c r="BJ246" i="293"/>
  <c r="AZ246" i="293"/>
  <c r="AY246" i="293"/>
  <c r="AX246" i="293"/>
  <c r="AW246" i="293"/>
  <c r="AV246" i="293"/>
  <c r="AK246" i="293" s="1"/>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K244" i="293" s="1"/>
  <c r="AW244" i="293"/>
  <c r="AV244" i="293"/>
  <c r="AU244" i="293"/>
  <c r="AT244" i="293"/>
  <c r="BO243" i="293"/>
  <c r="BN243" i="293"/>
  <c r="BM243" i="293"/>
  <c r="BL243" i="293"/>
  <c r="BK243" i="293"/>
  <c r="BJ243" i="293"/>
  <c r="AZ243" i="293"/>
  <c r="AY243" i="293"/>
  <c r="AX243" i="293"/>
  <c r="AW243" i="293"/>
  <c r="AV243" i="293"/>
  <c r="AU243" i="293"/>
  <c r="AK243" i="293" s="1"/>
  <c r="AT243" i="293"/>
  <c r="BO242" i="293"/>
  <c r="BN242" i="293"/>
  <c r="BM242" i="293"/>
  <c r="BL242" i="293"/>
  <c r="BK242" i="293"/>
  <c r="BJ242" i="293"/>
  <c r="AZ242" i="293"/>
  <c r="AY242" i="293"/>
  <c r="AX242" i="293"/>
  <c r="AW242" i="293"/>
  <c r="AV242" i="293"/>
  <c r="AU242" i="293"/>
  <c r="AK242" i="293" s="1"/>
  <c r="AT242" i="293"/>
  <c r="BO241" i="293"/>
  <c r="BN241" i="293"/>
  <c r="BM241" i="293"/>
  <c r="BL241" i="293"/>
  <c r="BK241" i="293"/>
  <c r="BJ241" i="293"/>
  <c r="AZ241" i="293"/>
  <c r="AY241" i="293"/>
  <c r="AX241" i="293"/>
  <c r="AW241" i="293"/>
  <c r="AK241" i="293" s="1"/>
  <c r="AV241" i="293"/>
  <c r="AU241" i="293"/>
  <c r="AT241" i="293"/>
  <c r="BO240" i="293"/>
  <c r="BN240" i="293"/>
  <c r="BM240" i="293"/>
  <c r="BL240" i="293"/>
  <c r="BK240" i="293"/>
  <c r="BJ240" i="293"/>
  <c r="AZ240" i="293"/>
  <c r="AY240" i="293"/>
  <c r="AX240" i="293"/>
  <c r="AW240" i="293"/>
  <c r="AK240" i="293" s="1"/>
  <c r="AV240" i="293"/>
  <c r="AU240" i="293"/>
  <c r="AT240" i="293"/>
  <c r="BO239" i="293"/>
  <c r="BN239" i="293"/>
  <c r="BM239" i="293"/>
  <c r="BL239" i="293"/>
  <c r="BK239" i="293"/>
  <c r="BJ239" i="293"/>
  <c r="AZ239" i="293"/>
  <c r="AY239" i="293"/>
  <c r="AX239" i="293"/>
  <c r="AW239" i="293"/>
  <c r="AV239" i="293"/>
  <c r="AU239" i="293"/>
  <c r="AT239" i="293"/>
  <c r="AK239" i="293" s="1"/>
  <c r="BO238" i="293"/>
  <c r="BN238" i="293"/>
  <c r="BM238" i="293"/>
  <c r="BL238" i="293"/>
  <c r="BK238" i="293"/>
  <c r="BJ238" i="293"/>
  <c r="AZ238" i="293"/>
  <c r="AY238" i="293"/>
  <c r="AX238" i="293"/>
  <c r="AW238" i="293"/>
  <c r="AV238" i="293"/>
  <c r="AK238" i="293" s="1"/>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K236" i="293" s="1"/>
  <c r="AW236" i="293"/>
  <c r="AV236" i="293"/>
  <c r="AU236" i="293"/>
  <c r="AT236" i="293"/>
  <c r="BO235" i="293"/>
  <c r="BN235" i="293"/>
  <c r="BM235" i="293"/>
  <c r="BL235" i="293"/>
  <c r="BK235" i="293"/>
  <c r="BJ235" i="293"/>
  <c r="AZ235" i="293"/>
  <c r="AY235" i="293"/>
  <c r="AX235" i="293"/>
  <c r="AW235" i="293"/>
  <c r="AV235" i="293"/>
  <c r="AU235" i="293"/>
  <c r="AK235" i="293" s="1"/>
  <c r="AT235" i="293"/>
  <c r="BO234" i="293"/>
  <c r="BN234" i="293"/>
  <c r="BM234" i="293"/>
  <c r="BL234" i="293"/>
  <c r="BK234" i="293"/>
  <c r="BJ234" i="293"/>
  <c r="AZ234" i="293"/>
  <c r="AY234" i="293"/>
  <c r="AX234" i="293"/>
  <c r="AW234" i="293"/>
  <c r="AV234" i="293"/>
  <c r="AU234" i="293"/>
  <c r="AK234" i="293" s="1"/>
  <c r="AT234" i="293"/>
  <c r="BO233" i="293"/>
  <c r="BN233" i="293"/>
  <c r="BM233" i="293"/>
  <c r="BL233" i="293"/>
  <c r="BK233" i="293"/>
  <c r="BJ233" i="293"/>
  <c r="AZ233" i="293"/>
  <c r="AY233" i="293"/>
  <c r="AX233" i="293"/>
  <c r="AW233" i="293"/>
  <c r="AK233" i="293" s="1"/>
  <c r="AV233" i="293"/>
  <c r="AU233" i="293"/>
  <c r="AT233" i="293"/>
  <c r="BO232" i="293"/>
  <c r="BN232" i="293"/>
  <c r="BM232" i="293"/>
  <c r="BL232" i="293"/>
  <c r="BK232" i="293"/>
  <c r="BJ232" i="293"/>
  <c r="AZ232" i="293"/>
  <c r="AY232" i="293"/>
  <c r="AX232" i="293"/>
  <c r="AW232" i="293"/>
  <c r="AK232" i="293" s="1"/>
  <c r="AV232" i="293"/>
  <c r="AU232" i="293"/>
  <c r="AT232" i="293"/>
  <c r="BO231" i="293"/>
  <c r="BN231" i="293"/>
  <c r="BM231" i="293"/>
  <c r="BL231" i="293"/>
  <c r="BK231" i="293"/>
  <c r="BJ231" i="293"/>
  <c r="AZ231" i="293"/>
  <c r="AY231" i="293"/>
  <c r="AX231" i="293"/>
  <c r="AW231" i="293"/>
  <c r="AV231" i="293"/>
  <c r="AU231" i="293"/>
  <c r="AT231" i="293"/>
  <c r="AK231" i="293" s="1"/>
  <c r="BO230" i="293"/>
  <c r="BN230" i="293"/>
  <c r="BM230" i="293"/>
  <c r="BL230" i="293"/>
  <c r="BK230" i="293"/>
  <c r="BJ230" i="293"/>
  <c r="AZ230" i="293"/>
  <c r="AY230" i="293"/>
  <c r="AX230" i="293"/>
  <c r="AW230" i="293"/>
  <c r="AV230" i="293"/>
  <c r="AK230" i="293" s="1"/>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K228" i="293" s="1"/>
  <c r="AW228" i="293"/>
  <c r="AV228" i="293"/>
  <c r="AU228" i="293"/>
  <c r="AT228" i="293"/>
  <c r="BO227" i="293"/>
  <c r="BN227" i="293"/>
  <c r="BM227" i="293"/>
  <c r="BL227" i="293"/>
  <c r="BK227" i="293"/>
  <c r="BJ227" i="293"/>
  <c r="AZ227" i="293"/>
  <c r="AY227" i="293"/>
  <c r="AX227" i="293"/>
  <c r="AW227" i="293"/>
  <c r="AV227" i="293"/>
  <c r="AU227" i="293"/>
  <c r="AK227" i="293" s="1"/>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K225" i="293" s="1"/>
  <c r="AV225" i="293"/>
  <c r="AU225" i="293"/>
  <c r="AT225" i="293"/>
  <c r="BO224" i="293"/>
  <c r="BN224" i="293"/>
  <c r="BM224" i="293"/>
  <c r="BL224" i="293"/>
  <c r="BK224" i="293"/>
  <c r="BJ224" i="293"/>
  <c r="AZ224" i="293"/>
  <c r="AY224" i="293"/>
  <c r="AX224" i="293"/>
  <c r="AW224" i="293"/>
  <c r="AV224" i="293"/>
  <c r="AU224" i="293"/>
  <c r="AT224" i="293"/>
  <c r="AK224" i="293" s="1"/>
  <c r="BO223" i="293"/>
  <c r="BN223" i="293"/>
  <c r="BM223" i="293"/>
  <c r="BL223" i="293"/>
  <c r="BK223" i="293"/>
  <c r="BJ223" i="293"/>
  <c r="AZ223" i="293"/>
  <c r="AY223" i="293"/>
  <c r="AX223" i="293"/>
  <c r="AW223" i="293"/>
  <c r="AV223" i="293"/>
  <c r="AU223" i="293"/>
  <c r="AT223" i="293"/>
  <c r="AK223" i="293" s="1"/>
  <c r="BO222" i="293"/>
  <c r="BN222" i="293"/>
  <c r="BM222" i="293"/>
  <c r="BL222" i="293"/>
  <c r="BK222" i="293"/>
  <c r="BJ222" i="293"/>
  <c r="AZ222" i="293"/>
  <c r="AY222" i="293"/>
  <c r="AX222" i="293"/>
  <c r="AW222" i="293"/>
  <c r="AV222" i="293"/>
  <c r="AK222" i="293" s="1"/>
  <c r="AU222" i="293"/>
  <c r="AT222" i="293"/>
  <c r="BO221" i="293"/>
  <c r="BN221" i="293"/>
  <c r="BM221" i="293"/>
  <c r="BL221" i="293"/>
  <c r="BK221" i="293"/>
  <c r="BJ221" i="293"/>
  <c r="AZ221" i="293"/>
  <c r="AY221" i="293"/>
  <c r="AX221" i="293"/>
  <c r="AW221" i="293"/>
  <c r="AV221" i="293"/>
  <c r="AK221" i="293" s="1"/>
  <c r="AU221" i="293"/>
  <c r="AT221" i="293"/>
  <c r="BO220" i="293"/>
  <c r="BN220" i="293"/>
  <c r="BM220" i="293"/>
  <c r="BL220" i="293"/>
  <c r="BK220" i="293"/>
  <c r="BJ220" i="293"/>
  <c r="AZ220" i="293"/>
  <c r="AY220" i="293"/>
  <c r="AX220" i="293"/>
  <c r="AK220" i="293" s="1"/>
  <c r="AW220" i="293"/>
  <c r="AV220" i="293"/>
  <c r="AU220" i="293"/>
  <c r="AT220" i="293"/>
  <c r="BO219" i="293"/>
  <c r="BN219" i="293"/>
  <c r="BM219" i="293"/>
  <c r="BL219" i="293"/>
  <c r="BK219" i="293"/>
  <c r="BJ219" i="293"/>
  <c r="AZ219" i="293"/>
  <c r="AY219" i="293"/>
  <c r="AX219" i="293"/>
  <c r="AW219" i="293"/>
  <c r="AV219" i="293"/>
  <c r="AU219" i="293"/>
  <c r="AK219" i="293" s="1"/>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K217" i="293" s="1"/>
  <c r="AV217" i="293"/>
  <c r="AU217" i="293"/>
  <c r="AT217" i="293"/>
  <c r="BO216" i="293"/>
  <c r="BN216" i="293"/>
  <c r="BM216" i="293"/>
  <c r="BL216" i="293"/>
  <c r="BK216" i="293"/>
  <c r="BJ216" i="293"/>
  <c r="AZ216" i="293"/>
  <c r="AY216" i="293"/>
  <c r="AX216" i="293"/>
  <c r="AW216" i="293"/>
  <c r="AV216" i="293"/>
  <c r="AU216" i="293"/>
  <c r="AT216" i="293"/>
  <c r="AK216" i="293" s="1"/>
  <c r="BO215" i="293"/>
  <c r="BN215" i="293"/>
  <c r="BM215" i="293"/>
  <c r="BL215" i="293"/>
  <c r="BK215" i="293"/>
  <c r="BJ215" i="293"/>
  <c r="AZ215" i="293"/>
  <c r="AY215" i="293"/>
  <c r="AX215" i="293"/>
  <c r="AW215" i="293"/>
  <c r="AV215" i="293"/>
  <c r="AU215" i="293"/>
  <c r="AT215" i="293"/>
  <c r="AK215" i="293" s="1"/>
  <c r="BO214" i="293"/>
  <c r="BN214" i="293"/>
  <c r="BM214" i="293"/>
  <c r="BL214" i="293"/>
  <c r="BK214" i="293"/>
  <c r="BJ214" i="293"/>
  <c r="AZ214" i="293"/>
  <c r="AY214" i="293"/>
  <c r="AX214" i="293"/>
  <c r="AW214" i="293"/>
  <c r="AV214" i="293"/>
  <c r="AK214" i="293" s="1"/>
  <c r="AU214" i="293"/>
  <c r="AT214" i="293"/>
  <c r="BO213" i="293"/>
  <c r="BN213" i="293"/>
  <c r="BM213" i="293"/>
  <c r="BL213" i="293"/>
  <c r="BK213" i="293"/>
  <c r="BJ213" i="293"/>
  <c r="AZ213" i="293"/>
  <c r="AY213" i="293"/>
  <c r="AX213" i="293"/>
  <c r="AW213" i="293"/>
  <c r="AV213" i="293"/>
  <c r="AK213" i="293" s="1"/>
  <c r="AU213" i="293"/>
  <c r="AT213" i="293"/>
  <c r="BO212" i="293"/>
  <c r="BN212" i="293"/>
  <c r="BM212" i="293"/>
  <c r="BL212" i="293"/>
  <c r="BK212" i="293"/>
  <c r="BJ212" i="293"/>
  <c r="AK212" i="293" s="1"/>
  <c r="AZ212" i="293"/>
  <c r="AY212" i="293"/>
  <c r="AX212" i="293"/>
  <c r="AW212" i="293"/>
  <c r="AV212" i="293"/>
  <c r="AU212" i="293"/>
  <c r="AT212" i="293"/>
  <c r="BO211" i="293"/>
  <c r="BN211" i="293"/>
  <c r="BM211" i="293"/>
  <c r="BL211" i="293"/>
  <c r="BK211" i="293"/>
  <c r="BJ211" i="293"/>
  <c r="AZ211" i="293"/>
  <c r="AY211" i="293"/>
  <c r="AX211" i="293"/>
  <c r="AK211" i="293" s="1"/>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K208" i="293" s="1"/>
  <c r="AV208" i="293"/>
  <c r="AU208" i="293"/>
  <c r="AT208" i="293"/>
  <c r="BO207" i="293"/>
  <c r="BN207" i="293"/>
  <c r="BM207" i="293"/>
  <c r="BL207" i="293"/>
  <c r="BK207" i="293"/>
  <c r="BJ207" i="293"/>
  <c r="AZ207" i="293"/>
  <c r="AY207" i="293"/>
  <c r="AX207" i="293"/>
  <c r="AW207" i="293"/>
  <c r="AV207" i="293"/>
  <c r="AU207" i="293"/>
  <c r="AT207" i="293"/>
  <c r="AK207" i="293" s="1"/>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K205" i="293" s="1"/>
  <c r="AU205" i="293"/>
  <c r="AT205" i="293"/>
  <c r="BO204" i="293"/>
  <c r="BN204" i="293"/>
  <c r="BM204" i="293"/>
  <c r="BL204" i="293"/>
  <c r="BK204" i="293"/>
  <c r="BJ204" i="293"/>
  <c r="AK204" i="293" s="1"/>
  <c r="AZ204" i="293"/>
  <c r="AY204" i="293"/>
  <c r="AX204" i="293"/>
  <c r="AW204" i="293"/>
  <c r="AV204" i="293"/>
  <c r="AU204" i="293"/>
  <c r="AT204" i="293"/>
  <c r="BO203" i="293"/>
  <c r="BN203" i="293"/>
  <c r="BM203" i="293"/>
  <c r="BL203" i="293"/>
  <c r="BK203" i="293"/>
  <c r="BJ203" i="293"/>
  <c r="AZ203" i="293"/>
  <c r="AY203" i="293"/>
  <c r="AX203" i="293"/>
  <c r="AK203" i="293" s="1"/>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K200" i="293" s="1"/>
  <c r="AV200" i="293"/>
  <c r="AU200" i="293"/>
  <c r="AT200" i="293"/>
  <c r="BO199" i="293"/>
  <c r="BN199" i="293"/>
  <c r="BM199" i="293"/>
  <c r="BL199" i="293"/>
  <c r="BK199" i="293"/>
  <c r="BJ199" i="293"/>
  <c r="AZ199" i="293"/>
  <c r="AY199" i="293"/>
  <c r="AX199" i="293"/>
  <c r="AW199" i="293"/>
  <c r="AV199" i="293"/>
  <c r="AU199" i="293"/>
  <c r="AT199" i="293"/>
  <c r="AK199" i="293" s="1"/>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K197" i="293" s="1"/>
  <c r="AU197" i="293"/>
  <c r="AT197" i="293"/>
  <c r="BO196" i="293"/>
  <c r="BN196" i="293"/>
  <c r="BM196" i="293"/>
  <c r="BL196" i="293"/>
  <c r="BK196" i="293"/>
  <c r="BJ196" i="293"/>
  <c r="AK196" i="293" s="1"/>
  <c r="AZ196" i="293"/>
  <c r="AY196" i="293"/>
  <c r="AX196" i="293"/>
  <c r="AW196" i="293"/>
  <c r="AV196" i="293"/>
  <c r="AU196" i="293"/>
  <c r="AT196" i="293"/>
  <c r="BO195" i="293"/>
  <c r="BN195" i="293"/>
  <c r="BM195" i="293"/>
  <c r="BL195" i="293"/>
  <c r="BK195" i="293"/>
  <c r="BJ195" i="293"/>
  <c r="AZ195" i="293"/>
  <c r="AY195" i="293"/>
  <c r="AX195" i="293"/>
  <c r="AK195" i="293" s="1"/>
  <c r="AW195" i="293"/>
  <c r="AV195" i="293"/>
  <c r="AU195" i="293"/>
  <c r="AT195" i="293"/>
  <c r="BO194" i="293"/>
  <c r="BN194" i="293"/>
  <c r="BM194" i="293"/>
  <c r="BL194" i="293"/>
  <c r="BK194" i="293"/>
  <c r="BJ194" i="293"/>
  <c r="AZ194" i="293"/>
  <c r="AY194" i="293"/>
  <c r="AX194" i="293"/>
  <c r="AW194" i="293"/>
  <c r="AV194" i="293"/>
  <c r="AU194" i="293"/>
  <c r="AK194" i="293" s="1"/>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K192" i="293" s="1"/>
  <c r="AV192" i="293"/>
  <c r="AU192" i="293"/>
  <c r="AT192" i="293"/>
  <c r="BO191" i="293"/>
  <c r="BN191" i="293"/>
  <c r="BM191" i="293"/>
  <c r="BL191" i="293"/>
  <c r="BK191" i="293"/>
  <c r="BJ191" i="293"/>
  <c r="AZ191" i="293"/>
  <c r="AY191" i="293"/>
  <c r="AX191" i="293"/>
  <c r="AW191" i="293"/>
  <c r="AV191" i="293"/>
  <c r="AU191" i="293"/>
  <c r="AT191" i="293"/>
  <c r="AK191" i="293" s="1"/>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K188" i="293" s="1"/>
  <c r="AZ188" i="293"/>
  <c r="AY188" i="293"/>
  <c r="AX188" i="293"/>
  <c r="AW188" i="293"/>
  <c r="AV188" i="293"/>
  <c r="AU188" i="293"/>
  <c r="AT188" i="293"/>
  <c r="BO187" i="293"/>
  <c r="BN187" i="293"/>
  <c r="BM187" i="293"/>
  <c r="BL187" i="293"/>
  <c r="BK187" i="293"/>
  <c r="BJ187" i="293"/>
  <c r="AZ187" i="293"/>
  <c r="AY187" i="293"/>
  <c r="AX187" i="293"/>
  <c r="AK187" i="293" s="1"/>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K184" i="293" s="1"/>
  <c r="AV184" i="293"/>
  <c r="AU184" i="293"/>
  <c r="AT184" i="293"/>
  <c r="BO183" i="293"/>
  <c r="BN183" i="293"/>
  <c r="BM183" i="293"/>
  <c r="BL183" i="293"/>
  <c r="BK183" i="293"/>
  <c r="BJ183" i="293"/>
  <c r="AZ183" i="293"/>
  <c r="AY183" i="293"/>
  <c r="AX183" i="293"/>
  <c r="AW183" i="293"/>
  <c r="AV183" i="293"/>
  <c r="AU183" i="293"/>
  <c r="AT183" i="293"/>
  <c r="AK183" i="293" s="1"/>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K181" i="293" s="1"/>
  <c r="AU181" i="293"/>
  <c r="AT181" i="293"/>
  <c r="BO180" i="293"/>
  <c r="BN180" i="293"/>
  <c r="BM180" i="293"/>
  <c r="BL180" i="293"/>
  <c r="BK180" i="293"/>
  <c r="BJ180" i="293"/>
  <c r="AK180" i="293" s="1"/>
  <c r="AZ180" i="293"/>
  <c r="AY180" i="293"/>
  <c r="AX180" i="293"/>
  <c r="AW180" i="293"/>
  <c r="AV180" i="293"/>
  <c r="AU180" i="293"/>
  <c r="AT180" i="293"/>
  <c r="BO179" i="293"/>
  <c r="BN179" i="293"/>
  <c r="BM179" i="293"/>
  <c r="BL179" i="293"/>
  <c r="BK179" i="293"/>
  <c r="BJ179" i="293"/>
  <c r="AZ179" i="293"/>
  <c r="AY179" i="293"/>
  <c r="AX179" i="293"/>
  <c r="AK179" i="293" s="1"/>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K176" i="293" s="1"/>
  <c r="AV176" i="293"/>
  <c r="AU176" i="293"/>
  <c r="AT176" i="293"/>
  <c r="BO175" i="293"/>
  <c r="BN175" i="293"/>
  <c r="BM175" i="293"/>
  <c r="BL175" i="293"/>
  <c r="BK175" i="293"/>
  <c r="BJ175" i="293"/>
  <c r="AZ175" i="293"/>
  <c r="AY175" i="293"/>
  <c r="AX175" i="293"/>
  <c r="AW175" i="293"/>
  <c r="AV175" i="293"/>
  <c r="AU175" i="293"/>
  <c r="AT175" i="293"/>
  <c r="AK175" i="293" s="1"/>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K173" i="293" s="1"/>
  <c r="AU173" i="293"/>
  <c r="AT173" i="293"/>
  <c r="BO172" i="293"/>
  <c r="BN172" i="293"/>
  <c r="BM172" i="293"/>
  <c r="BL172" i="293"/>
  <c r="BK172" i="293"/>
  <c r="BJ172" i="293"/>
  <c r="AK172" i="293" s="1"/>
  <c r="AZ172" i="293"/>
  <c r="AY172" i="293"/>
  <c r="AX172" i="293"/>
  <c r="AW172" i="293"/>
  <c r="AV172" i="293"/>
  <c r="AU172" i="293"/>
  <c r="AT172" i="293"/>
  <c r="BO171" i="293"/>
  <c r="BN171" i="293"/>
  <c r="BM171" i="293"/>
  <c r="BL171" i="293"/>
  <c r="BK171" i="293"/>
  <c r="BJ171" i="293"/>
  <c r="AZ171" i="293"/>
  <c r="AY171" i="293"/>
  <c r="AX171" i="293"/>
  <c r="AK171" i="293" s="1"/>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R29" i="231" s="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s="1"/>
  <c r="P19" i="259"/>
  <c r="O19" i="259"/>
  <c r="M19" i="259" s="1"/>
  <c r="P18" i="259"/>
  <c r="M18" i="259" s="1"/>
  <c r="O18" i="259"/>
  <c r="P17" i="259"/>
  <c r="O17" i="259"/>
  <c r="P13" i="259"/>
  <c r="O13" i="259"/>
  <c r="M13" i="259" s="1"/>
  <c r="P12" i="259"/>
  <c r="O12" i="259"/>
  <c r="P11" i="259"/>
  <c r="O11" i="259"/>
  <c r="M11" i="259"/>
  <c r="P10" i="259"/>
  <c r="O10" i="259"/>
  <c r="M10" i="259" s="1"/>
  <c r="P9" i="259"/>
  <c r="M9" i="259" s="1"/>
  <c r="O9" i="259"/>
  <c r="P8" i="259"/>
  <c r="U46" i="258"/>
  <c r="S46" i="258" s="1"/>
  <c r="AA42" i="258"/>
  <c r="Z42" i="258"/>
  <c r="Y42" i="258"/>
  <c r="W42" i="258"/>
  <c r="V42" i="258"/>
  <c r="U42" i="258"/>
  <c r="W41" i="258"/>
  <c r="V41" i="258"/>
  <c r="U41" i="258"/>
  <c r="S41" i="258" s="1"/>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S14" i="258" s="1"/>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T50" i="257" s="1"/>
  <c r="AA48" i="257"/>
  <c r="Z48" i="257"/>
  <c r="Y48" i="257"/>
  <c r="X48" i="257"/>
  <c r="W48" i="257"/>
  <c r="T48" i="257" s="1"/>
  <c r="V48" i="257"/>
  <c r="AA47" i="257"/>
  <c r="T47" i="257" s="1"/>
  <c r="Z47" i="257"/>
  <c r="Y47" i="257"/>
  <c r="X47" i="257"/>
  <c r="W47" i="257"/>
  <c r="V47" i="257"/>
  <c r="AA46" i="257"/>
  <c r="Z46" i="257"/>
  <c r="Y46" i="257"/>
  <c r="X46" i="257"/>
  <c r="W46" i="257"/>
  <c r="T46" i="257" s="1"/>
  <c r="V46" i="257"/>
  <c r="AA43" i="257"/>
  <c r="Z43" i="257"/>
  <c r="Y43" i="257"/>
  <c r="T43" i="257" s="1"/>
  <c r="X43" i="257"/>
  <c r="W43" i="257"/>
  <c r="V43" i="257"/>
  <c r="AA42" i="257"/>
  <c r="Z42" i="257"/>
  <c r="Y42" i="257"/>
  <c r="X42" i="257"/>
  <c r="W42" i="257"/>
  <c r="T42" i="257" s="1"/>
  <c r="V42" i="257"/>
  <c r="AA41" i="257"/>
  <c r="Z41" i="257"/>
  <c r="Y41" i="257"/>
  <c r="X41" i="257"/>
  <c r="W41" i="257"/>
  <c r="V41" i="257"/>
  <c r="T41" i="257" s="1"/>
  <c r="AA40" i="257"/>
  <c r="Z40" i="257"/>
  <c r="Y40" i="257"/>
  <c r="X40" i="257"/>
  <c r="W40" i="257"/>
  <c r="T40" i="257" s="1"/>
  <c r="V40" i="257"/>
  <c r="AB34" i="257"/>
  <c r="AA34" i="257"/>
  <c r="Z34" i="257"/>
  <c r="Y34" i="257"/>
  <c r="X34" i="257"/>
  <c r="W34" i="257"/>
  <c r="T34" i="257" s="1"/>
  <c r="V34"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T27" i="257" s="1"/>
  <c r="AB26" i="257"/>
  <c r="AA26" i="257"/>
  <c r="T26" i="257" s="1"/>
  <c r="Z26" i="257"/>
  <c r="Y26" i="257"/>
  <c r="X26" i="257"/>
  <c r="W26" i="257"/>
  <c r="V26" i="257"/>
  <c r="AB25" i="257"/>
  <c r="AA25" i="257"/>
  <c r="Z25" i="257"/>
  <c r="T25" i="257" s="1"/>
  <c r="Y25" i="257"/>
  <c r="X25" i="257"/>
  <c r="W25" i="257"/>
  <c r="V25" i="257"/>
  <c r="AB24" i="257"/>
  <c r="AA24" i="257"/>
  <c r="Z24" i="257"/>
  <c r="Y24" i="257"/>
  <c r="X24" i="257"/>
  <c r="W24" i="257"/>
  <c r="V24" i="257"/>
  <c r="X18" i="257"/>
  <c r="W18" i="257"/>
  <c r="V18" i="257"/>
  <c r="T18" i="257" s="1"/>
  <c r="X16" i="257"/>
  <c r="W16" i="257"/>
  <c r="V16" i="257"/>
  <c r="T16" i="257" s="1"/>
  <c r="X15" i="257"/>
  <c r="W15" i="257"/>
  <c r="T15" i="257" s="1"/>
  <c r="V15" i="257"/>
  <c r="X14" i="257"/>
  <c r="W14" i="257"/>
  <c r="T14" i="257" s="1"/>
  <c r="V14" i="257"/>
  <c r="X11" i="257"/>
  <c r="W11" i="257"/>
  <c r="V11" i="257"/>
  <c r="X10" i="257"/>
  <c r="W10" i="257"/>
  <c r="V10" i="257"/>
  <c r="X9" i="257"/>
  <c r="W9" i="257"/>
  <c r="V9" i="257"/>
  <c r="X8" i="257"/>
  <c r="W8" i="257"/>
  <c r="N31" i="256"/>
  <c r="L31" i="256" s="1"/>
  <c r="N30" i="256"/>
  <c r="L30" i="256" s="1"/>
  <c r="N27" i="256"/>
  <c r="L27" i="256"/>
  <c r="N26" i="256"/>
  <c r="L26" i="256"/>
  <c r="N25" i="256"/>
  <c r="L25" i="256" s="1"/>
  <c r="N23" i="256"/>
  <c r="L23" i="256" s="1"/>
  <c r="N20" i="256"/>
  <c r="L20" i="256" s="1"/>
  <c r="N19" i="256"/>
  <c r="L19" i="256" s="1"/>
  <c r="N18" i="256"/>
  <c r="L18" i="256" s="1"/>
  <c r="N15" i="256"/>
  <c r="L15" i="256"/>
  <c r="N14" i="256"/>
  <c r="L14" i="256"/>
  <c r="N12" i="256"/>
  <c r="L12" i="256"/>
  <c r="N10" i="256"/>
  <c r="L10" i="256" s="1"/>
  <c r="N8" i="256"/>
  <c r="L8" i="256"/>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AK12" i="253" s="1"/>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c r="N24" i="252"/>
  <c r="L24" i="252" s="1"/>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s="1"/>
  <c r="N10" i="250"/>
  <c r="L10" i="250"/>
  <c r="N9" i="250"/>
  <c r="L9" i="250"/>
  <c r="Q38" i="248"/>
  <c r="O38" i="248" s="1"/>
  <c r="Q37" i="248"/>
  <c r="O37" i="248" s="1"/>
  <c r="S34" i="248"/>
  <c r="O34" i="248" s="1"/>
  <c r="R33" i="248"/>
  <c r="Q33" i="248"/>
  <c r="S30" i="248"/>
  <c r="R30" i="248"/>
  <c r="Q30" i="248"/>
  <c r="S25" i="248"/>
  <c r="R25" i="248"/>
  <c r="Q25" i="248"/>
  <c r="S24" i="248"/>
  <c r="R24" i="248"/>
  <c r="O24" i="248" s="1"/>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O9" i="248" s="1"/>
  <c r="R9" i="248"/>
  <c r="Q9" i="248"/>
  <c r="S8" i="248"/>
  <c r="R8" i="248"/>
  <c r="N26" i="247"/>
  <c r="L25" i="247" s="1"/>
  <c r="N24" i="247"/>
  <c r="L24" i="247" s="1"/>
  <c r="N23" i="247"/>
  <c r="L23" i="247" s="1"/>
  <c r="N22" i="247"/>
  <c r="L22" i="247" s="1"/>
  <c r="N21" i="247"/>
  <c r="L21" i="247" s="1"/>
  <c r="N20" i="247"/>
  <c r="L20" i="247" s="1"/>
  <c r="N19" i="247"/>
  <c r="L19" i="247"/>
  <c r="N18" i="247"/>
  <c r="L18" i="247"/>
  <c r="N15" i="247"/>
  <c r="L15" i="247" s="1"/>
  <c r="N14" i="247"/>
  <c r="L14" i="247" s="1"/>
  <c r="N13" i="247"/>
  <c r="L13" i="247" s="1"/>
  <c r="N12" i="247"/>
  <c r="L12" i="247"/>
  <c r="N11" i="247"/>
  <c r="L11" i="247" s="1"/>
  <c r="N10" i="247"/>
  <c r="L10" i="247" s="1"/>
  <c r="N9" i="247"/>
  <c r="L9" i="247" s="1"/>
  <c r="N34" i="246"/>
  <c r="L34" i="246" s="1"/>
  <c r="N33" i="246"/>
  <c r="L33" i="246"/>
  <c r="N32" i="246"/>
  <c r="L32" i="246" s="1"/>
  <c r="N31" i="246"/>
  <c r="L31" i="246" s="1"/>
  <c r="N30" i="246"/>
  <c r="L30" i="246" s="1"/>
  <c r="N29" i="246"/>
  <c r="L29" i="246"/>
  <c r="N28" i="246"/>
  <c r="L28" i="246" s="1"/>
  <c r="N27" i="246"/>
  <c r="L27" i="246" s="1"/>
  <c r="N26" i="246"/>
  <c r="L26" i="246" s="1"/>
  <c r="N25" i="246"/>
  <c r="L25" i="246"/>
  <c r="N24" i="246"/>
  <c r="L24" i="246" s="1"/>
  <c r="N23" i="246"/>
  <c r="L23" i="246" s="1"/>
  <c r="N22" i="246"/>
  <c r="L22" i="246" s="1"/>
  <c r="N21" i="246"/>
  <c r="L21" i="246"/>
  <c r="N20" i="246"/>
  <c r="L20" i="246" s="1"/>
  <c r="N19" i="246"/>
  <c r="L19" i="246" s="1"/>
  <c r="N18" i="246"/>
  <c r="L18" i="246" s="1"/>
  <c r="N17" i="246"/>
  <c r="L17" i="246"/>
  <c r="N16" i="246"/>
  <c r="L16" i="246" s="1"/>
  <c r="N15" i="246"/>
  <c r="L15" i="246" s="1"/>
  <c r="N14" i="246"/>
  <c r="L14" i="246" s="1"/>
  <c r="N13" i="246"/>
  <c r="L13" i="246"/>
  <c r="N12" i="246"/>
  <c r="L12" i="246" s="1"/>
  <c r="N11" i="246"/>
  <c r="L11" i="246" s="1"/>
  <c r="N10" i="246"/>
  <c r="L10" i="246" s="1"/>
  <c r="N9" i="246"/>
  <c r="L9" i="246"/>
  <c r="Q57" i="245"/>
  <c r="M57" i="245" s="1"/>
  <c r="Q56" i="245"/>
  <c r="Q55" i="245"/>
  <c r="M55" i="245" s="1"/>
  <c r="Q54" i="245"/>
  <c r="Q53" i="245"/>
  <c r="M53" i="245" s="1"/>
  <c r="Q52" i="245"/>
  <c r="M52" i="245" s="1"/>
  <c r="Q51" i="245"/>
  <c r="Q50" i="245"/>
  <c r="Q46" i="245"/>
  <c r="P43" i="245"/>
  <c r="O43" i="245"/>
  <c r="P42" i="245"/>
  <c r="O42" i="245"/>
  <c r="M42" i="245" s="1"/>
  <c r="P41" i="245"/>
  <c r="O41" i="245"/>
  <c r="P40" i="245"/>
  <c r="O40" i="245"/>
  <c r="M40" i="245" s="1"/>
  <c r="P39" i="245"/>
  <c r="O39" i="245"/>
  <c r="M39" i="245" s="1"/>
  <c r="P38" i="245"/>
  <c r="M38" i="245" s="1"/>
  <c r="O38" i="245"/>
  <c r="P37" i="245"/>
  <c r="O37" i="245"/>
  <c r="P36" i="245"/>
  <c r="O36" i="245"/>
  <c r="M36" i="245"/>
  <c r="R31" i="245"/>
  <c r="Q31" i="245"/>
  <c r="P31" i="245"/>
  <c r="O31" i="245"/>
  <c r="R30" i="245"/>
  <c r="Q30" i="245"/>
  <c r="P30" i="245"/>
  <c r="O30" i="245"/>
  <c r="M30" i="245" s="1"/>
  <c r="R29" i="245"/>
  <c r="Q29" i="245"/>
  <c r="P29" i="245"/>
  <c r="O29" i="245"/>
  <c r="R28" i="245"/>
  <c r="Q28" i="245"/>
  <c r="P28" i="245"/>
  <c r="O28" i="245"/>
  <c r="M28" i="245" s="1"/>
  <c r="R27" i="245"/>
  <c r="Q27" i="245"/>
  <c r="P27" i="245"/>
  <c r="O27" i="245"/>
  <c r="R26" i="245"/>
  <c r="Q26" i="245"/>
  <c r="P26" i="245"/>
  <c r="O26" i="245"/>
  <c r="R25" i="245"/>
  <c r="Q25" i="245"/>
  <c r="P25" i="245"/>
  <c r="O25" i="245"/>
  <c r="Q19" i="245"/>
  <c r="M19" i="245"/>
  <c r="Q18" i="245"/>
  <c r="M18" i="245"/>
  <c r="Q17" i="245"/>
  <c r="M17" i="245" s="1"/>
  <c r="Q16" i="245"/>
  <c r="M16" i="245"/>
  <c r="Q15" i="245"/>
  <c r="M15" i="245"/>
  <c r="Q14" i="245"/>
  <c r="M14" i="245"/>
  <c r="Q13" i="245"/>
  <c r="M13" i="245"/>
  <c r="Q12" i="245"/>
  <c r="M12" i="245"/>
  <c r="Q11" i="245"/>
  <c r="M11" i="245"/>
  <c r="Q10" i="245"/>
  <c r="M10" i="245"/>
  <c r="Q9" i="245"/>
  <c r="M9" i="245"/>
  <c r="AA17" i="243"/>
  <c r="Z17" i="243"/>
  <c r="Y17" i="243"/>
  <c r="X17" i="243"/>
  <c r="W17" i="243"/>
  <c r="V17" i="243"/>
  <c r="S17" i="243" s="1"/>
  <c r="U17" i="243"/>
  <c r="AA16" i="243"/>
  <c r="Z16" i="243"/>
  <c r="Y16" i="243"/>
  <c r="X16" i="243"/>
  <c r="W16" i="243"/>
  <c r="V16" i="243"/>
  <c r="U16" i="243"/>
  <c r="S16" i="243" s="1"/>
  <c r="AA15" i="243"/>
  <c r="Z15" i="243"/>
  <c r="Y15" i="243"/>
  <c r="X15" i="243"/>
  <c r="W15" i="243"/>
  <c r="V15" i="243"/>
  <c r="U15" i="243"/>
  <c r="AA14" i="243"/>
  <c r="S14" i="243" s="1"/>
  <c r="Z14" i="243"/>
  <c r="Y14" i="243"/>
  <c r="X14" i="243"/>
  <c r="W14" i="243"/>
  <c r="V14" i="243"/>
  <c r="U14" i="243"/>
  <c r="AA11" i="243"/>
  <c r="Z11" i="243"/>
  <c r="Y11" i="243"/>
  <c r="S11" i="243" s="1"/>
  <c r="X11" i="243"/>
  <c r="W11" i="243"/>
  <c r="V11" i="243"/>
  <c r="U11" i="243"/>
  <c r="AA10" i="243"/>
  <c r="Z10" i="243"/>
  <c r="Y10" i="243"/>
  <c r="X10" i="243"/>
  <c r="S10" i="243" s="1"/>
  <c r="W10" i="243"/>
  <c r="V10" i="243"/>
  <c r="U10" i="243"/>
  <c r="AA9" i="243"/>
  <c r="Z9" i="243"/>
  <c r="Y9" i="243"/>
  <c r="X9" i="243"/>
  <c r="W9" i="243"/>
  <c r="V9" i="243"/>
  <c r="U9" i="243"/>
  <c r="AA8" i="243"/>
  <c r="Z8" i="243"/>
  <c r="Y8" i="243"/>
  <c r="X8" i="243"/>
  <c r="W8" i="243"/>
  <c r="V8" i="243"/>
  <c r="N37" i="242"/>
  <c r="L37" i="242"/>
  <c r="N34" i="242"/>
  <c r="L34" i="242" s="1"/>
  <c r="N33" i="242"/>
  <c r="L33" i="242" s="1"/>
  <c r="N32" i="242"/>
  <c r="L32" i="242" s="1"/>
  <c r="N31" i="242"/>
  <c r="L31" i="242"/>
  <c r="N30" i="242"/>
  <c r="L30" i="242" s="1"/>
  <c r="N29" i="242"/>
  <c r="L29" i="242"/>
  <c r="N28" i="242"/>
  <c r="L28" i="242" s="1"/>
  <c r="N27" i="242"/>
  <c r="L27" i="242"/>
  <c r="N26" i="242"/>
  <c r="L26" i="242" s="1"/>
  <c r="N23" i="242"/>
  <c r="L23" i="242"/>
  <c r="N22" i="242"/>
  <c r="L22" i="242" s="1"/>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D17" i="280" s="1"/>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D14" i="280" s="1"/>
  <c r="AM14" i="280"/>
  <c r="AL14" i="280"/>
  <c r="AK14" i="280"/>
  <c r="AJ14" i="280"/>
  <c r="AI14" i="280"/>
  <c r="AH14" i="280"/>
  <c r="AG14" i="280"/>
  <c r="AF14" i="280"/>
  <c r="AV13" i="280"/>
  <c r="AU13" i="280"/>
  <c r="AT13" i="280"/>
  <c r="AS13" i="280"/>
  <c r="AR13" i="280"/>
  <c r="AQ13" i="280"/>
  <c r="AP13" i="280"/>
  <c r="AO13" i="280"/>
  <c r="AD13" i="280" s="1"/>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D11" i="280" s="1"/>
  <c r="AV10" i="280"/>
  <c r="AU10" i="280"/>
  <c r="AT10" i="280"/>
  <c r="AS10" i="280"/>
  <c r="AR10" i="280"/>
  <c r="AQ10" i="280"/>
  <c r="AP10" i="280"/>
  <c r="AO10" i="280"/>
  <c r="AM10" i="280"/>
  <c r="AL10" i="280"/>
  <c r="AK10" i="280"/>
  <c r="AJ10" i="280"/>
  <c r="AI10" i="280"/>
  <c r="AH10" i="280"/>
  <c r="AG10" i="280"/>
  <c r="AF10" i="280"/>
  <c r="AD10" i="280" s="1"/>
  <c r="AJ20" i="279"/>
  <c r="AI20" i="279"/>
  <c r="AH20" i="279"/>
  <c r="AG20" i="279"/>
  <c r="AF20" i="279"/>
  <c r="AD20" i="279"/>
  <c r="AC20" i="279"/>
  <c r="AB20" i="279"/>
  <c r="AA20" i="279"/>
  <c r="Z20" i="279"/>
  <c r="AJ19" i="279"/>
  <c r="AI19" i="279"/>
  <c r="AH19" i="279"/>
  <c r="X19" i="279" s="1"/>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X16" i="279" s="1"/>
  <c r="AJ14" i="279"/>
  <c r="AI14" i="279"/>
  <c r="AH14" i="279"/>
  <c r="AG14" i="279"/>
  <c r="AF14" i="279"/>
  <c r="AD14" i="279"/>
  <c r="AC14" i="279"/>
  <c r="AB14" i="279"/>
  <c r="AA14" i="279"/>
  <c r="Z14" i="279"/>
  <c r="AJ13" i="279"/>
  <c r="AI13" i="279"/>
  <c r="X13" i="279" s="1"/>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s="1"/>
  <c r="AN43" i="240"/>
  <c r="AA43" i="240" s="1"/>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A37" i="240" s="1"/>
  <c r="AC37" i="240"/>
  <c r="AG36" i="240"/>
  <c r="AF36" i="240"/>
  <c r="AE36" i="240"/>
  <c r="AD36" i="240"/>
  <c r="AC36" i="240"/>
  <c r="AA36" i="240" s="1"/>
  <c r="AG35" i="240"/>
  <c r="AF35" i="240"/>
  <c r="AA35" i="240" s="1"/>
  <c r="AE35" i="240"/>
  <c r="AD35" i="240"/>
  <c r="AC35" i="240"/>
  <c r="AH26" i="240"/>
  <c r="AG25" i="240"/>
  <c r="AA25" i="240" s="1"/>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A10" i="240" s="1"/>
  <c r="AF9" i="240"/>
  <c r="AF8" i="240"/>
  <c r="AD10" i="240"/>
  <c r="AC10" i="240"/>
  <c r="AD9" i="240"/>
  <c r="AC9" i="240"/>
  <c r="AA9" i="240" s="1"/>
  <c r="AD8" i="240"/>
  <c r="AA8" i="240" s="1"/>
  <c r="P27" i="239"/>
  <c r="N27" i="239" s="1"/>
  <c r="P26" i="239"/>
  <c r="N26" i="239" s="1"/>
  <c r="P23" i="239"/>
  <c r="N23" i="239" s="1"/>
  <c r="Q19" i="239"/>
  <c r="P19" i="239"/>
  <c r="Q18" i="239"/>
  <c r="P18" i="239"/>
  <c r="Q16" i="239"/>
  <c r="P16" i="239"/>
  <c r="Q15" i="239"/>
  <c r="P15" i="239"/>
  <c r="P12" i="239"/>
  <c r="N12" i="239"/>
  <c r="Q9" i="239"/>
  <c r="P9" i="239"/>
  <c r="Q8" i="239"/>
  <c r="N8" i="239" s="1"/>
  <c r="W22" i="237"/>
  <c r="V22" i="237"/>
  <c r="U22" i="237"/>
  <c r="T22" i="237"/>
  <c r="Q22" i="237" s="1"/>
  <c r="S22" i="237"/>
  <c r="W21" i="237"/>
  <c r="V21" i="237"/>
  <c r="U21" i="237"/>
  <c r="T21" i="237"/>
  <c r="Q21" i="237" s="1"/>
  <c r="S21" i="237"/>
  <c r="W20" i="237"/>
  <c r="V20" i="237"/>
  <c r="U20" i="237"/>
  <c r="T20" i="237"/>
  <c r="S20" i="237"/>
  <c r="Q20" i="237" s="1"/>
  <c r="W19" i="237"/>
  <c r="V19" i="237"/>
  <c r="U19" i="237"/>
  <c r="T19" i="237"/>
  <c r="S19" i="237"/>
  <c r="W18" i="237"/>
  <c r="V18" i="237"/>
  <c r="U18" i="237"/>
  <c r="T18" i="237"/>
  <c r="S18" i="237"/>
  <c r="Q18" i="237" s="1"/>
  <c r="W14" i="237"/>
  <c r="V14" i="237"/>
  <c r="U14" i="237"/>
  <c r="T14" i="237"/>
  <c r="S14" i="237"/>
  <c r="Q14" i="237" s="1"/>
  <c r="W13" i="237"/>
  <c r="Q13" i="237" s="1"/>
  <c r="V13" i="237"/>
  <c r="U13" i="237"/>
  <c r="T13" i="237"/>
  <c r="S13" i="237"/>
  <c r="W12" i="237"/>
  <c r="V12" i="237"/>
  <c r="U12" i="237"/>
  <c r="T12" i="237"/>
  <c r="Q12" i="237" s="1"/>
  <c r="S12" i="237"/>
  <c r="W11" i="237"/>
  <c r="V11" i="237"/>
  <c r="U11" i="237"/>
  <c r="Q11" i="237" s="1"/>
  <c r="T11" i="237"/>
  <c r="S11" i="237"/>
  <c r="W10" i="237"/>
  <c r="V10" i="237"/>
  <c r="U10" i="237"/>
  <c r="T10" i="237"/>
  <c r="Q13" i="236"/>
  <c r="P13" i="236"/>
  <c r="Q12" i="236"/>
  <c r="P12" i="236"/>
  <c r="N12" i="236" s="1"/>
  <c r="Q11" i="236"/>
  <c r="P11" i="236"/>
  <c r="N11" i="236"/>
  <c r="Q10" i="236"/>
  <c r="P10" i="236"/>
  <c r="N10" i="236" s="1"/>
  <c r="Q9" i="236"/>
  <c r="BC95" i="235"/>
  <c r="BB95" i="235"/>
  <c r="BA95" i="235"/>
  <c r="AG95" i="235" s="1"/>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AG87" i="235" s="1"/>
  <c r="BC86" i="235"/>
  <c r="BB86" i="235"/>
  <c r="BA86" i="235"/>
  <c r="BC85" i="235"/>
  <c r="BB85" i="235"/>
  <c r="BA85" i="235"/>
  <c r="BC82" i="235"/>
  <c r="BB82" i="235"/>
  <c r="AG82" i="235" s="1"/>
  <c r="BA82" i="235"/>
  <c r="BC79" i="235"/>
  <c r="BB79" i="235"/>
  <c r="BA79" i="235"/>
  <c r="BC76" i="235"/>
  <c r="BB76" i="235"/>
  <c r="BA76" i="235"/>
  <c r="BC73" i="235"/>
  <c r="AG73" i="235" s="1"/>
  <c r="BB73" i="235"/>
  <c r="BA73" i="235"/>
  <c r="BC70" i="235"/>
  <c r="BB70" i="235"/>
  <c r="BA70" i="235"/>
  <c r="BC67" i="235"/>
  <c r="BB67" i="235"/>
  <c r="BA67" i="235"/>
  <c r="AG67" i="235" s="1"/>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G93" i="235" s="1"/>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G83" i="235" s="1"/>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G75" i="235" s="1"/>
  <c r="AI75" i="235"/>
  <c r="AP74" i="235"/>
  <c r="AO74" i="235"/>
  <c r="AN74" i="235"/>
  <c r="AM74" i="235"/>
  <c r="AL74" i="235"/>
  <c r="AK74" i="235"/>
  <c r="AJ74" i="235"/>
  <c r="AG74" i="235" s="1"/>
  <c r="AI74" i="235"/>
  <c r="AP72" i="235"/>
  <c r="AO72" i="235"/>
  <c r="AN72" i="235"/>
  <c r="AM72" i="235"/>
  <c r="AL72" i="235"/>
  <c r="AK72" i="235"/>
  <c r="AJ72" i="235"/>
  <c r="AG72" i="235" s="1"/>
  <c r="AI72" i="235"/>
  <c r="AP71" i="235"/>
  <c r="AO71" i="235"/>
  <c r="AN71" i="235"/>
  <c r="AM71" i="235"/>
  <c r="AL71" i="235"/>
  <c r="AK71" i="235"/>
  <c r="AJ71" i="235"/>
  <c r="AG71" i="235" s="1"/>
  <c r="AI71" i="235"/>
  <c r="AP69" i="235"/>
  <c r="AO69" i="235"/>
  <c r="AN69" i="235"/>
  <c r="AM69" i="235"/>
  <c r="AL69" i="235"/>
  <c r="AK69" i="235"/>
  <c r="AJ69" i="235"/>
  <c r="AG69" i="235" s="1"/>
  <c r="AI69" i="235"/>
  <c r="AP68" i="235"/>
  <c r="AO68" i="235"/>
  <c r="AN68" i="235"/>
  <c r="AM68" i="235"/>
  <c r="AL68" i="235"/>
  <c r="AK68" i="235"/>
  <c r="AJ68" i="235"/>
  <c r="AG68" i="235" s="1"/>
  <c r="AI68" i="235"/>
  <c r="AY66" i="235"/>
  <c r="AX66" i="235"/>
  <c r="AW66" i="235"/>
  <c r="AV66" i="235"/>
  <c r="AU66" i="235"/>
  <c r="AT66" i="235"/>
  <c r="AS66" i="235"/>
  <c r="AG66" i="235" s="1"/>
  <c r="AR66" i="235"/>
  <c r="AP66" i="235"/>
  <c r="AO66" i="235"/>
  <c r="AN66" i="235"/>
  <c r="AM66" i="235"/>
  <c r="AL66" i="235"/>
  <c r="AK66" i="235"/>
  <c r="AJ66" i="235"/>
  <c r="AI66" i="235"/>
  <c r="AY65" i="235"/>
  <c r="AX65" i="235"/>
  <c r="AW65" i="235"/>
  <c r="AV65" i="235"/>
  <c r="AU65" i="235"/>
  <c r="AT65" i="235"/>
  <c r="AS65" i="235"/>
  <c r="AG65" i="235" s="1"/>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G62" i="235" s="1"/>
  <c r="AT62" i="235"/>
  <c r="AS62" i="235"/>
  <c r="AR62" i="235"/>
  <c r="AP62" i="235"/>
  <c r="AO62" i="235"/>
  <c r="AN62" i="235"/>
  <c r="AM62" i="235"/>
  <c r="AL62" i="235"/>
  <c r="AK62" i="235"/>
  <c r="AJ62" i="235"/>
  <c r="AI62" i="235"/>
  <c r="AY60" i="235"/>
  <c r="AX60" i="235"/>
  <c r="AW60" i="235"/>
  <c r="AG60" i="235" s="1"/>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AG43" i="235" s="1"/>
  <c r="BC40" i="235"/>
  <c r="BB40" i="235"/>
  <c r="BA40" i="235"/>
  <c r="BC37" i="235"/>
  <c r="BB37" i="235"/>
  <c r="BA37" i="235"/>
  <c r="AG37" i="235" s="1"/>
  <c r="BC34" i="235"/>
  <c r="BB34" i="235"/>
  <c r="AG34" i="235" s="1"/>
  <c r="BA34" i="235"/>
  <c r="BC24" i="235"/>
  <c r="BB24" i="235"/>
  <c r="BA24" i="235"/>
  <c r="AG24" i="235" s="1"/>
  <c r="BC21" i="235"/>
  <c r="BB21" i="235"/>
  <c r="BA21" i="235"/>
  <c r="BC18" i="235"/>
  <c r="BB18" i="235"/>
  <c r="AG18" i="235" s="1"/>
  <c r="BA18" i="235"/>
  <c r="BC15" i="235"/>
  <c r="BB15" i="235"/>
  <c r="AG15" i="235" s="1"/>
  <c r="BA15" i="235"/>
  <c r="BC12" i="235"/>
  <c r="AG12" i="235" s="1"/>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G36" i="235" s="1"/>
  <c r="AS36" i="235"/>
  <c r="AR36" i="235"/>
  <c r="AY35" i="235"/>
  <c r="AX35" i="235"/>
  <c r="AW35" i="235"/>
  <c r="AV35" i="235"/>
  <c r="AU35" i="235"/>
  <c r="AT35" i="235"/>
  <c r="AG35" i="235" s="1"/>
  <c r="AS35" i="235"/>
  <c r="AR35" i="235"/>
  <c r="AY23" i="235"/>
  <c r="AX23" i="235"/>
  <c r="AW23" i="235"/>
  <c r="AV23" i="235"/>
  <c r="AU23" i="235"/>
  <c r="AT23" i="235"/>
  <c r="AS23" i="235"/>
  <c r="AR23" i="235"/>
  <c r="AY22" i="235"/>
  <c r="AX22" i="235"/>
  <c r="AW22" i="235"/>
  <c r="AV22" i="235"/>
  <c r="AU22" i="235"/>
  <c r="AT22" i="235"/>
  <c r="AS22" i="235"/>
  <c r="AR22" i="235"/>
  <c r="AY20" i="235"/>
  <c r="AX20" i="235"/>
  <c r="AG20" i="235" s="1"/>
  <c r="AW20" i="235"/>
  <c r="AV20" i="235"/>
  <c r="AU20" i="235"/>
  <c r="AT20" i="235"/>
  <c r="AS20" i="235"/>
  <c r="AR20" i="235"/>
  <c r="AY19" i="235"/>
  <c r="AX19" i="235"/>
  <c r="AG19" i="235" s="1"/>
  <c r="AW19" i="235"/>
  <c r="AV19" i="235"/>
  <c r="AU19" i="235"/>
  <c r="AT19" i="235"/>
  <c r="AS19" i="235"/>
  <c r="AR19" i="235"/>
  <c r="AP54" i="235"/>
  <c r="AO54" i="235"/>
  <c r="AN54" i="235"/>
  <c r="AM54" i="235"/>
  <c r="AL54" i="235"/>
  <c r="AK54" i="235"/>
  <c r="AJ54" i="235"/>
  <c r="AG54" i="235" s="1"/>
  <c r="AI54" i="235"/>
  <c r="AP53" i="235"/>
  <c r="AO53" i="235"/>
  <c r="AN53" i="235"/>
  <c r="AM53" i="235"/>
  <c r="AL53" i="235"/>
  <c r="AK53" i="235"/>
  <c r="AJ53" i="235"/>
  <c r="AG53" i="235" s="1"/>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G42" i="235" s="1"/>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G38" i="235" s="1"/>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G17" i="235" s="1"/>
  <c r="AI17" i="235"/>
  <c r="AP16" i="235"/>
  <c r="AO16" i="235"/>
  <c r="AN16" i="235"/>
  <c r="AM16" i="235"/>
  <c r="AL16" i="235"/>
  <c r="AK16" i="235"/>
  <c r="AJ16" i="235"/>
  <c r="AG16" i="235" s="1"/>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G10" i="235" s="1"/>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A116" i="234" s="1"/>
  <c r="AQ115" i="234"/>
  <c r="AP115" i="234"/>
  <c r="AO115" i="234"/>
  <c r="AA115" i="234" s="1"/>
  <c r="AQ114" i="234"/>
  <c r="AP114" i="234"/>
  <c r="AO114" i="234"/>
  <c r="AA114" i="234" s="1"/>
  <c r="AQ111" i="234"/>
  <c r="AP111" i="234"/>
  <c r="AO111" i="234"/>
  <c r="AA111" i="234" s="1"/>
  <c r="AQ96" i="234"/>
  <c r="AP96" i="234"/>
  <c r="AO96" i="234"/>
  <c r="AQ93" i="234"/>
  <c r="AP93" i="234"/>
  <c r="AO93" i="234"/>
  <c r="AQ108" i="234"/>
  <c r="AA108" i="234" s="1"/>
  <c r="AP108" i="234"/>
  <c r="AO108" i="234"/>
  <c r="AQ81" i="234"/>
  <c r="AP81" i="234"/>
  <c r="AA81" i="234" s="1"/>
  <c r="AO81" i="234"/>
  <c r="AG124" i="234"/>
  <c r="AA124" i="234" s="1"/>
  <c r="AF124" i="234"/>
  <c r="AE124" i="234"/>
  <c r="AD124" i="234"/>
  <c r="AC124" i="234"/>
  <c r="AG123" i="234"/>
  <c r="AF123" i="234"/>
  <c r="AE123" i="234"/>
  <c r="AD123" i="234"/>
  <c r="AA123" i="234" s="1"/>
  <c r="AC123" i="234"/>
  <c r="AG122" i="234"/>
  <c r="AF122" i="234"/>
  <c r="AE122" i="234"/>
  <c r="AD122" i="234"/>
  <c r="AC122" i="234"/>
  <c r="AG121" i="234"/>
  <c r="AF121" i="234"/>
  <c r="AA121" i="234" s="1"/>
  <c r="AE121" i="234"/>
  <c r="AD121" i="234"/>
  <c r="AC121" i="234"/>
  <c r="AG120" i="234"/>
  <c r="AF120" i="234"/>
  <c r="AE120" i="234"/>
  <c r="AD120" i="234"/>
  <c r="AC120" i="234"/>
  <c r="AA120" i="234" s="1"/>
  <c r="AG119" i="234"/>
  <c r="AF119" i="234"/>
  <c r="AE119" i="234"/>
  <c r="AD119" i="234"/>
  <c r="AC119" i="234"/>
  <c r="AG118" i="234"/>
  <c r="AF118" i="234"/>
  <c r="AE118" i="234"/>
  <c r="AA118" i="234" s="1"/>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A112" i="234" s="1"/>
  <c r="AD112" i="234"/>
  <c r="AC112" i="234"/>
  <c r="AG110" i="234"/>
  <c r="AF110" i="234"/>
  <c r="AE110" i="234"/>
  <c r="AD110" i="234"/>
  <c r="AC110" i="234"/>
  <c r="AG109" i="234"/>
  <c r="AF109" i="234"/>
  <c r="AA109" i="234" s="1"/>
  <c r="AE109" i="234"/>
  <c r="AD109" i="234"/>
  <c r="AC109" i="234"/>
  <c r="AG95" i="234"/>
  <c r="AF95" i="234"/>
  <c r="AE95" i="234"/>
  <c r="AD95" i="234"/>
  <c r="AA95" i="234" s="1"/>
  <c r="AC95" i="234"/>
  <c r="AG94" i="234"/>
  <c r="AF94" i="234"/>
  <c r="AE94" i="234"/>
  <c r="AD94" i="234"/>
  <c r="AC94" i="234"/>
  <c r="AG92" i="234"/>
  <c r="AF92" i="234"/>
  <c r="AE92" i="234"/>
  <c r="AD92" i="234"/>
  <c r="AC92" i="234"/>
  <c r="AG91" i="234"/>
  <c r="AF91" i="234"/>
  <c r="AE91" i="234"/>
  <c r="AD91" i="234"/>
  <c r="AC91" i="234"/>
  <c r="AG107" i="234"/>
  <c r="AF107" i="234"/>
  <c r="AE107" i="234"/>
  <c r="AD107" i="234"/>
  <c r="AC107" i="234"/>
  <c r="AC106" i="234"/>
  <c r="AG80" i="234"/>
  <c r="AF80" i="234"/>
  <c r="AA80" i="234" s="1"/>
  <c r="AE80" i="234"/>
  <c r="AD80" i="234"/>
  <c r="AC80" i="234"/>
  <c r="AG79" i="234"/>
  <c r="AF79" i="234"/>
  <c r="AE79" i="234"/>
  <c r="AD79" i="234"/>
  <c r="AC79" i="234"/>
  <c r="AO76" i="234"/>
  <c r="AP76" i="234"/>
  <c r="AQ76" i="234"/>
  <c r="AG74" i="234"/>
  <c r="AA74" i="234" s="1"/>
  <c r="AG73" i="234"/>
  <c r="AA73" i="234" s="1"/>
  <c r="AG59" i="234"/>
  <c r="AA59" i="234"/>
  <c r="AG58" i="234"/>
  <c r="AA58" i="234"/>
  <c r="AG56" i="234"/>
  <c r="AA56" i="234" s="1"/>
  <c r="AG55" i="234"/>
  <c r="AA55" i="234" s="1"/>
  <c r="AG53" i="234"/>
  <c r="AA53" i="234" s="1"/>
  <c r="AG52" i="234"/>
  <c r="AA52" i="234" s="1"/>
  <c r="AQ48" i="234"/>
  <c r="AP48" i="234"/>
  <c r="AO48" i="234"/>
  <c r="AQ45" i="234"/>
  <c r="AA45" i="234" s="1"/>
  <c r="AP45" i="234"/>
  <c r="AO45" i="234"/>
  <c r="AQ42" i="234"/>
  <c r="AP42" i="234"/>
  <c r="AO42" i="234"/>
  <c r="AQ39" i="234"/>
  <c r="AP39" i="234"/>
  <c r="AO39" i="234"/>
  <c r="AQ36" i="234"/>
  <c r="AP36" i="234"/>
  <c r="AO36" i="234"/>
  <c r="AQ33" i="234"/>
  <c r="AP33" i="234"/>
  <c r="AA33" i="234" s="1"/>
  <c r="AO33" i="234"/>
  <c r="AG47" i="234"/>
  <c r="AA47" i="234" s="1"/>
  <c r="AF47" i="234"/>
  <c r="AE47" i="234"/>
  <c r="AD47" i="234"/>
  <c r="AC47" i="234"/>
  <c r="AG46" i="234"/>
  <c r="AF46" i="234"/>
  <c r="AE46" i="234"/>
  <c r="AD46" i="234"/>
  <c r="AC46" i="234"/>
  <c r="AG44" i="234"/>
  <c r="AF44" i="234"/>
  <c r="AE44" i="234"/>
  <c r="AD44" i="234"/>
  <c r="AC44" i="234"/>
  <c r="AA44" i="234" s="1"/>
  <c r="AG43" i="234"/>
  <c r="AF43" i="234"/>
  <c r="AE43" i="234"/>
  <c r="AA43" i="234" s="1"/>
  <c r="AD43" i="234"/>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A35" i="234" s="1"/>
  <c r="AD35" i="234"/>
  <c r="AC35" i="234"/>
  <c r="AG34" i="234"/>
  <c r="AF34" i="234"/>
  <c r="AE34" i="234"/>
  <c r="AD34" i="234"/>
  <c r="AC34" i="234"/>
  <c r="AG32" i="234"/>
  <c r="AF32" i="234"/>
  <c r="AE32" i="234"/>
  <c r="AA32" i="234" s="1"/>
  <c r="AD32" i="234"/>
  <c r="AC32" i="234"/>
  <c r="AG31" i="234"/>
  <c r="AA31" i="234" s="1"/>
  <c r="AF31" i="234"/>
  <c r="AE31" i="234"/>
  <c r="AD31" i="234"/>
  <c r="AC31" i="234"/>
  <c r="AQ27" i="234"/>
  <c r="AA27" i="234" s="1"/>
  <c r="AP27" i="234"/>
  <c r="AO27" i="234"/>
  <c r="AQ24" i="234"/>
  <c r="AA24" i="234" s="1"/>
  <c r="AP24" i="234"/>
  <c r="AO24" i="234"/>
  <c r="AQ21" i="234"/>
  <c r="AP21" i="234"/>
  <c r="AO21" i="234"/>
  <c r="AA21" i="234" s="1"/>
  <c r="AQ18" i="234"/>
  <c r="AP18" i="234"/>
  <c r="AO18" i="234"/>
  <c r="AA18" i="234" s="1"/>
  <c r="AQ15" i="234"/>
  <c r="AP15" i="234"/>
  <c r="AO15" i="234"/>
  <c r="AQ12" i="234"/>
  <c r="AP12" i="234"/>
  <c r="AO12" i="234"/>
  <c r="AG26" i="234"/>
  <c r="AF26" i="234"/>
  <c r="AE26" i="234"/>
  <c r="AD26" i="234"/>
  <c r="AC26" i="234"/>
  <c r="AG25" i="234"/>
  <c r="AF25" i="234"/>
  <c r="AA25" i="234" s="1"/>
  <c r="AE25" i="234"/>
  <c r="AD25" i="234"/>
  <c r="AC25" i="234"/>
  <c r="AG23" i="234"/>
  <c r="AF23" i="234"/>
  <c r="AE23" i="234"/>
  <c r="AD23" i="234"/>
  <c r="AA23" i="234" s="1"/>
  <c r="AC23" i="234"/>
  <c r="AG22" i="234"/>
  <c r="AF22" i="234"/>
  <c r="AE22" i="234"/>
  <c r="AD22" i="234"/>
  <c r="AC22" i="234"/>
  <c r="AG20" i="234"/>
  <c r="AF20" i="234"/>
  <c r="AE20" i="234"/>
  <c r="AD20" i="234"/>
  <c r="AC20" i="234"/>
  <c r="AG19" i="234"/>
  <c r="AF19" i="234"/>
  <c r="AE19" i="234"/>
  <c r="AD19" i="234"/>
  <c r="AC19" i="234"/>
  <c r="AG17" i="234"/>
  <c r="AA17" i="234" s="1"/>
  <c r="AF17" i="234"/>
  <c r="AE17" i="234"/>
  <c r="AD17" i="234"/>
  <c r="AC17" i="234"/>
  <c r="AG16" i="234"/>
  <c r="AF16" i="234"/>
  <c r="AE16" i="234"/>
  <c r="AD16" i="234"/>
  <c r="AA16" i="234" s="1"/>
  <c r="AC16" i="234"/>
  <c r="AG14" i="234"/>
  <c r="AF14" i="234"/>
  <c r="AE14" i="234"/>
  <c r="AD14" i="234"/>
  <c r="AA14" i="234" s="1"/>
  <c r="AC14" i="234"/>
  <c r="AG13" i="234"/>
  <c r="AF13" i="234"/>
  <c r="AA13" i="234" s="1"/>
  <c r="AE13" i="234"/>
  <c r="AD13" i="234"/>
  <c r="AC13" i="234"/>
  <c r="AG11" i="234"/>
  <c r="AF11" i="234"/>
  <c r="AE11" i="234"/>
  <c r="AD11" i="234"/>
  <c r="AC11" i="234"/>
  <c r="AA11" i="234" s="1"/>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T36" i="233" s="1"/>
  <c r="W36" i="233"/>
  <c r="V36" i="233"/>
  <c r="AC32" i="233"/>
  <c r="AB32" i="233"/>
  <c r="AA32" i="233"/>
  <c r="Z32" i="233"/>
  <c r="Y32" i="233"/>
  <c r="X32" i="233"/>
  <c r="W32" i="233"/>
  <c r="V32" i="233"/>
  <c r="T32" i="233" s="1"/>
  <c r="AC31" i="233"/>
  <c r="T31" i="233" s="1"/>
  <c r="AB31" i="233"/>
  <c r="AA31" i="233"/>
  <c r="Z31" i="233"/>
  <c r="Y31" i="233"/>
  <c r="X31" i="233"/>
  <c r="W31" i="233"/>
  <c r="V31" i="233"/>
  <c r="AC26" i="233"/>
  <c r="AB26" i="233"/>
  <c r="AA26" i="233"/>
  <c r="Z26" i="233"/>
  <c r="Y26" i="233"/>
  <c r="X26" i="233"/>
  <c r="W26" i="233"/>
  <c r="V26" i="233"/>
  <c r="AC25" i="233"/>
  <c r="T25" i="233" s="1"/>
  <c r="AB25" i="233"/>
  <c r="AA25" i="233"/>
  <c r="Z25" i="233"/>
  <c r="Y25" i="233"/>
  <c r="X25" i="233"/>
  <c r="W25" i="233"/>
  <c r="V25" i="233"/>
  <c r="AC24" i="233"/>
  <c r="T24" i="233" s="1"/>
  <c r="AB24" i="233"/>
  <c r="AA24" i="233"/>
  <c r="Z24" i="233"/>
  <c r="Y24" i="233"/>
  <c r="X24" i="233"/>
  <c r="W24" i="233"/>
  <c r="V24" i="233"/>
  <c r="AC21" i="233"/>
  <c r="AB21" i="233"/>
  <c r="AA21" i="233"/>
  <c r="Z21" i="233"/>
  <c r="Y21" i="233"/>
  <c r="X21" i="233"/>
  <c r="W21" i="233"/>
  <c r="T21" i="233" s="1"/>
  <c r="V21" i="233"/>
  <c r="AC20" i="233"/>
  <c r="AB20" i="233"/>
  <c r="AA20" i="233"/>
  <c r="Z20" i="233"/>
  <c r="Y20" i="233"/>
  <c r="X20" i="233"/>
  <c r="W20" i="233"/>
  <c r="T20" i="233" s="1"/>
  <c r="V20" i="233"/>
  <c r="AC19" i="233"/>
  <c r="AB19" i="233"/>
  <c r="AA19" i="233"/>
  <c r="Z19" i="233"/>
  <c r="Y19" i="233"/>
  <c r="X19" i="233"/>
  <c r="W19" i="233"/>
  <c r="T19" i="233" s="1"/>
  <c r="V19" i="233"/>
  <c r="AC16" i="233"/>
  <c r="AB16" i="233"/>
  <c r="AA16" i="233"/>
  <c r="Z16" i="233"/>
  <c r="Y16" i="233"/>
  <c r="X16" i="233"/>
  <c r="W16" i="233"/>
  <c r="T16" i="233" s="1"/>
  <c r="V16" i="233"/>
  <c r="AC15" i="233"/>
  <c r="AB15" i="233"/>
  <c r="AA15" i="233"/>
  <c r="Z15" i="233"/>
  <c r="Y15" i="233"/>
  <c r="X15" i="233"/>
  <c r="W15" i="233"/>
  <c r="T15" i="233" s="1"/>
  <c r="V15" i="233"/>
  <c r="AC14" i="233"/>
  <c r="AB14" i="233"/>
  <c r="AA14" i="233"/>
  <c r="Z14" i="233"/>
  <c r="Y14" i="233"/>
  <c r="X14" i="233"/>
  <c r="W14" i="233"/>
  <c r="T14" i="233" s="1"/>
  <c r="V14" i="233"/>
  <c r="AC13" i="233"/>
  <c r="AB13" i="233"/>
  <c r="AA13" i="233"/>
  <c r="Z13" i="233"/>
  <c r="Y13" i="233"/>
  <c r="X13" i="233"/>
  <c r="W13" i="233"/>
  <c r="T13" i="233" s="1"/>
  <c r="V13" i="233"/>
  <c r="AC12" i="233"/>
  <c r="AB12" i="233"/>
  <c r="AA12" i="233"/>
  <c r="Z12" i="233"/>
  <c r="Y12" i="233"/>
  <c r="X12" i="233"/>
  <c r="W12" i="233"/>
  <c r="T12" i="233" s="1"/>
  <c r="V12" i="233"/>
  <c r="AC11" i="233"/>
  <c r="AB11" i="233"/>
  <c r="AA11" i="233"/>
  <c r="Z11" i="233"/>
  <c r="Y11" i="233"/>
  <c r="X11" i="233"/>
  <c r="W11" i="233"/>
  <c r="T11" i="233" s="1"/>
  <c r="V11" i="233"/>
  <c r="AC10" i="233"/>
  <c r="AB10" i="233"/>
  <c r="AA10" i="233"/>
  <c r="Z10" i="233"/>
  <c r="Y10" i="233"/>
  <c r="X10" i="233"/>
  <c r="W10" i="233"/>
  <c r="T10" i="233" s="1"/>
  <c r="W35" i="232"/>
  <c r="V35" i="232"/>
  <c r="U35" i="232"/>
  <c r="T35" i="232"/>
  <c r="S35" i="232"/>
  <c r="W31" i="232"/>
  <c r="V31" i="232"/>
  <c r="U31" i="232"/>
  <c r="T31" i="232"/>
  <c r="S31" i="232"/>
  <c r="W30" i="232"/>
  <c r="V30" i="232"/>
  <c r="U30" i="232"/>
  <c r="T30" i="232"/>
  <c r="S30" i="232"/>
  <c r="W25" i="232"/>
  <c r="V25" i="232"/>
  <c r="U25" i="232"/>
  <c r="T25" i="232"/>
  <c r="S25" i="232"/>
  <c r="W24" i="232"/>
  <c r="V24" i="232"/>
  <c r="Q24" i="232" s="1"/>
  <c r="U24" i="232"/>
  <c r="T24" i="232"/>
  <c r="S24" i="232"/>
  <c r="W23" i="232"/>
  <c r="V23" i="232"/>
  <c r="U23" i="232"/>
  <c r="T23" i="232"/>
  <c r="S23" i="232"/>
  <c r="Q23" i="232" s="1"/>
  <c r="W20" i="232"/>
  <c r="V20" i="232"/>
  <c r="U20" i="232"/>
  <c r="Q20" i="232" s="1"/>
  <c r="T20" i="232"/>
  <c r="S20" i="232"/>
  <c r="W19" i="232"/>
  <c r="V19" i="232"/>
  <c r="U19" i="232"/>
  <c r="T19" i="232"/>
  <c r="S19" i="232"/>
  <c r="W18" i="232"/>
  <c r="Q18" i="232" s="1"/>
  <c r="V18" i="232"/>
  <c r="U18" i="232"/>
  <c r="T18" i="232"/>
  <c r="S18" i="232"/>
  <c r="W15" i="232"/>
  <c r="V15" i="232"/>
  <c r="U15" i="232"/>
  <c r="T15" i="232"/>
  <c r="S15" i="232"/>
  <c r="W14" i="232"/>
  <c r="Q14" i="232" s="1"/>
  <c r="V14" i="232"/>
  <c r="U14" i="232"/>
  <c r="T14" i="232"/>
  <c r="S14" i="232"/>
  <c r="W13" i="232"/>
  <c r="V13" i="232"/>
  <c r="U13" i="232"/>
  <c r="T13" i="232"/>
  <c r="Q13" i="232" s="1"/>
  <c r="S13" i="232"/>
  <c r="W12" i="232"/>
  <c r="V12" i="232"/>
  <c r="U12" i="232"/>
  <c r="T12" i="232"/>
  <c r="S12" i="232"/>
  <c r="W11" i="232"/>
  <c r="V11" i="232"/>
  <c r="Q11" i="232" s="1"/>
  <c r="U11" i="232"/>
  <c r="T11" i="232"/>
  <c r="S11" i="232"/>
  <c r="W10" i="232"/>
  <c r="V10" i="232"/>
  <c r="U10" i="232"/>
  <c r="T10" i="232"/>
  <c r="S10" i="232"/>
  <c r="Q10" i="232" s="1"/>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R40" i="231" s="1"/>
  <c r="Y40" i="231"/>
  <c r="Z39" i="231"/>
  <c r="Y39" i="231"/>
  <c r="Z38" i="231"/>
  <c r="Y38" i="231"/>
  <c r="Z37" i="231"/>
  <c r="Y37" i="231"/>
  <c r="Z36" i="231"/>
  <c r="Y36" i="231"/>
  <c r="Z32" i="231"/>
  <c r="Y32" i="231"/>
  <c r="Z31" i="231"/>
  <c r="Y31" i="231"/>
  <c r="Z30" i="231"/>
  <c r="Y30" i="231"/>
  <c r="R30" i="231" s="1"/>
  <c r="Z29" i="231"/>
  <c r="Y29" i="231"/>
  <c r="Z25" i="231"/>
  <c r="Y25" i="231"/>
  <c r="Z24" i="231"/>
  <c r="R24" i="231" s="1"/>
  <c r="Y24" i="231"/>
  <c r="Z23" i="231"/>
  <c r="Y23" i="231"/>
  <c r="Z22" i="231"/>
  <c r="Y22" i="231"/>
  <c r="W25" i="231"/>
  <c r="V25" i="231"/>
  <c r="R25" i="231" s="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R16" i="231" s="1"/>
  <c r="AB15" i="231"/>
  <c r="AA15" i="231"/>
  <c r="Z15" i="231"/>
  <c r="Y15" i="231"/>
  <c r="AB14" i="231"/>
  <c r="AA14" i="231"/>
  <c r="Z14" i="231"/>
  <c r="Y14" i="231"/>
  <c r="R14" i="231" s="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c r="O35" i="230"/>
  <c r="M35" i="230"/>
  <c r="O34" i="230"/>
  <c r="M34" i="230" s="1"/>
  <c r="O33" i="230"/>
  <c r="M33" i="230"/>
  <c r="O23" i="230"/>
  <c r="M23" i="230"/>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C28" i="229" s="1"/>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C20" i="229" s="1"/>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C12" i="229" s="1"/>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W27" i="228" s="1"/>
  <c r="AI26" i="228"/>
  <c r="AH26" i="228"/>
  <c r="AG26" i="228"/>
  <c r="AF26" i="228"/>
  <c r="W26" i="228" s="1"/>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W23" i="228" s="1"/>
  <c r="AI19" i="228"/>
  <c r="AH19" i="228"/>
  <c r="AG19" i="228"/>
  <c r="AF19" i="228"/>
  <c r="AE19" i="228"/>
  <c r="AC19" i="228"/>
  <c r="AB19" i="228"/>
  <c r="AA19" i="228"/>
  <c r="Z19" i="228"/>
  <c r="W19" i="228" s="1"/>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AG11" i="228"/>
  <c r="AF11" i="228"/>
  <c r="AE11" i="228"/>
  <c r="AC11" i="228"/>
  <c r="AB11" i="228"/>
  <c r="AA11" i="228"/>
  <c r="W11" i="228" s="1"/>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T43" i="227" s="1"/>
  <c r="V43" i="227"/>
  <c r="AC42" i="227"/>
  <c r="AB42" i="227"/>
  <c r="AA42" i="227"/>
  <c r="Z42" i="227"/>
  <c r="Y42" i="227"/>
  <c r="X42" i="227"/>
  <c r="W42" i="227"/>
  <c r="T42" i="227" s="1"/>
  <c r="V42" i="227"/>
  <c r="AC41" i="227"/>
  <c r="AB41" i="227"/>
  <c r="AA41" i="227"/>
  <c r="Z41" i="227"/>
  <c r="Y41" i="227"/>
  <c r="X41" i="227"/>
  <c r="W41" i="227"/>
  <c r="T41" i="227" s="1"/>
  <c r="V41" i="227"/>
  <c r="AC34" i="227"/>
  <c r="AB34" i="227"/>
  <c r="AA34" i="227"/>
  <c r="Z34" i="227"/>
  <c r="Y34" i="227"/>
  <c r="X34" i="227"/>
  <c r="W34" i="227"/>
  <c r="V34" i="227"/>
  <c r="T34" i="227" s="1"/>
  <c r="AC33" i="227"/>
  <c r="AB33" i="227"/>
  <c r="AA33" i="227"/>
  <c r="Z33" i="227"/>
  <c r="Y33" i="227"/>
  <c r="X33" i="227"/>
  <c r="W33" i="227"/>
  <c r="V33" i="227"/>
  <c r="T33" i="227" s="1"/>
  <c r="AC28" i="227"/>
  <c r="AB28" i="227"/>
  <c r="AA28" i="227"/>
  <c r="Z28" i="227"/>
  <c r="Y28" i="227"/>
  <c r="X28" i="227"/>
  <c r="W28" i="227"/>
  <c r="V28" i="227"/>
  <c r="AC24" i="227"/>
  <c r="AB24" i="227"/>
  <c r="AA24" i="227"/>
  <c r="Z24" i="227"/>
  <c r="Y24" i="227"/>
  <c r="X24" i="227"/>
  <c r="T24" i="227" s="1"/>
  <c r="W24" i="227"/>
  <c r="V24" i="227"/>
  <c r="AC22" i="227"/>
  <c r="AB22" i="227"/>
  <c r="AA22" i="227"/>
  <c r="T22" i="227" s="1"/>
  <c r="Z22" i="227"/>
  <c r="Y22" i="227"/>
  <c r="X22" i="227"/>
  <c r="W22" i="227"/>
  <c r="V22" i="227"/>
  <c r="AC17" i="227"/>
  <c r="AB17" i="227"/>
  <c r="AA17" i="227"/>
  <c r="Z17" i="227"/>
  <c r="Y17" i="227"/>
  <c r="X17" i="227"/>
  <c r="T17" i="227" s="1"/>
  <c r="W17" i="227"/>
  <c r="V17" i="227"/>
  <c r="AC13" i="227"/>
  <c r="AB13" i="227"/>
  <c r="AA13" i="227"/>
  <c r="Z13" i="227"/>
  <c r="Y13" i="227"/>
  <c r="X13" i="227"/>
  <c r="W13" i="227"/>
  <c r="V13" i="227"/>
  <c r="AC11" i="227"/>
  <c r="AB11" i="227"/>
  <c r="AA11" i="227"/>
  <c r="Z11" i="227"/>
  <c r="Y11" i="227"/>
  <c r="X11" i="227"/>
  <c r="W11" i="227"/>
  <c r="T11" i="227" s="1"/>
  <c r="W45" i="226"/>
  <c r="V45" i="226"/>
  <c r="U45" i="226"/>
  <c r="T45" i="226"/>
  <c r="S45" i="226"/>
  <c r="Q45" i="226" s="1"/>
  <c r="W44" i="226"/>
  <c r="V44" i="226"/>
  <c r="U44" i="226"/>
  <c r="T44" i="226"/>
  <c r="S44" i="226"/>
  <c r="W43" i="226"/>
  <c r="V43" i="226"/>
  <c r="U43" i="226"/>
  <c r="Q43" i="226" s="1"/>
  <c r="T43" i="226"/>
  <c r="S43" i="226"/>
  <c r="W42" i="226"/>
  <c r="V42" i="226"/>
  <c r="U42" i="226"/>
  <c r="T42" i="226"/>
  <c r="S42" i="226"/>
  <c r="W41" i="226"/>
  <c r="V41" i="226"/>
  <c r="U41" i="226"/>
  <c r="T41" i="226"/>
  <c r="S41" i="226"/>
  <c r="W34" i="226"/>
  <c r="V34" i="226"/>
  <c r="U34" i="226"/>
  <c r="T34" i="226"/>
  <c r="S34" i="226"/>
  <c r="Q34" i="226" s="1"/>
  <c r="W33" i="226"/>
  <c r="V33" i="226"/>
  <c r="U33" i="226"/>
  <c r="Q33" i="226" s="1"/>
  <c r="T33" i="226"/>
  <c r="S33" i="226"/>
  <c r="W28" i="226"/>
  <c r="V28" i="226"/>
  <c r="U28" i="226"/>
  <c r="T28" i="226"/>
  <c r="Q28" i="226" s="1"/>
  <c r="S28" i="226"/>
  <c r="W24" i="226"/>
  <c r="V24" i="226"/>
  <c r="U24" i="226"/>
  <c r="T24" i="226"/>
  <c r="S24" i="226"/>
  <c r="W22" i="226"/>
  <c r="V22" i="226"/>
  <c r="Q22" i="226" s="1"/>
  <c r="U22" i="226"/>
  <c r="T22" i="226"/>
  <c r="S22" i="226"/>
  <c r="W17" i="226"/>
  <c r="V17" i="226"/>
  <c r="U17" i="226"/>
  <c r="T17" i="226"/>
  <c r="S17" i="226"/>
  <c r="W13" i="226"/>
  <c r="V13" i="226"/>
  <c r="U13" i="226"/>
  <c r="Q13" i="226" s="1"/>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U35" i="225" s="1"/>
  <c r="X35" i="225"/>
  <c r="W35" i="225"/>
  <c r="AF34" i="225"/>
  <c r="AE34" i="225"/>
  <c r="AD34" i="225"/>
  <c r="AC34" i="225"/>
  <c r="AB34" i="225"/>
  <c r="AA34" i="225"/>
  <c r="Z34" i="225"/>
  <c r="Y34" i="225"/>
  <c r="X34" i="225"/>
  <c r="W34" i="225"/>
  <c r="AF29" i="225"/>
  <c r="AE29" i="225"/>
  <c r="AD29" i="225"/>
  <c r="AC29" i="225"/>
  <c r="AB29" i="225"/>
  <c r="AA29" i="225"/>
  <c r="Z29" i="225"/>
  <c r="Y29" i="225"/>
  <c r="X29" i="225"/>
  <c r="U29" i="225" s="1"/>
  <c r="W29" i="225"/>
  <c r="AF28" i="225"/>
  <c r="AE28" i="225"/>
  <c r="AD28" i="225"/>
  <c r="AC28" i="225"/>
  <c r="AB28" i="225"/>
  <c r="AA28" i="225"/>
  <c r="Z28" i="225"/>
  <c r="Y28" i="225"/>
  <c r="X28" i="225"/>
  <c r="U28" i="225" s="1"/>
  <c r="W28" i="225"/>
  <c r="AF26" i="225"/>
  <c r="AE26" i="225"/>
  <c r="AD26" i="225"/>
  <c r="AC26" i="225"/>
  <c r="AB26" i="225"/>
  <c r="AA26" i="225"/>
  <c r="Z26" i="225"/>
  <c r="Y26" i="225"/>
  <c r="X26" i="225"/>
  <c r="U26" i="225" s="1"/>
  <c r="W26" i="225"/>
  <c r="AF25" i="225"/>
  <c r="AE25" i="225"/>
  <c r="AD25" i="225"/>
  <c r="AC25" i="225"/>
  <c r="AB25" i="225"/>
  <c r="AA25" i="225"/>
  <c r="Z25" i="225"/>
  <c r="U25" i="225" s="1"/>
  <c r="Y25" i="225"/>
  <c r="X25" i="225"/>
  <c r="W25" i="225"/>
  <c r="AF18" i="225"/>
  <c r="AE18" i="225"/>
  <c r="AD18" i="225"/>
  <c r="AC18" i="225"/>
  <c r="AB18" i="225"/>
  <c r="AA18" i="225"/>
  <c r="Z18" i="225"/>
  <c r="Y18" i="225"/>
  <c r="X18" i="225"/>
  <c r="W18" i="225"/>
  <c r="U18" i="225" s="1"/>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U12" i="225" s="1"/>
  <c r="X12" i="225"/>
  <c r="W12" i="225"/>
  <c r="AF11" i="225"/>
  <c r="AE11" i="225"/>
  <c r="AD11" i="225"/>
  <c r="AC11" i="225"/>
  <c r="AB11" i="225"/>
  <c r="AA11" i="225"/>
  <c r="U11" i="225" s="1"/>
  <c r="Z11" i="225"/>
  <c r="Y11" i="225"/>
  <c r="X11" i="225"/>
  <c r="W11" i="225"/>
  <c r="AF10" i="225"/>
  <c r="AE10" i="225"/>
  <c r="AD10" i="225"/>
  <c r="AC10" i="225"/>
  <c r="U10" i="225" s="1"/>
  <c r="AB10" i="225"/>
  <c r="AA10" i="225"/>
  <c r="Z10" i="225"/>
  <c r="Y10" i="225"/>
  <c r="X10" i="225"/>
  <c r="W10" i="225"/>
  <c r="AF9" i="225"/>
  <c r="AE9" i="225"/>
  <c r="AD9" i="225"/>
  <c r="AC9" i="225"/>
  <c r="AB9" i="225"/>
  <c r="AA9" i="225"/>
  <c r="Z9" i="225"/>
  <c r="Y9" i="225"/>
  <c r="X9" i="225"/>
  <c r="U9" i="225" s="1"/>
  <c r="O66" i="223"/>
  <c r="N66" i="223"/>
  <c r="L66" i="223" s="1"/>
  <c r="O65" i="223"/>
  <c r="L65" i="223" s="1"/>
  <c r="N65" i="223"/>
  <c r="O64" i="223"/>
  <c r="N64" i="223"/>
  <c r="O63" i="223"/>
  <c r="N63" i="223"/>
  <c r="L63" i="223" s="1"/>
  <c r="O62" i="223"/>
  <c r="N62" i="223"/>
  <c r="L62" i="223" s="1"/>
  <c r="O61" i="223"/>
  <c r="N61" i="223"/>
  <c r="O60" i="223"/>
  <c r="N60" i="223"/>
  <c r="O59" i="223"/>
  <c r="N59" i="223"/>
  <c r="L59" i="223" s="1"/>
  <c r="O58" i="223"/>
  <c r="L58" i="223" s="1"/>
  <c r="N58" i="223"/>
  <c r="O57" i="223"/>
  <c r="N57" i="223"/>
  <c r="O56" i="223"/>
  <c r="N56" i="223"/>
  <c r="O55" i="223"/>
  <c r="N55" i="223"/>
  <c r="L55" i="223" s="1"/>
  <c r="O54" i="223"/>
  <c r="N54" i="223"/>
  <c r="O53" i="223"/>
  <c r="N53" i="223"/>
  <c r="O52" i="223"/>
  <c r="N52" i="223"/>
  <c r="O51" i="223"/>
  <c r="L51" i="223"/>
  <c r="N51" i="223"/>
  <c r="O50" i="223"/>
  <c r="N50" i="223"/>
  <c r="O49" i="223"/>
  <c r="N49" i="223"/>
  <c r="O48" i="223"/>
  <c r="N48" i="223"/>
  <c r="L48" i="223" s="1"/>
  <c r="O47" i="223"/>
  <c r="N47" i="223"/>
  <c r="L47" i="223" s="1"/>
  <c r="O46" i="223"/>
  <c r="N46" i="223"/>
  <c r="O45" i="223"/>
  <c r="N45" i="223"/>
  <c r="O44" i="223"/>
  <c r="N44" i="223"/>
  <c r="O43" i="223"/>
  <c r="L43" i="223"/>
  <c r="N43" i="223"/>
  <c r="O42" i="223"/>
  <c r="N42" i="223"/>
  <c r="P34" i="223"/>
  <c r="O34" i="223"/>
  <c r="N34" i="223"/>
  <c r="P33" i="223"/>
  <c r="L33" i="223" s="1"/>
  <c r="O33" i="223"/>
  <c r="N33" i="223"/>
  <c r="P32" i="223"/>
  <c r="O32" i="223"/>
  <c r="N32" i="223"/>
  <c r="P31" i="223"/>
  <c r="O31" i="223"/>
  <c r="N31" i="223"/>
  <c r="L31" i="223" s="1"/>
  <c r="P30" i="223"/>
  <c r="O30" i="223"/>
  <c r="N30" i="223"/>
  <c r="P29" i="223"/>
  <c r="O29" i="223"/>
  <c r="N29" i="223"/>
  <c r="L29" i="223" s="1"/>
  <c r="P28" i="223"/>
  <c r="O28" i="223"/>
  <c r="L28" i="223" s="1"/>
  <c r="N28" i="223"/>
  <c r="P27" i="223"/>
  <c r="O27" i="223"/>
  <c r="N27" i="223"/>
  <c r="P26" i="223"/>
  <c r="O26" i="223"/>
  <c r="N26" i="223"/>
  <c r="L26" i="223" s="1"/>
  <c r="P25" i="223"/>
  <c r="L25" i="223" s="1"/>
  <c r="O25" i="223"/>
  <c r="N25" i="223"/>
  <c r="P24" i="223"/>
  <c r="O24" i="223"/>
  <c r="N24" i="223"/>
  <c r="L24" i="223" s="1"/>
  <c r="P23" i="223"/>
  <c r="L23" i="223" s="1"/>
  <c r="O23" i="223"/>
  <c r="N23" i="223"/>
  <c r="P22" i="223"/>
  <c r="O22" i="223"/>
  <c r="N22" i="223"/>
  <c r="P21" i="223"/>
  <c r="O21" i="223"/>
  <c r="N21" i="223"/>
  <c r="L21" i="223" s="1"/>
  <c r="P20" i="223"/>
  <c r="O20" i="223"/>
  <c r="L20" i="223" s="1"/>
  <c r="N20" i="223"/>
  <c r="P19" i="223"/>
  <c r="O19" i="223"/>
  <c r="N19" i="223"/>
  <c r="P18" i="223"/>
  <c r="O18" i="223"/>
  <c r="N18" i="223"/>
  <c r="L18" i="223" s="1"/>
  <c r="P17" i="223"/>
  <c r="O17" i="223"/>
  <c r="N17" i="223"/>
  <c r="P16" i="223"/>
  <c r="O16" i="223"/>
  <c r="N16" i="223"/>
  <c r="L16" i="223" s="1"/>
  <c r="P15" i="223"/>
  <c r="L15" i="223" s="1"/>
  <c r="O15" i="223"/>
  <c r="N15" i="223"/>
  <c r="P14" i="223"/>
  <c r="O14" i="223"/>
  <c r="N14" i="223"/>
  <c r="L14" i="223" s="1"/>
  <c r="P13" i="223"/>
  <c r="O13" i="223"/>
  <c r="N13" i="223"/>
  <c r="L13" i="223" s="1"/>
  <c r="P12" i="223"/>
  <c r="L12" i="223" s="1"/>
  <c r="O12" i="223"/>
  <c r="N12" i="223"/>
  <c r="P11" i="223"/>
  <c r="O11" i="223"/>
  <c r="L11" i="223" s="1"/>
  <c r="N11" i="223"/>
  <c r="P10" i="223"/>
  <c r="O10" i="223"/>
  <c r="AA28" i="221"/>
  <c r="Z28" i="221"/>
  <c r="Y28" i="221"/>
  <c r="X28" i="221"/>
  <c r="W28" i="221"/>
  <c r="V28" i="221"/>
  <c r="U28" i="221"/>
  <c r="S28" i="221" s="1"/>
  <c r="AA27" i="221"/>
  <c r="Z27" i="221"/>
  <c r="Y27" i="221"/>
  <c r="X27" i="221"/>
  <c r="W27" i="221"/>
  <c r="S27" i="221" s="1"/>
  <c r="V27" i="221"/>
  <c r="U27" i="221"/>
  <c r="AA19" i="221"/>
  <c r="Z19" i="221"/>
  <c r="Y19" i="221"/>
  <c r="X19" i="221"/>
  <c r="W19" i="221"/>
  <c r="V19" i="221"/>
  <c r="U19" i="221"/>
  <c r="S19" i="221" s="1"/>
  <c r="AA18" i="221"/>
  <c r="Z18" i="221"/>
  <c r="Y18" i="221"/>
  <c r="X18" i="221"/>
  <c r="W18" i="221"/>
  <c r="V18" i="221"/>
  <c r="U18" i="221"/>
  <c r="AA17" i="221"/>
  <c r="S17" i="221" s="1"/>
  <c r="Z17" i="221"/>
  <c r="Y17" i="221"/>
  <c r="X17" i="221"/>
  <c r="W17" i="221"/>
  <c r="V17" i="221"/>
  <c r="U17" i="221"/>
  <c r="AA16" i="221"/>
  <c r="Z16" i="221"/>
  <c r="S16" i="221" s="1"/>
  <c r="Y16" i="221"/>
  <c r="X16" i="221"/>
  <c r="W16" i="221"/>
  <c r="V16" i="221"/>
  <c r="U16" i="221"/>
  <c r="AA12" i="221"/>
  <c r="AA11" i="221"/>
  <c r="AA10" i="221"/>
  <c r="AA9" i="221"/>
  <c r="AA8" i="221"/>
  <c r="Z12" i="221"/>
  <c r="Y12" i="221"/>
  <c r="X12" i="221"/>
  <c r="W12" i="221"/>
  <c r="V12" i="221"/>
  <c r="U12" i="221"/>
  <c r="Z11" i="221"/>
  <c r="Y11" i="221"/>
  <c r="X11" i="221"/>
  <c r="W11" i="221"/>
  <c r="V11" i="221"/>
  <c r="U11" i="221"/>
  <c r="S11" i="221" s="1"/>
  <c r="Z10" i="221"/>
  <c r="Y10" i="221"/>
  <c r="X10" i="221"/>
  <c r="W10" i="221"/>
  <c r="V10" i="221"/>
  <c r="U10" i="221"/>
  <c r="S10" i="221" s="1"/>
  <c r="Z9" i="221"/>
  <c r="Y9" i="221"/>
  <c r="S9" i="221" s="1"/>
  <c r="X9" i="221"/>
  <c r="W9" i="221"/>
  <c r="V9" i="221"/>
  <c r="U9" i="221"/>
  <c r="Z8" i="221"/>
  <c r="Y8" i="221"/>
  <c r="X8" i="221"/>
  <c r="W8" i="221"/>
  <c r="V8" i="221"/>
  <c r="Q42" i="220"/>
  <c r="M42" i="220" s="1"/>
  <c r="Q41" i="220"/>
  <c r="M41" i="220"/>
  <c r="O35" i="220"/>
  <c r="M35" i="220"/>
  <c r="O34" i="220"/>
  <c r="M34" i="220" s="1"/>
  <c r="O33" i="220"/>
  <c r="M33" i="220"/>
  <c r="O27" i="220"/>
  <c r="M27" i="220" s="1"/>
  <c r="O26" i="220"/>
  <c r="M26" i="220" s="1"/>
  <c r="O25" i="220"/>
  <c r="M25" i="220" s="1"/>
  <c r="P17" i="220"/>
  <c r="M17" i="220"/>
  <c r="P16" i="220"/>
  <c r="M16" i="220"/>
  <c r="P15" i="220"/>
  <c r="M15" i="220"/>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Q9" i="219" s="1"/>
  <c r="U7" i="218"/>
  <c r="T7" i="218"/>
  <c r="S7" i="218"/>
  <c r="Q13" i="217"/>
  <c r="P13" i="217"/>
  <c r="N13" i="217" s="1"/>
  <c r="Q9" i="217"/>
  <c r="P17" i="216"/>
  <c r="O17" i="216"/>
  <c r="P16" i="216"/>
  <c r="O16" i="216"/>
  <c r="M16" i="216" s="1"/>
  <c r="P15" i="216"/>
  <c r="O15" i="216"/>
  <c r="M15" i="216" s="1"/>
  <c r="P14" i="216"/>
  <c r="O14" i="216"/>
  <c r="P10" i="216"/>
  <c r="M10" i="216" s="1"/>
  <c r="O10" i="216"/>
  <c r="P9" i="216"/>
  <c r="O9" i="216"/>
  <c r="P8" i="216"/>
  <c r="U44" i="215"/>
  <c r="Q44" i="215" s="1"/>
  <c r="U41" i="215"/>
  <c r="Q41" i="215" s="1"/>
  <c r="U40" i="215"/>
  <c r="Q40" i="215" s="1"/>
  <c r="U39" i="215"/>
  <c r="Q39" i="215" s="1"/>
  <c r="T35" i="215"/>
  <c r="S35" i="215"/>
  <c r="Q35" i="215"/>
  <c r="T34" i="215"/>
  <c r="S34" i="215"/>
  <c r="Q34" i="215" s="1"/>
  <c r="T33" i="215"/>
  <c r="S33" i="215"/>
  <c r="Q33" i="215" s="1"/>
  <c r="T27" i="215"/>
  <c r="S27" i="215"/>
  <c r="T26" i="215"/>
  <c r="S26" i="215"/>
  <c r="Q26" i="215" s="1"/>
  <c r="W22" i="215"/>
  <c r="V22" i="215"/>
  <c r="W21" i="215"/>
  <c r="V21" i="215"/>
  <c r="Q21" i="215" s="1"/>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Q8" i="215" s="1"/>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S10" i="262" s="1"/>
  <c r="AC10" i="262"/>
  <c r="AA11" i="262"/>
  <c r="Z11" i="262"/>
  <c r="AA10" i="262"/>
  <c r="Z10" i="262"/>
  <c r="X11" i="262"/>
  <c r="X10" i="262"/>
  <c r="V11" i="262"/>
  <c r="U11" i="262"/>
  <c r="V10" i="262"/>
  <c r="N24" i="214"/>
  <c r="L24" i="214"/>
  <c r="O21" i="214"/>
  <c r="L21" i="214"/>
  <c r="O20" i="214"/>
  <c r="L20" i="214" s="1"/>
  <c r="N16" i="214"/>
  <c r="L16" i="214" s="1"/>
  <c r="S54" i="213"/>
  <c r="R54" i="213"/>
  <c r="Q54" i="213"/>
  <c r="O54" i="213" s="1"/>
  <c r="S52" i="213"/>
  <c r="R52" i="213"/>
  <c r="Q52" i="213"/>
  <c r="O52" i="213" s="1"/>
  <c r="R47" i="213"/>
  <c r="Q47" i="213"/>
  <c r="O47" i="213" s="1"/>
  <c r="S44" i="213"/>
  <c r="R44" i="213"/>
  <c r="Q44" i="213"/>
  <c r="O44" i="213" s="1"/>
  <c r="S43" i="213"/>
  <c r="O43" i="213" s="1"/>
  <c r="R43" i="213"/>
  <c r="Q43" i="213"/>
  <c r="S42" i="213"/>
  <c r="R42" i="213"/>
  <c r="Q42" i="213"/>
  <c r="S40" i="213"/>
  <c r="R40" i="213"/>
  <c r="Q40" i="213"/>
  <c r="S38" i="213"/>
  <c r="R38" i="213"/>
  <c r="Q38" i="213"/>
  <c r="S37" i="213"/>
  <c r="R37" i="213"/>
  <c r="Q37" i="213"/>
  <c r="S36" i="213"/>
  <c r="R36" i="213"/>
  <c r="O36" i="213" s="1"/>
  <c r="Q36" i="213"/>
  <c r="S35" i="213"/>
  <c r="R35" i="213"/>
  <c r="Q35" i="213"/>
  <c r="R32" i="213"/>
  <c r="Q32" i="213"/>
  <c r="S29" i="213"/>
  <c r="R29" i="213"/>
  <c r="O29" i="213" s="1"/>
  <c r="Q29" i="213"/>
  <c r="S28" i="213"/>
  <c r="R28" i="213"/>
  <c r="Q28" i="213"/>
  <c r="O28" i="213" s="1"/>
  <c r="S27" i="213"/>
  <c r="R27" i="213"/>
  <c r="Q27" i="213"/>
  <c r="S25" i="213"/>
  <c r="O25" i="213" s="1"/>
  <c r="R25" i="213"/>
  <c r="Q25" i="213"/>
  <c r="S23" i="213"/>
  <c r="R23" i="213"/>
  <c r="Q23" i="213"/>
  <c r="S22" i="213"/>
  <c r="R22" i="213"/>
  <c r="Q22" i="213"/>
  <c r="S21" i="213"/>
  <c r="R21" i="213"/>
  <c r="Q21" i="213"/>
  <c r="S20" i="213"/>
  <c r="R20" i="213"/>
  <c r="Q20" i="213"/>
  <c r="O20" i="213" s="1"/>
  <c r="S19" i="213"/>
  <c r="R19" i="213"/>
  <c r="Q19" i="213"/>
  <c r="R16" i="213"/>
  <c r="Q16" i="213"/>
  <c r="S13" i="213"/>
  <c r="O13" i="213" s="1"/>
  <c r="R13" i="213"/>
  <c r="Q13" i="213"/>
  <c r="S12" i="213"/>
  <c r="R12" i="213"/>
  <c r="Q12" i="213"/>
  <c r="S11" i="213"/>
  <c r="R11" i="213"/>
  <c r="Q11" i="213"/>
  <c r="O11" i="213" s="1"/>
  <c r="S9" i="213"/>
  <c r="R9" i="213"/>
  <c r="Q9" i="213"/>
  <c r="S8" i="213"/>
  <c r="R8" i="213"/>
  <c r="AA28" i="212"/>
  <c r="Z28" i="212"/>
  <c r="Y28" i="212"/>
  <c r="X28" i="212"/>
  <c r="W28" i="212"/>
  <c r="V28" i="212"/>
  <c r="S28" i="212" s="1"/>
  <c r="U28" i="212"/>
  <c r="AA27" i="212"/>
  <c r="Z27" i="212"/>
  <c r="Y27" i="212"/>
  <c r="X27" i="212"/>
  <c r="W27" i="212"/>
  <c r="V27" i="212"/>
  <c r="U27" i="212"/>
  <c r="AA19" i="212"/>
  <c r="Z19" i="212"/>
  <c r="Y19" i="212"/>
  <c r="S19" i="212" s="1"/>
  <c r="X19" i="212"/>
  <c r="W19" i="212"/>
  <c r="V19" i="212"/>
  <c r="U19" i="212"/>
  <c r="AA18" i="212"/>
  <c r="Z18" i="212"/>
  <c r="Y18" i="212"/>
  <c r="X18" i="212"/>
  <c r="W18" i="212"/>
  <c r="V18" i="212"/>
  <c r="U18" i="212"/>
  <c r="AA17" i="212"/>
  <c r="Z17" i="212"/>
  <c r="S17" i="212" s="1"/>
  <c r="Y17" i="212"/>
  <c r="X17" i="212"/>
  <c r="W17" i="212"/>
  <c r="V17" i="212"/>
  <c r="U17" i="212"/>
  <c r="AA16" i="212"/>
  <c r="Z16" i="212"/>
  <c r="Y16" i="212"/>
  <c r="X16" i="212"/>
  <c r="W16" i="212"/>
  <c r="V16" i="212"/>
  <c r="S16" i="212" s="1"/>
  <c r="U16" i="212"/>
  <c r="AA12" i="212"/>
  <c r="AA11" i="212"/>
  <c r="AA10" i="212"/>
  <c r="AA9" i="212"/>
  <c r="AA8" i="212"/>
  <c r="Z12" i="212"/>
  <c r="Y12" i="212"/>
  <c r="X12" i="212"/>
  <c r="S12" i="212" s="1"/>
  <c r="W12" i="212"/>
  <c r="V12" i="212"/>
  <c r="U12" i="212"/>
  <c r="Z11" i="212"/>
  <c r="Y11" i="212"/>
  <c r="X11" i="212"/>
  <c r="W11" i="212"/>
  <c r="V11" i="212"/>
  <c r="S11" i="212" s="1"/>
  <c r="U11" i="212"/>
  <c r="Z10" i="212"/>
  <c r="Y10" i="212"/>
  <c r="X10" i="212"/>
  <c r="W10" i="212"/>
  <c r="V10" i="212"/>
  <c r="U10" i="212"/>
  <c r="Z9" i="212"/>
  <c r="Y9" i="212"/>
  <c r="X9" i="212"/>
  <c r="W9" i="212"/>
  <c r="V9" i="212"/>
  <c r="U9" i="212"/>
  <c r="Z8" i="212"/>
  <c r="Y8" i="212"/>
  <c r="X8" i="212"/>
  <c r="S8" i="212" s="1"/>
  <c r="W8" i="212"/>
  <c r="V8" i="212"/>
  <c r="P55" i="211"/>
  <c r="N55" i="211" s="1"/>
  <c r="P54" i="211"/>
  <c r="N54" i="211" s="1"/>
  <c r="P53" i="211"/>
  <c r="N53" i="211" s="1"/>
  <c r="P49" i="211"/>
  <c r="N49" i="211"/>
  <c r="P48" i="211"/>
  <c r="N48" i="211" s="1"/>
  <c r="P45" i="211"/>
  <c r="N45" i="211" s="1"/>
  <c r="P44" i="211"/>
  <c r="N44" i="211"/>
  <c r="Q41" i="211"/>
  <c r="P41" i="211"/>
  <c r="N41" i="211" s="1"/>
  <c r="Q38" i="211"/>
  <c r="P38" i="211"/>
  <c r="Q33" i="211"/>
  <c r="P33" i="211"/>
  <c r="N33" i="211" s="1"/>
  <c r="Q32" i="211"/>
  <c r="P32" i="211"/>
  <c r="N32" i="211" s="1"/>
  <c r="Q27" i="211"/>
  <c r="P27" i="211"/>
  <c r="N27" i="211"/>
  <c r="Q26" i="211"/>
  <c r="P26" i="211"/>
  <c r="Q25" i="211"/>
  <c r="N25" i="211" s="1"/>
  <c r="P25" i="211"/>
  <c r="Q24" i="211"/>
  <c r="N24" i="211" s="1"/>
  <c r="P24" i="211"/>
  <c r="Q21" i="211"/>
  <c r="P21" i="211"/>
  <c r="N21" i="211" s="1"/>
  <c r="Q20" i="211"/>
  <c r="P20" i="211"/>
  <c r="Q19" i="211"/>
  <c r="P19" i="211"/>
  <c r="N19" i="211" s="1"/>
  <c r="Q18" i="211"/>
  <c r="P18" i="211"/>
  <c r="Q14" i="211"/>
  <c r="N14" i="211" s="1"/>
  <c r="P14" i="211"/>
  <c r="Q13" i="211"/>
  <c r="N13" i="211" s="1"/>
  <c r="P13" i="211"/>
  <c r="Q12" i="211"/>
  <c r="N12" i="211" s="1"/>
  <c r="Q11" i="211"/>
  <c r="P11" i="211"/>
  <c r="N11" i="211" s="1"/>
  <c r="Q10" i="211"/>
  <c r="P10" i="211"/>
  <c r="N10" i="211" s="1"/>
  <c r="Q9" i="211"/>
  <c r="N9" i="211" s="1"/>
  <c r="P9" i="211"/>
  <c r="Q8" i="211"/>
  <c r="W43" i="210"/>
  <c r="Q43" i="210" s="1"/>
  <c r="W42" i="210"/>
  <c r="Q42" i="210" s="1"/>
  <c r="W37" i="210"/>
  <c r="Q37" i="210" s="1"/>
  <c r="W33" i="210"/>
  <c r="Q33" i="210" s="1"/>
  <c r="W31" i="210"/>
  <c r="Q31" i="210" s="1"/>
  <c r="W30" i="210"/>
  <c r="Q30" i="210"/>
  <c r="W29" i="210"/>
  <c r="Q29" i="210" s="1"/>
  <c r="W26" i="210"/>
  <c r="Q26" i="210" s="1"/>
  <c r="W22" i="210"/>
  <c r="Q22" i="210"/>
  <c r="W20" i="210"/>
  <c r="Q20" i="210"/>
  <c r="W19" i="210"/>
  <c r="Q19" i="210"/>
  <c r="W15" i="210"/>
  <c r="Q15" i="210" s="1"/>
  <c r="W14" i="210"/>
  <c r="Q14" i="210"/>
  <c r="W13" i="210"/>
  <c r="Q13" i="210"/>
  <c r="W12" i="210"/>
  <c r="Q12" i="210" s="1"/>
  <c r="W11" i="210"/>
  <c r="Q11" i="210" s="1"/>
  <c r="W10" i="210"/>
  <c r="Q10" i="210"/>
  <c r="W9" i="210"/>
  <c r="Q9" i="210" s="1"/>
  <c r="AB22" i="209"/>
  <c r="S22" i="209" s="1"/>
  <c r="AA17" i="209"/>
  <c r="Z17" i="209"/>
  <c r="Y17" i="209"/>
  <c r="X17" i="209"/>
  <c r="W17" i="209"/>
  <c r="V17" i="209"/>
  <c r="S17" i="209" s="1"/>
  <c r="U17" i="209"/>
  <c r="AA10" i="209"/>
  <c r="Z10" i="209"/>
  <c r="Y10" i="209"/>
  <c r="X10" i="209"/>
  <c r="W10" i="209"/>
  <c r="S10" i="209" s="1"/>
  <c r="AA8" i="209"/>
  <c r="Z8" i="209"/>
  <c r="Y8" i="209"/>
  <c r="X8" i="209"/>
  <c r="W8" i="209"/>
  <c r="V8" i="209"/>
  <c r="U29" i="206"/>
  <c r="T29" i="206"/>
  <c r="S29" i="206"/>
  <c r="R29" i="206"/>
  <c r="U22" i="206"/>
  <c r="T22" i="206"/>
  <c r="S22" i="206"/>
  <c r="R22" i="206"/>
  <c r="P22" i="206" s="1"/>
  <c r="U21" i="206"/>
  <c r="P21" i="206" s="1"/>
  <c r="T21" i="206"/>
  <c r="S21" i="206"/>
  <c r="R21" i="206"/>
  <c r="V18" i="206"/>
  <c r="P18" i="206"/>
  <c r="V13" i="206"/>
  <c r="P13" i="206"/>
  <c r="V12" i="206"/>
  <c r="P12" i="206" s="1"/>
  <c r="U34" i="205"/>
  <c r="T34" i="205"/>
  <c r="S34" i="205"/>
  <c r="U33" i="205"/>
  <c r="T33" i="205"/>
  <c r="Q33" i="205" s="1"/>
  <c r="S33" i="205"/>
  <c r="U32" i="205"/>
  <c r="T32" i="205"/>
  <c r="S32" i="205"/>
  <c r="U26" i="205"/>
  <c r="T26" i="205"/>
  <c r="S26" i="205"/>
  <c r="Q26" i="205" s="1"/>
  <c r="U25" i="205"/>
  <c r="T25" i="205"/>
  <c r="S25" i="205"/>
  <c r="Q25" i="205" s="1"/>
  <c r="U24" i="205"/>
  <c r="T24" i="205"/>
  <c r="S24" i="205"/>
  <c r="U23" i="205"/>
  <c r="T23" i="205"/>
  <c r="Q23" i="205" s="1"/>
  <c r="S23" i="205"/>
  <c r="U19" i="205"/>
  <c r="T19" i="205"/>
  <c r="S19" i="205"/>
  <c r="Q19" i="205" s="1"/>
  <c r="U18" i="205"/>
  <c r="T18" i="205"/>
  <c r="S18" i="205"/>
  <c r="U16" i="205"/>
  <c r="T16" i="205"/>
  <c r="S16" i="205"/>
  <c r="Q16" i="205" s="1"/>
  <c r="U15" i="205"/>
  <c r="T15" i="205"/>
  <c r="S15" i="205"/>
  <c r="U14" i="205"/>
  <c r="T14" i="205"/>
  <c r="S14" i="205"/>
  <c r="U13" i="205"/>
  <c r="T13" i="205"/>
  <c r="Q13" i="205" s="1"/>
  <c r="S13" i="205"/>
  <c r="U12" i="205"/>
  <c r="T12" i="205"/>
  <c r="S12" i="205"/>
  <c r="U11" i="205"/>
  <c r="T11" i="205"/>
  <c r="U51" i="204"/>
  <c r="T51" i="204"/>
  <c r="Q51" i="204" s="1"/>
  <c r="S51" i="204"/>
  <c r="U50" i="204"/>
  <c r="T50" i="204"/>
  <c r="S50" i="204"/>
  <c r="U44" i="204"/>
  <c r="T44" i="204"/>
  <c r="S44" i="204"/>
  <c r="U43" i="204"/>
  <c r="T43" i="204"/>
  <c r="Q43" i="204" s="1"/>
  <c r="S43" i="204"/>
  <c r="U42" i="204"/>
  <c r="T42" i="204"/>
  <c r="S42" i="204"/>
  <c r="U41" i="204"/>
  <c r="T41" i="204"/>
  <c r="S41" i="204"/>
  <c r="U40" i="204"/>
  <c r="T40" i="204"/>
  <c r="S40" i="204"/>
  <c r="U39" i="204"/>
  <c r="T39" i="204"/>
  <c r="S39" i="204"/>
  <c r="U38" i="204"/>
  <c r="T38" i="204"/>
  <c r="S38" i="204"/>
  <c r="Q38" i="204" s="1"/>
  <c r="U37" i="204"/>
  <c r="T37" i="204"/>
  <c r="S37" i="204"/>
  <c r="U36" i="204"/>
  <c r="T36" i="204"/>
  <c r="S36" i="204"/>
  <c r="U30" i="204"/>
  <c r="T30" i="204"/>
  <c r="Q30" i="204" s="1"/>
  <c r="S30" i="204"/>
  <c r="U29" i="204"/>
  <c r="T29" i="204"/>
  <c r="S29" i="204"/>
  <c r="U28" i="204"/>
  <c r="T28" i="204"/>
  <c r="S28" i="204"/>
  <c r="Q28" i="204" s="1"/>
  <c r="U27" i="204"/>
  <c r="T27" i="204"/>
  <c r="S27" i="204"/>
  <c r="U26" i="204"/>
  <c r="T26" i="204"/>
  <c r="S26" i="204"/>
  <c r="Q26" i="204" s="1"/>
  <c r="U25" i="204"/>
  <c r="T25" i="204"/>
  <c r="S25" i="204"/>
  <c r="U21" i="204"/>
  <c r="T21" i="204"/>
  <c r="S21" i="204"/>
  <c r="Q21" i="204" s="1"/>
  <c r="U20" i="204"/>
  <c r="T20" i="204"/>
  <c r="S20" i="204"/>
  <c r="U19" i="204"/>
  <c r="T19" i="204"/>
  <c r="S19" i="204"/>
  <c r="Q19" i="204" s="1"/>
  <c r="U18" i="204"/>
  <c r="T18" i="204"/>
  <c r="Q18" i="204" s="1"/>
  <c r="S18" i="204"/>
  <c r="U14" i="204"/>
  <c r="T14" i="204"/>
  <c r="S14" i="204"/>
  <c r="U13" i="204"/>
  <c r="T13" i="204"/>
  <c r="S13" i="204"/>
  <c r="Q13" i="204" s="1"/>
  <c r="U12" i="204"/>
  <c r="T12" i="204"/>
  <c r="S12" i="204"/>
  <c r="U11" i="204"/>
  <c r="T11" i="204"/>
  <c r="S11" i="204"/>
  <c r="U10" i="204"/>
  <c r="T10" i="204"/>
  <c r="Q10" i="204" s="1"/>
  <c r="S10" i="204"/>
  <c r="U9" i="204"/>
  <c r="T9" i="204"/>
  <c r="U10" i="203"/>
  <c r="T10" i="203"/>
  <c r="S10" i="203"/>
  <c r="U9" i="203"/>
  <c r="Q9" i="203" s="1"/>
  <c r="T9" i="203"/>
  <c r="U32" i="202"/>
  <c r="Q32" i="202" s="1"/>
  <c r="U31" i="202"/>
  <c r="Q31" i="202" s="1"/>
  <c r="U30" i="202"/>
  <c r="Q30" i="202" s="1"/>
  <c r="U26" i="202"/>
  <c r="T26" i="202"/>
  <c r="S26" i="202"/>
  <c r="U25" i="202"/>
  <c r="T25" i="202"/>
  <c r="Q25" i="202" s="1"/>
  <c r="S25" i="202"/>
  <c r="U22" i="202"/>
  <c r="T22" i="202"/>
  <c r="S22" i="202"/>
  <c r="U20" i="202"/>
  <c r="T20" i="202"/>
  <c r="S20" i="202"/>
  <c r="U17" i="202"/>
  <c r="T17" i="202"/>
  <c r="S17" i="202"/>
  <c r="U15" i="202"/>
  <c r="T15" i="202"/>
  <c r="Q15" i="202" s="1"/>
  <c r="S15" i="202"/>
  <c r="U14" i="202"/>
  <c r="Q14" i="202" s="1"/>
  <c r="T14" i="202"/>
  <c r="S14" i="202"/>
  <c r="U13" i="202"/>
  <c r="T13" i="202"/>
  <c r="S13" i="202"/>
  <c r="U12" i="202"/>
  <c r="T12" i="202"/>
  <c r="S12" i="202"/>
  <c r="Q12" i="202" s="1"/>
  <c r="U10" i="202"/>
  <c r="T10" i="202"/>
  <c r="S10" i="202"/>
  <c r="Q10" i="202" s="1"/>
  <c r="U9" i="202"/>
  <c r="T9" i="202"/>
  <c r="S9" i="202"/>
  <c r="Q9" i="202"/>
  <c r="U8" i="202"/>
  <c r="T8" i="202"/>
  <c r="AK568" i="293"/>
  <c r="O18" i="248"/>
  <c r="O33" i="248"/>
  <c r="M56" i="245"/>
  <c r="M50" i="245"/>
  <c r="M51" i="245"/>
  <c r="M54" i="245"/>
  <c r="N19" i="239"/>
  <c r="AK542" i="293"/>
  <c r="AK546" i="293"/>
  <c r="AK550" i="293"/>
  <c r="AK560" i="293"/>
  <c r="AK564" i="293"/>
  <c r="N18" i="211"/>
  <c r="O12" i="213"/>
  <c r="AK554" i="293"/>
  <c r="Q22" i="202"/>
  <c r="AK499" i="293"/>
  <c r="O10" i="248"/>
  <c r="O11" i="248"/>
  <c r="O16" i="248"/>
  <c r="O25" i="248"/>
  <c r="M37" i="245"/>
  <c r="M41" i="245"/>
  <c r="AA39" i="240"/>
  <c r="AA23" i="240"/>
  <c r="N13" i="236"/>
  <c r="AG76" i="235"/>
  <c r="R22" i="231"/>
  <c r="R46" i="231"/>
  <c r="AK491" i="293"/>
  <c r="AK498" i="293"/>
  <c r="AK487" i="293"/>
  <c r="AK105" i="293"/>
  <c r="M17" i="216"/>
  <c r="O19" i="213"/>
  <c r="O23" i="213"/>
  <c r="O42" i="213"/>
  <c r="O35" i="213"/>
  <c r="O40" i="213"/>
  <c r="N26" i="211"/>
  <c r="O9" i="213"/>
  <c r="O21" i="213"/>
  <c r="Q11" i="204"/>
  <c r="Q12" i="204"/>
  <c r="Q20" i="204"/>
  <c r="Q29" i="204"/>
  <c r="Q18" i="205"/>
  <c r="Q34" i="205"/>
  <c r="O22" i="213"/>
  <c r="O30" i="248"/>
  <c r="Q14" i="204"/>
  <c r="Q37" i="204"/>
  <c r="Q41" i="204"/>
  <c r="Q50" i="204"/>
  <c r="Q24" i="205"/>
  <c r="N20" i="211"/>
  <c r="N38" i="211"/>
  <c r="O16" i="213"/>
  <c r="S12" i="263"/>
  <c r="S16" i="263"/>
  <c r="Q9" i="215"/>
  <c r="Q10" i="215"/>
  <c r="Q17" i="215"/>
  <c r="Q19" i="215"/>
  <c r="Q27" i="215"/>
  <c r="L19" i="223"/>
  <c r="L27" i="223"/>
  <c r="L42" i="223"/>
  <c r="L44" i="223"/>
  <c r="L46" i="223"/>
  <c r="L50" i="223"/>
  <c r="L52" i="223"/>
  <c r="L54" i="223"/>
  <c r="L56" i="223"/>
  <c r="L60" i="223"/>
  <c r="L64" i="223"/>
  <c r="CN19" i="251"/>
  <c r="S10" i="258"/>
  <c r="AK485" i="293"/>
  <c r="AK489" i="293"/>
  <c r="AK495" i="293"/>
  <c r="AK538" i="293"/>
  <c r="O27" i="213"/>
  <c r="Q19" i="232"/>
  <c r="AA19" i="234"/>
  <c r="AA46" i="234"/>
  <c r="AA39" i="234"/>
  <c r="AA92" i="234"/>
  <c r="AG21" i="235"/>
  <c r="AG40" i="235"/>
  <c r="AG55" i="235"/>
  <c r="AG85" i="235"/>
  <c r="AA26" i="240"/>
  <c r="S9" i="243"/>
  <c r="S15" i="243"/>
  <c r="M25" i="245"/>
  <c r="M26" i="245"/>
  <c r="M27" i="245"/>
  <c r="M29" i="245"/>
  <c r="M31" i="245"/>
  <c r="O19" i="248"/>
  <c r="T9" i="257"/>
  <c r="T10" i="257"/>
  <c r="S13" i="258"/>
  <c r="V30" i="261"/>
  <c r="V35" i="261"/>
  <c r="AK85" i="293"/>
  <c r="AK101" i="293"/>
  <c r="AK470" i="293"/>
  <c r="AK474" i="293"/>
  <c r="AK478" i="293"/>
  <c r="AK482" i="293"/>
  <c r="AK493" i="293"/>
  <c r="AK497" i="293"/>
  <c r="AK503" i="293"/>
  <c r="AK540" i="293"/>
  <c r="M9" i="216"/>
  <c r="M12" i="259"/>
  <c r="M17" i="259"/>
  <c r="M21" i="259"/>
  <c r="V16" i="288"/>
  <c r="AK69" i="293"/>
  <c r="AK77" i="293"/>
  <c r="AK490" i="293"/>
  <c r="AK501" i="293"/>
  <c r="Q13" i="202"/>
  <c r="Q20" i="202"/>
  <c r="T11" i="257"/>
  <c r="Y33" i="257"/>
  <c r="V33" i="257"/>
  <c r="T30" i="257"/>
  <c r="T31" i="257"/>
  <c r="T32" i="257"/>
  <c r="S11" i="258"/>
  <c r="S12" i="258"/>
  <c r="W15" i="228"/>
  <c r="W24" i="228"/>
  <c r="R42" i="231"/>
  <c r="U34" i="225"/>
  <c r="U44" i="225"/>
  <c r="W25" i="228"/>
  <c r="L32" i="223"/>
  <c r="U15" i="225"/>
  <c r="T26" i="233"/>
  <c r="AA22" i="234"/>
  <c r="AA26" i="234"/>
  <c r="AA41" i="234"/>
  <c r="AA42" i="234"/>
  <c r="AA79" i="234"/>
  <c r="AA91" i="234"/>
  <c r="AA94" i="234"/>
  <c r="AA110" i="234"/>
  <c r="AA119" i="234"/>
  <c r="AA122" i="234"/>
  <c r="AG11" i="235"/>
  <c r="AG13" i="235"/>
  <c r="AG14" i="235"/>
  <c r="AG41" i="235"/>
  <c r="N16" i="239"/>
  <c r="AA13" i="240"/>
  <c r="AA38" i="240"/>
  <c r="AA41" i="240"/>
  <c r="AA55" i="240"/>
  <c r="AA57" i="240"/>
  <c r="CN12" i="251"/>
  <c r="AK23" i="25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AA20" i="234"/>
  <c r="AA15" i="234"/>
  <c r="AA36" i="234"/>
  <c r="AA48" i="234"/>
  <c r="AA117" i="234"/>
  <c r="AA96" i="234"/>
  <c r="AG49" i="235"/>
  <c r="AG70" i="235"/>
  <c r="Q19" i="237"/>
  <c r="N15" i="239"/>
  <c r="N18" i="239"/>
  <c r="AA14" i="240"/>
  <c r="AA56" i="240"/>
  <c r="R32" i="231"/>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2" i="232"/>
  <c r="Q15" i="232"/>
  <c r="Q25" i="232"/>
  <c r="Q30" i="232"/>
  <c r="Q31" i="232"/>
  <c r="AA12" i="234"/>
  <c r="AA34" i="234"/>
  <c r="AA113" i="234"/>
  <c r="AA93" i="234"/>
  <c r="AG39" i="235"/>
  <c r="AG46" i="235"/>
  <c r="AG63" i="235"/>
  <c r="AG79" i="235"/>
  <c r="N9" i="239"/>
  <c r="M43" i="245"/>
  <c r="AK61" i="293"/>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Q14" i="219"/>
  <c r="Q15" i="219"/>
  <c r="Q16" i="219"/>
  <c r="S12" i="221"/>
  <c r="M14" i="216"/>
  <c r="S18" i="212"/>
  <c r="S27" i="212"/>
  <c r="O32" i="213"/>
  <c r="O37" i="213"/>
  <c r="O38" i="213"/>
  <c r="Q42" i="204"/>
  <c r="Q17" i="202"/>
  <c r="Q26" i="202"/>
  <c r="Q36" i="204"/>
  <c r="Q40" i="204"/>
  <c r="Q44" i="204"/>
  <c r="Q39" i="204"/>
  <c r="Q12" i="205"/>
  <c r="Q14" i="205"/>
  <c r="Q15" i="205"/>
  <c r="Q32" i="205"/>
  <c r="P29" i="206"/>
  <c r="S39" i="258"/>
  <c r="AA76" i="234"/>
  <c r="AL17" i="285"/>
  <c r="X17" i="279"/>
  <c r="T24" i="289"/>
  <c r="AK508" i="293"/>
  <c r="AK512" i="293"/>
  <c r="AK516" i="293"/>
  <c r="AK520" i="293"/>
  <c r="AK524" i="293"/>
  <c r="AK528" i="293"/>
  <c r="AK532" i="293"/>
  <c r="AK109" i="293"/>
  <c r="AK471" i="293"/>
  <c r="AK475" i="293"/>
  <c r="AK479" i="293"/>
  <c r="V17" i="288"/>
  <c r="N14" i="290"/>
  <c r="N11" i="290"/>
  <c r="N12" i="290"/>
  <c r="N13" i="290"/>
  <c r="N15" i="290"/>
  <c r="N16" i="290"/>
  <c r="N17" i="290"/>
  <c r="AK505" i="293"/>
  <c r="AK536" i="293"/>
  <c r="AK541" i="293"/>
  <c r="AK556" i="293"/>
  <c r="AK557" i="293"/>
  <c r="AK483" i="293"/>
  <c r="Q41" i="226"/>
  <c r="Q42" i="226"/>
  <c r="AK89" i="293"/>
  <c r="AK62" i="293"/>
  <c r="AK66" i="293"/>
  <c r="AK70" i="293"/>
  <c r="AK74" i="293"/>
  <c r="AK78" i="293"/>
  <c r="AK82" i="293"/>
  <c r="AK86" i="293"/>
  <c r="AK90" i="293"/>
  <c r="AK94" i="293"/>
  <c r="AK98" i="293"/>
  <c r="AK102" i="293"/>
  <c r="AK106" i="293"/>
  <c r="AK63" i="293"/>
  <c r="AK67" i="293"/>
  <c r="AK71" i="293"/>
  <c r="AK75" i="293"/>
  <c r="AK79" i="293"/>
  <c r="AK83" i="293"/>
  <c r="AK87" i="293"/>
  <c r="AK91" i="293"/>
  <c r="AK95" i="293"/>
  <c r="AK99" i="293"/>
  <c r="AK103" i="293"/>
  <c r="AK107" i="293"/>
  <c r="AK189" i="293"/>
  <c r="AK218" i="293"/>
  <c r="AK226" i="293"/>
  <c r="AK60" i="293"/>
  <c r="AK64" i="293"/>
  <c r="AK68" i="293"/>
  <c r="AK72" i="293"/>
  <c r="AK76" i="293"/>
  <c r="AK80" i="293"/>
  <c r="AK84" i="293"/>
  <c r="AK88" i="293"/>
  <c r="AK92" i="293"/>
  <c r="AK96" i="293"/>
  <c r="AK100" i="293"/>
  <c r="AK104" i="293"/>
  <c r="AK108" i="293"/>
  <c r="AK229" i="293"/>
  <c r="AK237" i="293"/>
  <c r="AK245" i="293"/>
  <c r="AK253" i="293"/>
  <c r="AK261" i="293"/>
  <c r="AK371" i="293"/>
  <c r="AK379" i="293"/>
  <c r="AK387" i="293"/>
  <c r="AK395" i="293"/>
  <c r="AK403" i="293"/>
  <c r="AK411" i="293"/>
  <c r="S10" i="212"/>
  <c r="Q13" i="219"/>
  <c r="S18" i="221"/>
  <c r="L22" i="223"/>
  <c r="L30" i="223"/>
  <c r="L34" i="223"/>
  <c r="U17" i="225"/>
  <c r="U42" i="225"/>
  <c r="Q17" i="226"/>
  <c r="S9" i="212"/>
  <c r="L17" i="223"/>
  <c r="L45" i="223"/>
  <c r="L49" i="223"/>
  <c r="L53" i="223"/>
  <c r="L57" i="223"/>
  <c r="L61" i="223"/>
  <c r="Q44" i="226"/>
  <c r="T13" i="227"/>
  <c r="T28" i="227"/>
  <c r="I49" i="257"/>
  <c r="F196" i="273" s="1"/>
  <c r="I51" i="257"/>
  <c r="F210" i="273" s="1"/>
  <c r="E13" i="225"/>
  <c r="E14" i="225" s="1"/>
  <c r="S125" i="234"/>
  <c r="G1816" i="324" s="1"/>
  <c r="T125" i="234"/>
  <c r="G1817" i="324" s="1"/>
  <c r="K115" i="234"/>
  <c r="G1724" i="324" s="1"/>
  <c r="I114" i="234"/>
  <c r="G1713" i="324" s="1"/>
  <c r="G111" i="234"/>
  <c r="G1690" i="324" s="1"/>
  <c r="F96" i="234"/>
  <c r="G1584" i="324" s="1"/>
  <c r="J81" i="234"/>
  <c r="K55" i="234"/>
  <c r="G1383" i="324" s="1"/>
  <c r="K56" i="234"/>
  <c r="G1385" i="324" s="1"/>
  <c r="K58" i="234"/>
  <c r="G1389" i="324" s="1"/>
  <c r="K59" i="234"/>
  <c r="K74" i="234"/>
  <c r="G1417" i="324" s="1"/>
  <c r="K53" i="234"/>
  <c r="G1379" i="324" s="1"/>
  <c r="K52" i="234"/>
  <c r="G1377" i="324" s="1"/>
  <c r="J60" i="234"/>
  <c r="G1392" i="324" s="1"/>
  <c r="J57" i="234"/>
  <c r="K57" i="234" s="1"/>
  <c r="G1387" i="324" s="1"/>
  <c r="J54" i="234"/>
  <c r="K54" i="234" s="1"/>
  <c r="G1381" i="324" s="1"/>
  <c r="S49" i="234"/>
  <c r="G1374" i="324" s="1"/>
  <c r="T49" i="234"/>
  <c r="G1375" i="324" s="1"/>
  <c r="R49" i="234"/>
  <c r="G1373" i="324" s="1"/>
  <c r="T28" i="234"/>
  <c r="G1204" i="324" s="1"/>
  <c r="S28" i="234"/>
  <c r="K40" i="234"/>
  <c r="G1309" i="324" s="1"/>
  <c r="Q37" i="234"/>
  <c r="G1276" i="324" s="1"/>
  <c r="L39" i="234"/>
  <c r="G1295" i="324" s="1"/>
  <c r="H48" i="234"/>
  <c r="G1360" i="324" s="1"/>
  <c r="F45" i="234"/>
  <c r="G42" i="234"/>
  <c r="G1317" i="324" s="1"/>
  <c r="H39" i="234"/>
  <c r="G1291" i="324" s="1"/>
  <c r="I36" i="234"/>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R130" i="234"/>
  <c r="G1836" i="324" s="1"/>
  <c r="G33" i="248"/>
  <c r="G3341" i="324" s="1"/>
  <c r="E11" i="281"/>
  <c r="E17" i="281" s="1"/>
  <c r="K23" i="280"/>
  <c r="F1603" i="269" s="1"/>
  <c r="T23" i="280"/>
  <c r="F1612" i="269" s="1"/>
  <c r="T22" i="280"/>
  <c r="F1594" i="269" s="1"/>
  <c r="R22" i="280"/>
  <c r="F1592" i="269" s="1"/>
  <c r="F22" i="280"/>
  <c r="F1580" i="269" s="1"/>
  <c r="F21" i="280"/>
  <c r="F1562" i="269" s="1"/>
  <c r="K10" i="279"/>
  <c r="F15" i="279"/>
  <c r="F1244" i="269" s="1"/>
  <c r="F21" i="279"/>
  <c r="F23" i="279"/>
  <c r="F1340" i="269" s="1"/>
  <c r="F22" i="279"/>
  <c r="F1328" i="269" s="1"/>
  <c r="S38" i="240"/>
  <c r="T38" i="240" s="1"/>
  <c r="P41" i="240"/>
  <c r="F1158" i="269" s="1"/>
  <c r="J41" i="240"/>
  <c r="J44" i="240" s="1"/>
  <c r="P36" i="240"/>
  <c r="F1123" i="269" s="1"/>
  <c r="P37" i="240"/>
  <c r="P40" i="240" s="1"/>
  <c r="P35" i="240"/>
  <c r="F1110" i="269" s="1"/>
  <c r="J36" i="240"/>
  <c r="J37" i="240"/>
  <c r="J35" i="240"/>
  <c r="F1104" i="269" s="1"/>
  <c r="J25" i="240"/>
  <c r="G25" i="240"/>
  <c r="G27" i="240" s="1"/>
  <c r="J22" i="240"/>
  <c r="F1082" i="269" s="1"/>
  <c r="G22" i="240"/>
  <c r="F1079" i="269" s="1"/>
  <c r="J27" i="240"/>
  <c r="F1096" i="269" s="1"/>
  <c r="J24" i="240"/>
  <c r="F1086" i="269" s="1"/>
  <c r="J40" i="240"/>
  <c r="F1144" i="269" s="1"/>
  <c r="T42" i="240"/>
  <c r="T36" i="240"/>
  <c r="F1124" i="269" s="1"/>
  <c r="T37" i="240"/>
  <c r="F1137" i="269" s="1"/>
  <c r="E24" i="242"/>
  <c r="F20" i="302" s="1"/>
  <c r="Y96" i="235"/>
  <c r="G3040" i="324" s="1"/>
  <c r="Z96" i="235"/>
  <c r="G3041" i="324" s="1"/>
  <c r="X96" i="235"/>
  <c r="G3039" i="324" s="1"/>
  <c r="F186" i="268"/>
  <c r="F180" i="268"/>
  <c r="F133" i="268"/>
  <c r="N40" i="261"/>
  <c r="G4029" i="324" s="1"/>
  <c r="L40" i="261"/>
  <c r="G4027" i="324" s="1"/>
  <c r="K40" i="261"/>
  <c r="G4026" i="324" s="1"/>
  <c r="I40" i="261"/>
  <c r="G4024" i="324" s="1"/>
  <c r="H40" i="261"/>
  <c r="F40" i="261"/>
  <c r="G4021" i="324" s="1"/>
  <c r="E40" i="261"/>
  <c r="G4020" i="324" s="1"/>
  <c r="C40" i="261"/>
  <c r="G4018" i="324" s="1"/>
  <c r="F181" i="268"/>
  <c r="F185" i="268"/>
  <c r="F169" i="268"/>
  <c r="F170" i="268"/>
  <c r="F159" i="268"/>
  <c r="F121" i="268"/>
  <c r="F122" i="268"/>
  <c r="Y101" i="235"/>
  <c r="G3070" i="324" s="1"/>
  <c r="G40" i="261"/>
  <c r="G4022" i="324" s="1"/>
  <c r="J40" i="261"/>
  <c r="G4025" i="324" s="1"/>
  <c r="L28" i="233"/>
  <c r="F855" i="269" s="1"/>
  <c r="K28" i="233"/>
  <c r="F854" i="269" s="1"/>
  <c r="J28" i="233"/>
  <c r="J9" i="227" s="1"/>
  <c r="I28" i="233"/>
  <c r="F852" i="269" s="1"/>
  <c r="H28" i="233"/>
  <c r="F851" i="269" s="1"/>
  <c r="G28" i="233"/>
  <c r="F850" i="269" s="1"/>
  <c r="F28" i="233"/>
  <c r="F849" i="269" s="1"/>
  <c r="E28" i="233"/>
  <c r="F848" i="269"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K9" i="227"/>
  <c r="L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Q411" i="293"/>
  <c r="Y410" i="293"/>
  <c r="W410" i="293"/>
  <c r="Q410" i="293"/>
  <c r="Y409" i="293"/>
  <c r="W409" i="293"/>
  <c r="BG459" i="293" s="1"/>
  <c r="AK459" i="293" s="1"/>
  <c r="Q409" i="293"/>
  <c r="Y408" i="293"/>
  <c r="W408" i="293"/>
  <c r="Q408" i="293"/>
  <c r="Y407" i="293"/>
  <c r="W407" i="293"/>
  <c r="Q407" i="293"/>
  <c r="Y406" i="293"/>
  <c r="W406" i="293"/>
  <c r="X406" i="293" s="1"/>
  <c r="Q406" i="293"/>
  <c r="Y405" i="293"/>
  <c r="W405" i="293"/>
  <c r="X405" i="293" s="1"/>
  <c r="Q405" i="293"/>
  <c r="Y404" i="293"/>
  <c r="W404" i="293"/>
  <c r="X404" i="293" s="1"/>
  <c r="Q404" i="293"/>
  <c r="Y403" i="293"/>
  <c r="W403" i="293"/>
  <c r="Q403" i="293"/>
  <c r="Y402" i="293"/>
  <c r="W402" i="293"/>
  <c r="Q402" i="293"/>
  <c r="Y401" i="293"/>
  <c r="W401" i="293"/>
  <c r="BG451" i="293" s="1"/>
  <c r="AK451" i="293" s="1"/>
  <c r="Q401" i="293"/>
  <c r="Y400" i="293"/>
  <c r="W400" i="293"/>
  <c r="Q400" i="293"/>
  <c r="Y399" i="293"/>
  <c r="W399" i="293"/>
  <c r="Q399" i="293"/>
  <c r="Y398" i="293"/>
  <c r="W398" i="293"/>
  <c r="X398" i="293" s="1"/>
  <c r="Q398" i="293"/>
  <c r="Y397" i="293"/>
  <c r="W397" i="293"/>
  <c r="X397" i="293" s="1"/>
  <c r="Q397" i="293"/>
  <c r="Y396" i="293"/>
  <c r="W396" i="293"/>
  <c r="Q396" i="293"/>
  <c r="Y395" i="293"/>
  <c r="W395" i="293"/>
  <c r="Q395" i="293"/>
  <c r="Y394" i="293"/>
  <c r="W394" i="293"/>
  <c r="Q394" i="293"/>
  <c r="Y393" i="293"/>
  <c r="W393" i="293"/>
  <c r="Q393" i="293"/>
  <c r="Y392" i="293"/>
  <c r="W392" i="293"/>
  <c r="Q392" i="293"/>
  <c r="Y391" i="293"/>
  <c r="W391" i="293"/>
  <c r="Q391" i="293"/>
  <c r="Y390" i="293"/>
  <c r="W390" i="293"/>
  <c r="BG440" i="293" s="1"/>
  <c r="Q390" i="293"/>
  <c r="Y389" i="293"/>
  <c r="W389" i="293"/>
  <c r="X389" i="293" s="1"/>
  <c r="Q389" i="293"/>
  <c r="Y388" i="293"/>
  <c r="W388" i="293"/>
  <c r="X388" i="293" s="1"/>
  <c r="Q388" i="293"/>
  <c r="Y387" i="293"/>
  <c r="W387" i="293"/>
  <c r="Q387" i="293"/>
  <c r="Y386" i="293"/>
  <c r="W386" i="293"/>
  <c r="Q386" i="293"/>
  <c r="Y385" i="293"/>
  <c r="W385" i="293"/>
  <c r="X385" i="293" s="1"/>
  <c r="Q385" i="293"/>
  <c r="Y384" i="293"/>
  <c r="W384" i="293"/>
  <c r="Q384" i="293"/>
  <c r="Y383" i="293"/>
  <c r="W383" i="293"/>
  <c r="Q383" i="293"/>
  <c r="Y382" i="293"/>
  <c r="W382" i="293"/>
  <c r="X382" i="293" s="1"/>
  <c r="Q382" i="293"/>
  <c r="Y381" i="293"/>
  <c r="W381" i="293"/>
  <c r="Q381" i="293"/>
  <c r="Y380" i="293"/>
  <c r="W380" i="293"/>
  <c r="Q380" i="293"/>
  <c r="Y379" i="293"/>
  <c r="W379" i="293"/>
  <c r="Q379" i="293"/>
  <c r="Y378" i="293"/>
  <c r="W378" i="293"/>
  <c r="Q378" i="293"/>
  <c r="Y377" i="293"/>
  <c r="W377" i="293"/>
  <c r="X377" i="293" s="1"/>
  <c r="Q377" i="293"/>
  <c r="Y376" i="293"/>
  <c r="W376" i="293"/>
  <c r="Q376" i="293"/>
  <c r="Y375" i="293"/>
  <c r="W375" i="293"/>
  <c r="Q375" i="293"/>
  <c r="Y374" i="293"/>
  <c r="W374" i="293"/>
  <c r="X374" i="293" s="1"/>
  <c r="Q374" i="293"/>
  <c r="Y373" i="293"/>
  <c r="W373" i="293"/>
  <c r="BG423" i="293" s="1"/>
  <c r="AK423" i="293" s="1"/>
  <c r="Q373" i="293"/>
  <c r="Y372" i="293"/>
  <c r="W372" i="293"/>
  <c r="BG422" i="293" s="1"/>
  <c r="Q372" i="293"/>
  <c r="Y371" i="293"/>
  <c r="W371" i="293"/>
  <c r="Q371" i="293"/>
  <c r="Y370" i="293"/>
  <c r="W370" i="293"/>
  <c r="Q370" i="293"/>
  <c r="Y369" i="293"/>
  <c r="W369" i="293"/>
  <c r="BG419" i="293" s="1"/>
  <c r="AK419" i="293" s="1"/>
  <c r="Q369" i="293"/>
  <c r="Y368" i="293"/>
  <c r="W368" i="293"/>
  <c r="Q368" i="293"/>
  <c r="Y367" i="293"/>
  <c r="W367" i="293"/>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s="1"/>
  <c r="Q262" i="293"/>
  <c r="W261" i="293"/>
  <c r="Q261" i="293"/>
  <c r="W260" i="293"/>
  <c r="BG310" i="293" s="1"/>
  <c r="Q260" i="293"/>
  <c r="W259" i="293"/>
  <c r="Q259" i="293"/>
  <c r="W258" i="293"/>
  <c r="Q258" i="293"/>
  <c r="W257" i="293"/>
  <c r="Q257" i="293"/>
  <c r="W256" i="293"/>
  <c r="S256" i="293" s="1"/>
  <c r="Q256" i="293"/>
  <c r="W255" i="293"/>
  <c r="Q255" i="293"/>
  <c r="W254" i="293"/>
  <c r="Q254" i="293"/>
  <c r="W253" i="293"/>
  <c r="Q253" i="293"/>
  <c r="W252" i="293"/>
  <c r="R252" i="293" s="1"/>
  <c r="Q252" i="293"/>
  <c r="W251" i="293"/>
  <c r="Q251" i="293"/>
  <c r="W250" i="293"/>
  <c r="Q250" i="293"/>
  <c r="W249" i="293"/>
  <c r="Q249" i="293"/>
  <c r="W248" i="293"/>
  <c r="BG298" i="293" s="1"/>
  <c r="Q248" i="293"/>
  <c r="W247" i="293"/>
  <c r="Q247" i="293"/>
  <c r="W246" i="293"/>
  <c r="Q246" i="293"/>
  <c r="W245" i="293"/>
  <c r="Q245" i="293"/>
  <c r="W244" i="293"/>
  <c r="R244" i="293" s="1"/>
  <c r="Q244" i="293"/>
  <c r="W243" i="293"/>
  <c r="Q243" i="293"/>
  <c r="W242" i="293"/>
  <c r="Q242" i="293"/>
  <c r="W241" i="293"/>
  <c r="Q241" i="293"/>
  <c r="W240" i="293"/>
  <c r="S240" i="293" s="1"/>
  <c r="Q240" i="293"/>
  <c r="W239" i="293"/>
  <c r="Q239" i="293"/>
  <c r="W238" i="293"/>
  <c r="Q238" i="293"/>
  <c r="W237" i="293"/>
  <c r="Q237" i="293"/>
  <c r="W236" i="293"/>
  <c r="R236" i="293" s="1"/>
  <c r="Q236" i="293"/>
  <c r="W235" i="293"/>
  <c r="Q235" i="293"/>
  <c r="W234" i="293"/>
  <c r="Q234" i="293"/>
  <c r="W233" i="293"/>
  <c r="Q233" i="293"/>
  <c r="W232" i="293"/>
  <c r="BG282" i="293" s="1"/>
  <c r="Q232" i="293"/>
  <c r="W231" i="293"/>
  <c r="Q231" i="293"/>
  <c r="W230" i="293"/>
  <c r="Q230" i="293"/>
  <c r="W229" i="293"/>
  <c r="Q229" i="293"/>
  <c r="W228" i="293"/>
  <c r="S228" i="293" s="1"/>
  <c r="Q228" i="293"/>
  <c r="W227" i="293"/>
  <c r="Q227" i="293"/>
  <c r="W226" i="293"/>
  <c r="Q226" i="293"/>
  <c r="W225" i="293"/>
  <c r="Q225" i="293"/>
  <c r="W224" i="293"/>
  <c r="S224" i="293" s="1"/>
  <c r="Q224" i="293"/>
  <c r="W223" i="293"/>
  <c r="Q223" i="293"/>
  <c r="W222" i="293"/>
  <c r="Q222" i="293"/>
  <c r="W221" i="293"/>
  <c r="Q221" i="293"/>
  <c r="W220" i="293"/>
  <c r="S220" i="293" s="1"/>
  <c r="Q220" i="293"/>
  <c r="W219" i="293"/>
  <c r="Q219" i="293"/>
  <c r="W218" i="293"/>
  <c r="Q218" i="293"/>
  <c r="W217" i="293"/>
  <c r="Q217" i="293"/>
  <c r="W216" i="293"/>
  <c r="BG266" i="293" s="1"/>
  <c r="Q216" i="293"/>
  <c r="W215" i="293"/>
  <c r="Q215" i="293"/>
  <c r="W214" i="293"/>
  <c r="Q214" i="293"/>
  <c r="W213" i="293"/>
  <c r="Q213" i="293"/>
  <c r="W212" i="293"/>
  <c r="S212" i="293" s="1"/>
  <c r="Q212" i="293"/>
  <c r="W211" i="293"/>
  <c r="X211" i="293" s="1"/>
  <c r="Y211" i="293" s="1"/>
  <c r="Q211" i="293"/>
  <c r="W210" i="293"/>
  <c r="R210" i="293" s="1"/>
  <c r="Q210" i="293"/>
  <c r="W209" i="293"/>
  <c r="S209" i="293" s="1"/>
  <c r="Q209" i="293"/>
  <c r="W208" i="293"/>
  <c r="S208" i="293" s="1"/>
  <c r="Q208" i="293"/>
  <c r="W207" i="293"/>
  <c r="R207" i="293" s="1"/>
  <c r="X207" i="293"/>
  <c r="Y207" i="293" s="1"/>
  <c r="Q207" i="293"/>
  <c r="W206" i="293"/>
  <c r="R206" i="293" s="1"/>
  <c r="S206" i="293"/>
  <c r="Q206" i="293"/>
  <c r="W205" i="293"/>
  <c r="R205" i="293" s="1"/>
  <c r="X205" i="293"/>
  <c r="Y205" i="293" s="1"/>
  <c r="Q205" i="293"/>
  <c r="W204" i="293"/>
  <c r="S204" i="293" s="1"/>
  <c r="Q204" i="293"/>
  <c r="W203" i="293"/>
  <c r="X203" i="293"/>
  <c r="Y203" i="293"/>
  <c r="Q203" i="293"/>
  <c r="W202" i="293"/>
  <c r="R202" i="293" s="1"/>
  <c r="Q202" i="293"/>
  <c r="W201" i="293"/>
  <c r="X201" i="293" s="1"/>
  <c r="Y201" i="293" s="1"/>
  <c r="Q201" i="293"/>
  <c r="W200" i="293"/>
  <c r="R200" i="293" s="1"/>
  <c r="Q200" i="293"/>
  <c r="W199" i="293"/>
  <c r="S199" i="293" s="1"/>
  <c r="X199" i="293"/>
  <c r="Y199" i="293" s="1"/>
  <c r="Q199" i="293"/>
  <c r="W198" i="293"/>
  <c r="X198" i="293" s="1"/>
  <c r="Y198" i="293" s="1"/>
  <c r="S198" i="293"/>
  <c r="Q198" i="293"/>
  <c r="W197" i="293"/>
  <c r="X197" i="293"/>
  <c r="Y197" i="293" s="1"/>
  <c r="Q197" i="293"/>
  <c r="W196" i="293"/>
  <c r="X196" i="293" s="1"/>
  <c r="Y196" i="293" s="1"/>
  <c r="S196" i="293"/>
  <c r="Q196" i="293"/>
  <c r="W195" i="293"/>
  <c r="X195" i="293" s="1"/>
  <c r="Y195" i="293" s="1"/>
  <c r="Q195" i="293"/>
  <c r="W194" i="293"/>
  <c r="S194" i="293" s="1"/>
  <c r="Q194" i="293"/>
  <c r="W193" i="293"/>
  <c r="R193" i="293" s="1"/>
  <c r="Q193" i="293"/>
  <c r="W192" i="293"/>
  <c r="S192" i="293" s="1"/>
  <c r="Q192" i="293"/>
  <c r="W191" i="293"/>
  <c r="S191" i="293" s="1"/>
  <c r="X191" i="293"/>
  <c r="Y191" i="293" s="1"/>
  <c r="Q191" i="293"/>
  <c r="W190" i="293"/>
  <c r="R190" i="293" s="1"/>
  <c r="Q190" i="293"/>
  <c r="W189" i="293"/>
  <c r="R189" i="293" s="1"/>
  <c r="Q189" i="293"/>
  <c r="W188" i="293"/>
  <c r="S188" i="293"/>
  <c r="Q188" i="293"/>
  <c r="W187" i="293"/>
  <c r="X187" i="293"/>
  <c r="Y187" i="293" s="1"/>
  <c r="Q187" i="293"/>
  <c r="W186" i="293"/>
  <c r="S186" i="293" s="1"/>
  <c r="Q186" i="293"/>
  <c r="W185" i="293"/>
  <c r="X185" i="293" s="1"/>
  <c r="Y185" i="293" s="1"/>
  <c r="Q185" i="293"/>
  <c r="W184" i="293"/>
  <c r="X184" i="293" s="1"/>
  <c r="Y184" i="293" s="1"/>
  <c r="Q184" i="293"/>
  <c r="W183" i="293"/>
  <c r="S183" i="293" s="1"/>
  <c r="X183" i="293"/>
  <c r="Y183" i="293" s="1"/>
  <c r="Q183" i="293"/>
  <c r="W182" i="293"/>
  <c r="X182" i="293" s="1"/>
  <c r="Y182" i="293" s="1"/>
  <c r="S182" i="293"/>
  <c r="Q182" i="293"/>
  <c r="W181" i="293"/>
  <c r="X181" i="293"/>
  <c r="Y181" i="293" s="1"/>
  <c r="Q181" i="293"/>
  <c r="W180" i="293"/>
  <c r="R180" i="293" s="1"/>
  <c r="Q180" i="293"/>
  <c r="W179" i="293"/>
  <c r="X179" i="293" s="1"/>
  <c r="Y179" i="293" s="1"/>
  <c r="Q179" i="293"/>
  <c r="W178" i="293"/>
  <c r="S178" i="293" s="1"/>
  <c r="Q178" i="293"/>
  <c r="W177" i="293"/>
  <c r="S177" i="293" s="1"/>
  <c r="Q177" i="293"/>
  <c r="W176" i="293"/>
  <c r="S176" i="293" s="1"/>
  <c r="Q176" i="293"/>
  <c r="W175" i="293"/>
  <c r="R175" i="293" s="1"/>
  <c r="X175" i="293"/>
  <c r="Y175" i="293" s="1"/>
  <c r="Q175" i="293"/>
  <c r="W174" i="293"/>
  <c r="S174" i="293"/>
  <c r="Q174" i="293"/>
  <c r="W173" i="293"/>
  <c r="R173" i="293" s="1"/>
  <c r="Q173" i="293"/>
  <c r="W172" i="293"/>
  <c r="S172" i="293"/>
  <c r="Q172" i="293"/>
  <c r="W171" i="293"/>
  <c r="X171" i="293"/>
  <c r="Y171" i="293" s="1"/>
  <c r="Q171" i="293"/>
  <c r="W170" i="293"/>
  <c r="S170" i="293" s="1"/>
  <c r="Q170" i="293"/>
  <c r="W169" i="293"/>
  <c r="X169" i="293" s="1"/>
  <c r="Y169" i="293" s="1"/>
  <c r="Q169" i="293"/>
  <c r="W168" i="293"/>
  <c r="R168" i="293" s="1"/>
  <c r="Q168" i="293"/>
  <c r="W167" i="293"/>
  <c r="S167" i="293" s="1"/>
  <c r="X167" i="293"/>
  <c r="Y167" i="293" s="1"/>
  <c r="Q167" i="293"/>
  <c r="W166" i="293"/>
  <c r="X166" i="293" s="1"/>
  <c r="Y166" i="293" s="1"/>
  <c r="S166" i="293"/>
  <c r="Q166" i="293"/>
  <c r="W165" i="293"/>
  <c r="X165" i="293" s="1"/>
  <c r="Y165" i="293" s="1"/>
  <c r="Q165" i="293"/>
  <c r="W164" i="293"/>
  <c r="X164" i="293" s="1"/>
  <c r="Y164" i="293" s="1"/>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c r="S107" i="293"/>
  <c r="R107" i="293"/>
  <c r="Q107" i="293"/>
  <c r="X106" i="293"/>
  <c r="Y106" i="293"/>
  <c r="S106" i="293"/>
  <c r="R106" i="293"/>
  <c r="Q106" i="293"/>
  <c r="X105" i="293"/>
  <c r="Y105" i="293"/>
  <c r="S105" i="293"/>
  <c r="R105" i="293"/>
  <c r="Q105" i="293"/>
  <c r="X104" i="293"/>
  <c r="Y104" i="293"/>
  <c r="S104" i="293"/>
  <c r="R104" i="293"/>
  <c r="Q104" i="293"/>
  <c r="X103" i="293"/>
  <c r="Y103" i="293"/>
  <c r="S103" i="293"/>
  <c r="R103" i="293"/>
  <c r="Q103" i="293"/>
  <c r="X102" i="293"/>
  <c r="Y102" i="293"/>
  <c r="S102" i="293"/>
  <c r="R102" i="293"/>
  <c r="Q102" i="293"/>
  <c r="X101" i="293"/>
  <c r="Y101" i="293"/>
  <c r="S101" i="293"/>
  <c r="R101" i="293"/>
  <c r="Q101" i="293"/>
  <c r="X100" i="293"/>
  <c r="Y100" i="293"/>
  <c r="S100" i="293"/>
  <c r="R100" i="293"/>
  <c r="Q100" i="293"/>
  <c r="X99" i="293"/>
  <c r="Y99" i="293"/>
  <c r="S99" i="293"/>
  <c r="R99" i="293"/>
  <c r="Q99" i="293"/>
  <c r="X98" i="293"/>
  <c r="Y98" i="293"/>
  <c r="S98" i="293"/>
  <c r="R98" i="293"/>
  <c r="Q98" i="293"/>
  <c r="X97" i="293"/>
  <c r="Y97" i="293"/>
  <c r="S97" i="293"/>
  <c r="R97" i="293"/>
  <c r="Q97" i="293"/>
  <c r="X96" i="293"/>
  <c r="Y96" i="293"/>
  <c r="S96" i="293"/>
  <c r="R96" i="293"/>
  <c r="Q96" i="293"/>
  <c r="X95" i="293"/>
  <c r="Y95" i="293"/>
  <c r="S95" i="293"/>
  <c r="R95" i="293"/>
  <c r="Q95" i="293"/>
  <c r="X94" i="293"/>
  <c r="Y94" i="293"/>
  <c r="S94" i="293"/>
  <c r="R94" i="293"/>
  <c r="Q94" i="293"/>
  <c r="X93" i="293"/>
  <c r="Y93" i="293"/>
  <c r="S93" i="293"/>
  <c r="R93" i="293"/>
  <c r="Q93" i="293"/>
  <c r="X92" i="293"/>
  <c r="Y92" i="293"/>
  <c r="S92" i="293"/>
  <c r="R92" i="293"/>
  <c r="Q92" i="293"/>
  <c r="X91" i="293"/>
  <c r="Y91" i="293"/>
  <c r="S91" i="293"/>
  <c r="R91" i="293"/>
  <c r="Q91" i="293"/>
  <c r="X90" i="293"/>
  <c r="Y90" i="293"/>
  <c r="S90" i="293"/>
  <c r="R90" i="293"/>
  <c r="Q90" i="293"/>
  <c r="X89" i="293"/>
  <c r="Y89" i="293"/>
  <c r="S89" i="293"/>
  <c r="R89" i="293"/>
  <c r="Q89" i="293"/>
  <c r="X88" i="293"/>
  <c r="Y88" i="293"/>
  <c r="S88" i="293"/>
  <c r="R88" i="293"/>
  <c r="Q88" i="293"/>
  <c r="X87" i="293"/>
  <c r="Y87" i="293"/>
  <c r="S87" i="293"/>
  <c r="R87" i="293"/>
  <c r="Q87" i="293"/>
  <c r="X86" i="293"/>
  <c r="Y86" i="293"/>
  <c r="S86" i="293"/>
  <c r="R86" i="293"/>
  <c r="Q86" i="293"/>
  <c r="X85" i="293"/>
  <c r="Y85" i="293"/>
  <c r="S85" i="293"/>
  <c r="R85" i="293"/>
  <c r="Q85" i="293"/>
  <c r="X84" i="293"/>
  <c r="Y84" i="293"/>
  <c r="S84" i="293"/>
  <c r="R84" i="293"/>
  <c r="Q84" i="293"/>
  <c r="X83" i="293"/>
  <c r="Y83" i="293"/>
  <c r="S83" i="293"/>
  <c r="R83" i="293"/>
  <c r="Q83" i="293"/>
  <c r="X82" i="293"/>
  <c r="Y82" i="293"/>
  <c r="S82" i="293"/>
  <c r="R82" i="293"/>
  <c r="Q82" i="293"/>
  <c r="X81" i="293"/>
  <c r="Y81" i="293"/>
  <c r="S81" i="293"/>
  <c r="R81" i="293"/>
  <c r="Q81" i="293"/>
  <c r="X80" i="293"/>
  <c r="Y80" i="293"/>
  <c r="S80" i="293"/>
  <c r="R80" i="293"/>
  <c r="Q80" i="293"/>
  <c r="X79" i="293"/>
  <c r="Y79" i="293"/>
  <c r="S79" i="293"/>
  <c r="R79" i="293"/>
  <c r="Q79" i="293"/>
  <c r="X78" i="293"/>
  <c r="Y78" i="293"/>
  <c r="S78" i="293"/>
  <c r="R78" i="293"/>
  <c r="Q78" i="293"/>
  <c r="X77" i="293"/>
  <c r="Y77" i="293"/>
  <c r="S77" i="293"/>
  <c r="R77" i="293"/>
  <c r="Q77" i="293"/>
  <c r="X76" i="293"/>
  <c r="Y76" i="293"/>
  <c r="S76" i="293"/>
  <c r="R76" i="293"/>
  <c r="Q76" i="293"/>
  <c r="X75" i="293"/>
  <c r="Y75" i="293"/>
  <c r="S75" i="293"/>
  <c r="R75" i="293"/>
  <c r="Q75" i="293"/>
  <c r="X74" i="293"/>
  <c r="Y74" i="293"/>
  <c r="S74" i="293"/>
  <c r="R74" i="293"/>
  <c r="Q74" i="293"/>
  <c r="X73" i="293"/>
  <c r="Y73" i="293"/>
  <c r="S73" i="293"/>
  <c r="R73" i="293"/>
  <c r="Q73" i="293"/>
  <c r="X72" i="293"/>
  <c r="Y72" i="293"/>
  <c r="S72" i="293"/>
  <c r="R72" i="293"/>
  <c r="Q72" i="293"/>
  <c r="X71" i="293"/>
  <c r="Y71" i="293"/>
  <c r="S71" i="293"/>
  <c r="R71" i="293"/>
  <c r="Q71" i="293"/>
  <c r="X70" i="293"/>
  <c r="Y70" i="293"/>
  <c r="S70" i="293"/>
  <c r="R70" i="293"/>
  <c r="Q70" i="293"/>
  <c r="X69" i="293"/>
  <c r="Y69" i="293"/>
  <c r="S69" i="293"/>
  <c r="R69" i="293"/>
  <c r="Q69" i="293"/>
  <c r="X68" i="293"/>
  <c r="Y68" i="293"/>
  <c r="S68" i="293"/>
  <c r="R68" i="293"/>
  <c r="Q68" i="293"/>
  <c r="X67" i="293"/>
  <c r="Y67" i="293"/>
  <c r="S67" i="293"/>
  <c r="R67" i="293"/>
  <c r="Q67" i="293"/>
  <c r="X66" i="293"/>
  <c r="Y66" i="293"/>
  <c r="S66" i="293"/>
  <c r="R66" i="293"/>
  <c r="Q66" i="293"/>
  <c r="X65" i="293"/>
  <c r="Y65" i="293"/>
  <c r="S65" i="293"/>
  <c r="R65" i="293"/>
  <c r="Q65" i="293"/>
  <c r="X64" i="293"/>
  <c r="Y64" i="293"/>
  <c r="S64" i="293"/>
  <c r="R64" i="293"/>
  <c r="Q64" i="293"/>
  <c r="X63" i="293"/>
  <c r="Y63" i="293"/>
  <c r="S63" i="293"/>
  <c r="R63" i="293"/>
  <c r="Q63" i="293"/>
  <c r="X62" i="293"/>
  <c r="Y62" i="293"/>
  <c r="S62" i="293"/>
  <c r="R62" i="293"/>
  <c r="Q62" i="293"/>
  <c r="X61" i="293"/>
  <c r="Y61" i="293"/>
  <c r="S61" i="293"/>
  <c r="R61" i="293"/>
  <c r="Q61" i="293"/>
  <c r="X60" i="293"/>
  <c r="Y60" i="293"/>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s="1"/>
  <c r="BG265" i="293"/>
  <c r="X217" i="293"/>
  <c r="Y217" i="293" s="1"/>
  <c r="BG267" i="293"/>
  <c r="AK267" i="293"/>
  <c r="X219" i="293"/>
  <c r="Y219" i="293" s="1"/>
  <c r="BG269" i="293"/>
  <c r="X221" i="293"/>
  <c r="Y221" i="293" s="1"/>
  <c r="BG271" i="293"/>
  <c r="X223" i="293"/>
  <c r="Y223" i="293" s="1"/>
  <c r="BG273" i="293"/>
  <c r="X225" i="293"/>
  <c r="Y225" i="293" s="1"/>
  <c r="BG275" i="293"/>
  <c r="X227" i="293"/>
  <c r="Y227" i="293"/>
  <c r="BG277" i="293"/>
  <c r="AK277" i="293"/>
  <c r="X229" i="293"/>
  <c r="Y229" i="293"/>
  <c r="BG279" i="293"/>
  <c r="X231" i="293"/>
  <c r="Y231" i="293"/>
  <c r="BG281" i="293"/>
  <c r="AK281" i="293"/>
  <c r="X233" i="293"/>
  <c r="Y233" i="293" s="1"/>
  <c r="BG283" i="293"/>
  <c r="X235" i="293"/>
  <c r="Y235" i="293"/>
  <c r="BG285" i="293"/>
  <c r="AK285" i="293"/>
  <c r="X237" i="293"/>
  <c r="Y237" i="293" s="1"/>
  <c r="BG287" i="293"/>
  <c r="X239" i="293"/>
  <c r="Y239" i="293"/>
  <c r="BG289" i="293"/>
  <c r="AK289" i="293"/>
  <c r="X241" i="293"/>
  <c r="Y241" i="293" s="1"/>
  <c r="BG291" i="293"/>
  <c r="X243" i="293"/>
  <c r="Y243" i="293"/>
  <c r="BG293" i="293"/>
  <c r="AK293" i="293"/>
  <c r="R245" i="293"/>
  <c r="BG295" i="293"/>
  <c r="R247" i="293"/>
  <c r="BG297" i="293"/>
  <c r="R249" i="293"/>
  <c r="BG299" i="293"/>
  <c r="R251" i="293"/>
  <c r="BG301" i="293"/>
  <c r="R253" i="293"/>
  <c r="BG303" i="293"/>
  <c r="R255" i="293"/>
  <c r="BG305" i="293"/>
  <c r="R257" i="293"/>
  <c r="BG307" i="293"/>
  <c r="R259" i="293"/>
  <c r="BG309" i="293"/>
  <c r="AK309" i="293"/>
  <c r="R261" i="293"/>
  <c r="BG311" i="293"/>
  <c r="S307" i="293"/>
  <c r="X368" i="293"/>
  <c r="BG418" i="293"/>
  <c r="X372" i="293"/>
  <c r="X376" i="293"/>
  <c r="BG426" i="293"/>
  <c r="X380" i="293"/>
  <c r="BG430" i="293"/>
  <c r="X384" i="293"/>
  <c r="BG434" i="293"/>
  <c r="BG438" i="293"/>
  <c r="X392" i="293"/>
  <c r="BG442" i="293"/>
  <c r="X396" i="293"/>
  <c r="BG446" i="293"/>
  <c r="X400" i="293"/>
  <c r="BG450" i="293"/>
  <c r="X408" i="293"/>
  <c r="BG458" i="293"/>
  <c r="BG462" i="293"/>
  <c r="X521" i="293"/>
  <c r="BG571" i="293"/>
  <c r="AK571" i="293"/>
  <c r="X525" i="293"/>
  <c r="BG575" i="293"/>
  <c r="AK575" i="293"/>
  <c r="X529" i="293"/>
  <c r="BG579" i="293"/>
  <c r="AK579" i="293"/>
  <c r="X533" i="293"/>
  <c r="BG583" i="293"/>
  <c r="AK583" i="293"/>
  <c r="X537" i="293"/>
  <c r="BG587" i="293"/>
  <c r="AK587" i="293"/>
  <c r="X541" i="293"/>
  <c r="BG591" i="293"/>
  <c r="AK591" i="293"/>
  <c r="X545" i="293"/>
  <c r="BG595" i="293"/>
  <c r="AK595" i="293"/>
  <c r="X549" i="293"/>
  <c r="BG599" i="293"/>
  <c r="AK599" i="293"/>
  <c r="X553" i="293"/>
  <c r="BG603" i="293"/>
  <c r="AK603" i="293"/>
  <c r="X557" i="293"/>
  <c r="BG607" i="293"/>
  <c r="AK607" i="293"/>
  <c r="X561" i="293"/>
  <c r="BG611" i="293"/>
  <c r="AK611" i="293"/>
  <c r="X565" i="293"/>
  <c r="BG615" i="293"/>
  <c r="AK615" i="293"/>
  <c r="X367" i="293"/>
  <c r="BG417" i="293"/>
  <c r="X375" i="293"/>
  <c r="BG425" i="293"/>
  <c r="X383" i="293"/>
  <c r="BG433" i="293"/>
  <c r="X391" i="293"/>
  <c r="BG441" i="293"/>
  <c r="X399" i="293"/>
  <c r="BG449" i="293"/>
  <c r="X407" i="293"/>
  <c r="BG457" i="293"/>
  <c r="X520" i="293"/>
  <c r="BG570" i="293"/>
  <c r="AK570" i="293"/>
  <c r="X524" i="293"/>
  <c r="BG574" i="293"/>
  <c r="AK574" i="293"/>
  <c r="X528" i="293"/>
  <c r="BG578" i="293"/>
  <c r="AK578" i="293"/>
  <c r="X532" i="293"/>
  <c r="BG582" i="293"/>
  <c r="AK582" i="293"/>
  <c r="X536" i="293"/>
  <c r="BG586" i="293"/>
  <c r="AK586" i="293"/>
  <c r="X540" i="293"/>
  <c r="BG590" i="293"/>
  <c r="AK590" i="293"/>
  <c r="X544" i="293"/>
  <c r="BG594" i="293"/>
  <c r="AK594" i="293"/>
  <c r="X548" i="293"/>
  <c r="BG598" i="293"/>
  <c r="AK598" i="293"/>
  <c r="X552" i="293"/>
  <c r="BG602" i="293"/>
  <c r="AK602" i="293"/>
  <c r="X556" i="293"/>
  <c r="BG606" i="293"/>
  <c r="AK606" i="293"/>
  <c r="X560" i="293"/>
  <c r="BG610" i="293"/>
  <c r="AK610" i="293"/>
  <c r="X564" i="293"/>
  <c r="BG614" i="293"/>
  <c r="AK614" i="293"/>
  <c r="X371" i="293"/>
  <c r="BG421" i="293"/>
  <c r="X379" i="293"/>
  <c r="BG429" i="293"/>
  <c r="X387" i="293"/>
  <c r="BG437" i="293"/>
  <c r="AK437" i="293" s="1"/>
  <c r="X395" i="293"/>
  <c r="BG445" i="293"/>
  <c r="X403" i="293"/>
  <c r="BG453" i="293"/>
  <c r="X411" i="293"/>
  <c r="BG461" i="293"/>
  <c r="AK461" i="293"/>
  <c r="S214" i="293"/>
  <c r="BG264" i="293"/>
  <c r="S216" i="293"/>
  <c r="S218" i="293"/>
  <c r="BG268" i="293"/>
  <c r="AK268" i="293"/>
  <c r="S222" i="293"/>
  <c r="BG272" i="293"/>
  <c r="BG274" i="293"/>
  <c r="S226" i="293"/>
  <c r="BG276" i="293"/>
  <c r="S230" i="293"/>
  <c r="BG280" i="293"/>
  <c r="S232" i="293"/>
  <c r="S234" i="293"/>
  <c r="BG284" i="293"/>
  <c r="AK284" i="293"/>
  <c r="S238" i="293"/>
  <c r="BG288" i="293"/>
  <c r="BG290" i="293"/>
  <c r="S242" i="293"/>
  <c r="BG292" i="293"/>
  <c r="R246" i="293"/>
  <c r="BG296" i="293"/>
  <c r="R248" i="293"/>
  <c r="R250" i="293"/>
  <c r="BG300" i="293"/>
  <c r="AK300" i="293"/>
  <c r="R254" i="293"/>
  <c r="BG304" i="293"/>
  <c r="BG306" i="293"/>
  <c r="R258" i="293"/>
  <c r="BG308" i="293"/>
  <c r="X370" i="293"/>
  <c r="BG420" i="293"/>
  <c r="BG424" i="293"/>
  <c r="X378" i="293"/>
  <c r="BG428" i="293"/>
  <c r="X386" i="293"/>
  <c r="BG436" i="293"/>
  <c r="X390" i="293"/>
  <c r="X394" i="293"/>
  <c r="BG444" i="293"/>
  <c r="X402" i="293"/>
  <c r="BG452" i="293"/>
  <c r="X410" i="293"/>
  <c r="BG460" i="293"/>
  <c r="BG464" i="293"/>
  <c r="AK464" i="293" s="1"/>
  <c r="X519" i="293"/>
  <c r="BG569" i="293"/>
  <c r="AK569" i="293"/>
  <c r="X523" i="293"/>
  <c r="BG573" i="293"/>
  <c r="AK573" i="293"/>
  <c r="X527" i="293"/>
  <c r="BG577" i="293"/>
  <c r="AK577" i="293"/>
  <c r="X531" i="293"/>
  <c r="BG581" i="293"/>
  <c r="AK581" i="293"/>
  <c r="X535" i="293"/>
  <c r="BG585" i="293"/>
  <c r="AK585" i="293"/>
  <c r="X539" i="293"/>
  <c r="BG589" i="293"/>
  <c r="AK589" i="293"/>
  <c r="X543" i="293"/>
  <c r="BG593" i="293"/>
  <c r="AK593" i="293"/>
  <c r="X547" i="293"/>
  <c r="BG597" i="293"/>
  <c r="AK597" i="293"/>
  <c r="X551" i="293"/>
  <c r="BG601" i="293"/>
  <c r="AK601" i="293"/>
  <c r="X555" i="293"/>
  <c r="BG605" i="293"/>
  <c r="AK605" i="293"/>
  <c r="X559" i="293"/>
  <c r="BG609" i="293"/>
  <c r="AK609" i="293"/>
  <c r="X563" i="293"/>
  <c r="BG613" i="293"/>
  <c r="AK613" i="293"/>
  <c r="X567" i="293"/>
  <c r="BG617" i="293"/>
  <c r="AK617" i="293"/>
  <c r="X369" i="293"/>
  <c r="X373" i="293"/>
  <c r="X381" i="293"/>
  <c r="BG431" i="293"/>
  <c r="AK431" i="293" s="1"/>
  <c r="X393" i="293"/>
  <c r="BG443" i="293"/>
  <c r="AK443" i="293" s="1"/>
  <c r="X401" i="293"/>
  <c r="BG455" i="293"/>
  <c r="X409" i="293"/>
  <c r="BG463" i="293"/>
  <c r="X522" i="293"/>
  <c r="BG572" i="293"/>
  <c r="AK572" i="293"/>
  <c r="X526" i="293"/>
  <c r="BG576" i="293"/>
  <c r="AK576" i="293"/>
  <c r="X530" i="293"/>
  <c r="BG580" i="293"/>
  <c r="AK580" i="293"/>
  <c r="X534" i="293"/>
  <c r="BG584" i="293"/>
  <c r="AK584" i="293"/>
  <c r="X538" i="293"/>
  <c r="BG588" i="293"/>
  <c r="AK588" i="293"/>
  <c r="X542" i="293"/>
  <c r="BG592" i="293"/>
  <c r="AK592" i="293"/>
  <c r="X546" i="293"/>
  <c r="BG596" i="293"/>
  <c r="AK596" i="293"/>
  <c r="X550" i="293"/>
  <c r="BG600" i="293"/>
  <c r="AK600" i="293"/>
  <c r="X554" i="293"/>
  <c r="BG604" i="293"/>
  <c r="AK604" i="293"/>
  <c r="X558" i="293"/>
  <c r="BG608" i="293"/>
  <c r="AK608" i="293"/>
  <c r="X562" i="293"/>
  <c r="BG612" i="293"/>
  <c r="AK612" i="293"/>
  <c r="X566" i="293"/>
  <c r="BG616" i="293"/>
  <c r="AK616" i="293"/>
  <c r="R197" i="293"/>
  <c r="X202" i="293"/>
  <c r="Y202" i="293" s="1"/>
  <c r="S179" i="293"/>
  <c r="X307" i="293"/>
  <c r="Y307" i="293"/>
  <c r="R181" i="293"/>
  <c r="R204" i="293"/>
  <c r="S181" i="293"/>
  <c r="R234" i="293"/>
  <c r="S237" i="293"/>
  <c r="X204" i="293"/>
  <c r="Y204" i="293"/>
  <c r="S219" i="293"/>
  <c r="X210" i="293"/>
  <c r="Y210" i="293" s="1"/>
  <c r="S217" i="293"/>
  <c r="R220" i="293"/>
  <c r="X308" i="293"/>
  <c r="Y308" i="293"/>
  <c r="S171" i="293"/>
  <c r="S203" i="293"/>
  <c r="S303" i="293"/>
  <c r="R169" i="293"/>
  <c r="S163" i="293"/>
  <c r="R241" i="293"/>
  <c r="S187" i="293"/>
  <c r="R225" i="293"/>
  <c r="R238" i="293"/>
  <c r="R304" i="293"/>
  <c r="S311" i="293"/>
  <c r="R165" i="293"/>
  <c r="R170" i="293"/>
  <c r="R172" i="293"/>
  <c r="X304" i="293"/>
  <c r="Y304" i="293"/>
  <c r="X170" i="293"/>
  <c r="Y170" i="293" s="1"/>
  <c r="X172" i="293"/>
  <c r="Y172" i="293" s="1"/>
  <c r="S239" i="293"/>
  <c r="R188" i="293"/>
  <c r="R221" i="293"/>
  <c r="R224" i="293"/>
  <c r="X305" i="293"/>
  <c r="Y305" i="293"/>
  <c r="X186" i="293"/>
  <c r="Y186" i="293" s="1"/>
  <c r="X188" i="293"/>
  <c r="Y188" i="293" s="1"/>
  <c r="R308" i="293"/>
  <c r="R162" i="293"/>
  <c r="S195" i="293"/>
  <c r="R222" i="293"/>
  <c r="S306" i="293"/>
  <c r="X310" i="293"/>
  <c r="Y310" i="293"/>
  <c r="S175" i="293"/>
  <c r="R192" i="293"/>
  <c r="S205" i="293"/>
  <c r="S207" i="293"/>
  <c r="X226" i="293"/>
  <c r="Y226" i="293" s="1"/>
  <c r="S233" i="293"/>
  <c r="R306" i="293"/>
  <c r="S309" i="293"/>
  <c r="X190" i="293"/>
  <c r="Y190" i="293" s="1"/>
  <c r="X242" i="293"/>
  <c r="Y242" i="293"/>
  <c r="X309" i="293"/>
  <c r="Y309" i="293"/>
  <c r="X162" i="293"/>
  <c r="Y162" i="293" s="1"/>
  <c r="X238" i="293"/>
  <c r="Y238" i="293" s="1"/>
  <c r="X240" i="293"/>
  <c r="Y240" i="293" s="1"/>
  <c r="Q618" i="293"/>
  <c r="R174" i="293"/>
  <c r="R218" i="293"/>
  <c r="S223" i="293"/>
  <c r="R237" i="293"/>
  <c r="X303" i="293"/>
  <c r="Y303" i="293"/>
  <c r="S305" i="293"/>
  <c r="R310" i="293"/>
  <c r="X311" i="293"/>
  <c r="Y311" i="293"/>
  <c r="S165" i="293"/>
  <c r="X174" i="293"/>
  <c r="Y174" i="293" s="1"/>
  <c r="S197" i="293"/>
  <c r="X206" i="293"/>
  <c r="Y206" i="293"/>
  <c r="X208" i="293"/>
  <c r="Y208" i="293" s="1"/>
  <c r="S221" i="293"/>
  <c r="S235" i="293"/>
  <c r="X214" i="293"/>
  <c r="Y214" i="293"/>
  <c r="R213" i="293"/>
  <c r="X218" i="293"/>
  <c r="Y218" i="293" s="1"/>
  <c r="S225" i="293"/>
  <c r="R226" i="293"/>
  <c r="S227" i="293"/>
  <c r="R229" i="293"/>
  <c r="X234" i="293"/>
  <c r="Y234" i="293" s="1"/>
  <c r="X236" i="293"/>
  <c r="Y236" i="293" s="1"/>
  <c r="S241" i="293"/>
  <c r="R242" i="293"/>
  <c r="S243" i="293"/>
  <c r="X230" i="293"/>
  <c r="Y230" i="293" s="1"/>
  <c r="S213" i="293"/>
  <c r="R214" i="293"/>
  <c r="S215" i="293"/>
  <c r="R217" i="293"/>
  <c r="X222" i="293"/>
  <c r="Y222" i="293" s="1"/>
  <c r="S229" i="293"/>
  <c r="R230" i="293"/>
  <c r="S231" i="293"/>
  <c r="R233" i="293"/>
  <c r="Y10" i="293"/>
  <c r="S244" i="293"/>
  <c r="X245" i="293"/>
  <c r="Y245" i="293" s="1"/>
  <c r="S245" i="293"/>
  <c r="S246" i="293"/>
  <c r="X246" i="293"/>
  <c r="Y246" i="293"/>
  <c r="X247" i="293"/>
  <c r="Y247" i="293" s="1"/>
  <c r="S247" i="293"/>
  <c r="X249" i="293"/>
  <c r="Y249" i="293"/>
  <c r="S249" i="293"/>
  <c r="S250" i="293"/>
  <c r="X250" i="293"/>
  <c r="Y250" i="293" s="1"/>
  <c r="X251" i="293"/>
  <c r="Y251" i="293"/>
  <c r="S251" i="293"/>
  <c r="S252" i="293"/>
  <c r="X253" i="293"/>
  <c r="Y253" i="293" s="1"/>
  <c r="S253" i="293"/>
  <c r="S254" i="293"/>
  <c r="X254" i="293"/>
  <c r="Y254" i="293"/>
  <c r="X255" i="293"/>
  <c r="Y255" i="293" s="1"/>
  <c r="S255" i="293"/>
  <c r="X257" i="293"/>
  <c r="Y257" i="293"/>
  <c r="S257" i="293"/>
  <c r="S258" i="293"/>
  <c r="X258" i="293"/>
  <c r="Y258" i="293" s="1"/>
  <c r="X259" i="293"/>
  <c r="Y259" i="293"/>
  <c r="S259" i="293"/>
  <c r="S260" i="293"/>
  <c r="X261" i="293"/>
  <c r="Y261" i="293" s="1"/>
  <c r="S261" i="293"/>
  <c r="S262" i="293"/>
  <c r="X263" i="293"/>
  <c r="Y263" i="293" s="1"/>
  <c r="S263" i="293"/>
  <c r="S264" i="293"/>
  <c r="X264" i="293"/>
  <c r="Y264" i="293"/>
  <c r="X265" i="293"/>
  <c r="Y265" i="293"/>
  <c r="S265" i="293"/>
  <c r="S266" i="293"/>
  <c r="X266" i="293"/>
  <c r="Y266" i="293" s="1"/>
  <c r="X267" i="293"/>
  <c r="Y267" i="293"/>
  <c r="S267" i="293"/>
  <c r="S268" i="293"/>
  <c r="X268" i="293"/>
  <c r="Y268" i="293" s="1"/>
  <c r="X269" i="293"/>
  <c r="Y269" i="293" s="1"/>
  <c r="S269" i="293"/>
  <c r="S270" i="293"/>
  <c r="X270" i="293"/>
  <c r="Y270" i="293"/>
  <c r="X271" i="293"/>
  <c r="Y271" i="293" s="1"/>
  <c r="S271" i="293"/>
  <c r="S272" i="293"/>
  <c r="X272" i="293"/>
  <c r="Y272" i="293"/>
  <c r="X273" i="293"/>
  <c r="Y273" i="293"/>
  <c r="S273" i="293"/>
  <c r="S274" i="293"/>
  <c r="X274" i="293"/>
  <c r="Y274" i="293" s="1"/>
  <c r="X275" i="293"/>
  <c r="Y275" i="293"/>
  <c r="S275" i="293"/>
  <c r="S276" i="293"/>
  <c r="X276" i="293"/>
  <c r="Y276" i="293" s="1"/>
  <c r="X277" i="293"/>
  <c r="Y277" i="293" s="1"/>
  <c r="S277" i="293"/>
  <c r="S278" i="293"/>
  <c r="X278" i="293"/>
  <c r="Y278" i="293"/>
  <c r="X279" i="293"/>
  <c r="Y279" i="293" s="1"/>
  <c r="S279" i="293"/>
  <c r="S280" i="293"/>
  <c r="X280" i="293"/>
  <c r="Y280" i="293"/>
  <c r="X281" i="293"/>
  <c r="Y281" i="293"/>
  <c r="S281" i="293"/>
  <c r="S282" i="293"/>
  <c r="X282" i="293"/>
  <c r="Y282" i="293" s="1"/>
  <c r="X283" i="293"/>
  <c r="Y283" i="293"/>
  <c r="S283" i="293"/>
  <c r="S284" i="293"/>
  <c r="X284" i="293"/>
  <c r="Y284" i="293" s="1"/>
  <c r="X285" i="293"/>
  <c r="Y285" i="293" s="1"/>
  <c r="S285" i="293"/>
  <c r="S286" i="293"/>
  <c r="X286" i="293"/>
  <c r="Y286" i="293"/>
  <c r="X287" i="293"/>
  <c r="Y287" i="293" s="1"/>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3" i="293"/>
  <c r="R167" i="293"/>
  <c r="R171" i="293"/>
  <c r="R179" i="293"/>
  <c r="R183" i="293"/>
  <c r="R187" i="293"/>
  <c r="R195" i="293"/>
  <c r="R199" i="293"/>
  <c r="R203" i="293"/>
  <c r="R215" i="293"/>
  <c r="R219" i="293"/>
  <c r="R223" i="293"/>
  <c r="R227" i="293"/>
  <c r="R231" i="293"/>
  <c r="R235" i="293"/>
  <c r="R239" i="293"/>
  <c r="R243" i="293"/>
  <c r="Y618" i="293"/>
  <c r="X618" i="293"/>
  <c r="C637"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s="1"/>
  <c r="S209" i="284"/>
  <c r="R209" i="284"/>
  <c r="Q209" i="284"/>
  <c r="P209" i="284"/>
  <c r="O209" i="284"/>
  <c r="N209" i="284"/>
  <c r="M209" i="284"/>
  <c r="K209" i="284"/>
  <c r="J209" i="284"/>
  <c r="I209" i="284"/>
  <c r="H209" i="284"/>
  <c r="G209" i="284"/>
  <c r="F209" i="284"/>
  <c r="E209" i="284"/>
  <c r="G11" i="281"/>
  <c r="G17" i="281" s="1"/>
  <c r="F11" i="281"/>
  <c r="F1651" i="269" s="1"/>
  <c r="L11" i="281"/>
  <c r="F1656" i="269" s="1"/>
  <c r="K11" i="281"/>
  <c r="K16" i="281" s="1"/>
  <c r="J11" i="281"/>
  <c r="J17" i="281" s="1"/>
  <c r="I11" i="281"/>
  <c r="F1653" i="269" s="1"/>
  <c r="N11" i="281"/>
  <c r="N17" i="281" s="1"/>
  <c r="N19" i="281" s="1"/>
  <c r="F1721" i="269" s="1"/>
  <c r="J12" i="280"/>
  <c r="F1404" i="269" s="1"/>
  <c r="F910" i="269"/>
  <c r="F901" i="269"/>
  <c r="L13" i="281"/>
  <c r="F1672" i="269" s="1"/>
  <c r="I13" i="281"/>
  <c r="F1669" i="269" s="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M14" i="225"/>
  <c r="F62" i="269" s="1"/>
  <c r="M16" i="225"/>
  <c r="F82" i="269" s="1"/>
  <c r="Z10" i="289"/>
  <c r="Z10" i="288"/>
  <c r="P9" i="287"/>
  <c r="Z8" i="261"/>
  <c r="V8" i="261"/>
  <c r="L8" i="242"/>
  <c r="W9" i="281"/>
  <c r="P9" i="236"/>
  <c r="AI10" i="235"/>
  <c r="T12" i="231"/>
  <c r="V11" i="227"/>
  <c r="S11" i="226"/>
  <c r="Q11" i="226" s="1"/>
  <c r="W9" i="225"/>
  <c r="U8" i="221"/>
  <c r="S8" i="221" s="1"/>
  <c r="U8" i="212"/>
  <c r="N10" i="290"/>
  <c r="N9" i="287"/>
  <c r="T10" i="289"/>
  <c r="V10" i="288"/>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F1561" i="269" s="1"/>
  <c r="W19" i="280"/>
  <c r="F1543" i="269" s="1"/>
  <c r="W17" i="280"/>
  <c r="F1507" i="269" s="1"/>
  <c r="W16" i="280"/>
  <c r="F1489" i="269" s="1"/>
  <c r="W14" i="280"/>
  <c r="W13" i="280"/>
  <c r="W22" i="280" s="1"/>
  <c r="W11" i="280"/>
  <c r="W10" i="280"/>
  <c r="F1381" i="269" s="1"/>
  <c r="N20" i="280"/>
  <c r="F1552" i="269" s="1"/>
  <c r="N19" i="280"/>
  <c r="F1534" i="269" s="1"/>
  <c r="N17" i="280"/>
  <c r="F1498" i="269" s="1"/>
  <c r="N16" i="280"/>
  <c r="N18" i="280" s="1"/>
  <c r="F1516" i="269" s="1"/>
  <c r="N14" i="280"/>
  <c r="F1444" i="269" s="1"/>
  <c r="N13" i="280"/>
  <c r="F1426" i="269" s="1"/>
  <c r="N11" i="280"/>
  <c r="F1390" i="269" s="1"/>
  <c r="N10" i="280"/>
  <c r="F1372" i="269" s="1"/>
  <c r="V23" i="280"/>
  <c r="U23" i="280"/>
  <c r="S23" i="280"/>
  <c r="F1611" i="269" s="1"/>
  <c r="R23" i="280"/>
  <c r="F1610" i="269" s="1"/>
  <c r="Q23" i="280"/>
  <c r="F1609" i="269" s="1"/>
  <c r="P23" i="280"/>
  <c r="F1608" i="269" s="1"/>
  <c r="O23" i="280"/>
  <c r="F1607" i="269" s="1"/>
  <c r="M23" i="280"/>
  <c r="F1605" i="269" s="1"/>
  <c r="L23" i="280"/>
  <c r="J23" i="280"/>
  <c r="F1602" i="269" s="1"/>
  <c r="I23" i="280"/>
  <c r="F1601" i="269" s="1"/>
  <c r="H23" i="280"/>
  <c r="F1600" i="269" s="1"/>
  <c r="G23" i="280"/>
  <c r="F1599" i="269" s="1"/>
  <c r="V22" i="280"/>
  <c r="F1596" i="269" s="1"/>
  <c r="U22" i="280"/>
  <c r="F1595" i="269" s="1"/>
  <c r="S22" i="280"/>
  <c r="Q22" i="280"/>
  <c r="F1591" i="269" s="1"/>
  <c r="P22" i="280"/>
  <c r="F1590" i="269" s="1"/>
  <c r="O22" i="280"/>
  <c r="F1589" i="269" s="1"/>
  <c r="M22" i="280"/>
  <c r="F1587" i="269" s="1"/>
  <c r="L22" i="280"/>
  <c r="F1586" i="269" s="1"/>
  <c r="K22" i="280"/>
  <c r="F1585" i="269" s="1"/>
  <c r="J22" i="280"/>
  <c r="F1584" i="269" s="1"/>
  <c r="I22" i="280"/>
  <c r="F1583" i="269" s="1"/>
  <c r="H22" i="280"/>
  <c r="F1582" i="269" s="1"/>
  <c r="G22" i="280"/>
  <c r="G24" i="280" s="1"/>
  <c r="F1617" i="269" s="1"/>
  <c r="V21" i="280"/>
  <c r="F1578" i="269" s="1"/>
  <c r="U21" i="280"/>
  <c r="F1577" i="269" s="1"/>
  <c r="T21" i="280"/>
  <c r="F1576" i="269" s="1"/>
  <c r="S21" i="280"/>
  <c r="F1575" i="269" s="1"/>
  <c r="R21" i="280"/>
  <c r="F1574" i="269" s="1"/>
  <c r="Q21" i="280"/>
  <c r="F1573" i="269" s="1"/>
  <c r="P21" i="280"/>
  <c r="F1572" i="269" s="1"/>
  <c r="O21" i="280"/>
  <c r="F1571" i="269" s="1"/>
  <c r="N21" i="280"/>
  <c r="F1570" i="269" s="1"/>
  <c r="M21" i="280"/>
  <c r="F1569" i="269" s="1"/>
  <c r="L21" i="280"/>
  <c r="F1568" i="269" s="1"/>
  <c r="K21" i="280"/>
  <c r="J21" i="280"/>
  <c r="F1566" i="269" s="1"/>
  <c r="I21" i="280"/>
  <c r="F1565" i="269" s="1"/>
  <c r="H21" i="280"/>
  <c r="F1564" i="269" s="1"/>
  <c r="G21" i="280"/>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Q12" i="280"/>
  <c r="F1411" i="269" s="1"/>
  <c r="P12" i="280"/>
  <c r="F1410" i="269" s="1"/>
  <c r="O12" i="280"/>
  <c r="F1409" i="269" s="1"/>
  <c r="M12" i="280"/>
  <c r="F1407" i="269" s="1"/>
  <c r="L12" i="280"/>
  <c r="F1406" i="269" s="1"/>
  <c r="K12" i="280"/>
  <c r="F1405" i="269" s="1"/>
  <c r="I12" i="280"/>
  <c r="F1403" i="269" s="1"/>
  <c r="H12" i="280"/>
  <c r="F1402" i="269" s="1"/>
  <c r="G12" i="280"/>
  <c r="F1401" i="269" s="1"/>
  <c r="F23" i="280"/>
  <c r="F1598" i="269" s="1"/>
  <c r="F18" i="280"/>
  <c r="F1508" i="269" s="1"/>
  <c r="F15" i="280"/>
  <c r="F1454" i="269" s="1"/>
  <c r="F12" i="280"/>
  <c r="F1400" i="269" s="1"/>
  <c r="P23" i="279"/>
  <c r="F1350" i="269" s="1"/>
  <c r="O23" i="279"/>
  <c r="O24" i="279" s="1"/>
  <c r="F1361" i="269" s="1"/>
  <c r="N23" i="279"/>
  <c r="F1348" i="269" s="1"/>
  <c r="M23" i="279"/>
  <c r="F1347" i="269" s="1"/>
  <c r="L23" i="279"/>
  <c r="F1346" i="269" s="1"/>
  <c r="P22" i="279"/>
  <c r="F1338" i="269" s="1"/>
  <c r="O22" i="279"/>
  <c r="F1337" i="269" s="1"/>
  <c r="N22" i="279"/>
  <c r="F1336" i="269" s="1"/>
  <c r="M22" i="279"/>
  <c r="L22" i="279"/>
  <c r="F1334" i="269" s="1"/>
  <c r="P21" i="279"/>
  <c r="O21" i="279"/>
  <c r="F1325" i="269" s="1"/>
  <c r="N21" i="279"/>
  <c r="F1324" i="269" s="1"/>
  <c r="M21" i="279"/>
  <c r="F1323" i="269" s="1"/>
  <c r="L21" i="279"/>
  <c r="Q20" i="279"/>
  <c r="F1315" i="269" s="1"/>
  <c r="Q19" i="279"/>
  <c r="F1303" i="269" s="1"/>
  <c r="P18" i="279"/>
  <c r="F1290" i="269" s="1"/>
  <c r="O18" i="279"/>
  <c r="F1289" i="269" s="1"/>
  <c r="N18" i="279"/>
  <c r="F1288" i="269" s="1"/>
  <c r="M18" i="279"/>
  <c r="L18" i="279"/>
  <c r="F1286" i="269" s="1"/>
  <c r="Q17" i="279"/>
  <c r="F1279" i="269" s="1"/>
  <c r="Q16" i="279"/>
  <c r="F1267" i="269" s="1"/>
  <c r="P15" i="279"/>
  <c r="F1254" i="269" s="1"/>
  <c r="O15" i="279"/>
  <c r="F1253" i="269" s="1"/>
  <c r="N15" i="279"/>
  <c r="F1252" i="269" s="1"/>
  <c r="M15" i="279"/>
  <c r="F1251" i="269" s="1"/>
  <c r="L15" i="279"/>
  <c r="Q14" i="279"/>
  <c r="Q13" i="279"/>
  <c r="F1231" i="269" s="1"/>
  <c r="P12" i="279"/>
  <c r="F1218" i="269" s="1"/>
  <c r="O12" i="279"/>
  <c r="N12" i="279"/>
  <c r="F1216" i="269" s="1"/>
  <c r="M12" i="279"/>
  <c r="F1215" i="269" s="1"/>
  <c r="L12" i="279"/>
  <c r="F1214" i="269" s="1"/>
  <c r="Q11" i="279"/>
  <c r="F1207" i="269" s="1"/>
  <c r="Q10" i="279"/>
  <c r="Q12" i="279" s="1"/>
  <c r="F1219" i="269" s="1"/>
  <c r="J23" i="279"/>
  <c r="F1344" i="269" s="1"/>
  <c r="I23" i="279"/>
  <c r="F1343" i="269" s="1"/>
  <c r="H23" i="279"/>
  <c r="F1342" i="269" s="1"/>
  <c r="G23" i="279"/>
  <c r="F1341" i="269" s="1"/>
  <c r="J22" i="279"/>
  <c r="I22" i="279"/>
  <c r="F1331" i="269" s="1"/>
  <c r="H22" i="279"/>
  <c r="F1330" i="269" s="1"/>
  <c r="G22" i="279"/>
  <c r="F1329" i="269" s="1"/>
  <c r="J21" i="279"/>
  <c r="I21" i="279"/>
  <c r="F1319" i="269" s="1"/>
  <c r="H21" i="279"/>
  <c r="F1318" i="269" s="1"/>
  <c r="G21" i="279"/>
  <c r="F1317" i="269" s="1"/>
  <c r="K20" i="279"/>
  <c r="F1309" i="269" s="1"/>
  <c r="K19" i="279"/>
  <c r="F1297" i="269" s="1"/>
  <c r="K17" i="279"/>
  <c r="F1273" i="269" s="1"/>
  <c r="K16" i="279"/>
  <c r="K14" i="279"/>
  <c r="F1237" i="269" s="1"/>
  <c r="K13" i="279"/>
  <c r="K15" i="279" s="1"/>
  <c r="F1249" i="269" s="1"/>
  <c r="K11" i="279"/>
  <c r="J18" i="279"/>
  <c r="I18" i="279"/>
  <c r="F1283" i="269" s="1"/>
  <c r="H18" i="279"/>
  <c r="F1282" i="269" s="1"/>
  <c r="G18" i="279"/>
  <c r="F1281" i="269" s="1"/>
  <c r="J15" i="279"/>
  <c r="F1248" i="269" s="1"/>
  <c r="I15" i="279"/>
  <c r="F1247" i="269" s="1"/>
  <c r="H15" i="279"/>
  <c r="F1246" i="269" s="1"/>
  <c r="G15" i="279"/>
  <c r="F1245" i="269" s="1"/>
  <c r="F18" i="279"/>
  <c r="J12" i="279"/>
  <c r="F1212" i="269" s="1"/>
  <c r="I12" i="279"/>
  <c r="F1211" i="269" s="1"/>
  <c r="H12" i="279"/>
  <c r="F1210" i="269" s="1"/>
  <c r="G12" i="279"/>
  <c r="F12" i="279"/>
  <c r="F1208" i="269" s="1"/>
  <c r="R24" i="280"/>
  <c r="F1628" i="269" s="1"/>
  <c r="N15" i="280"/>
  <c r="F1462" i="269" s="1"/>
  <c r="W18" i="280"/>
  <c r="F1525" i="269" s="1"/>
  <c r="T24" i="280"/>
  <c r="F1630" i="269" s="1"/>
  <c r="N23" i="280"/>
  <c r="F1606" i="269" s="1"/>
  <c r="M24" i="280"/>
  <c r="F1623" i="269" s="1"/>
  <c r="N12" i="280"/>
  <c r="F1408" i="269" s="1"/>
  <c r="Q18" i="279"/>
  <c r="Q15" i="279"/>
  <c r="F1255" i="269" s="1"/>
  <c r="K12" i="279"/>
  <c r="G56" i="240"/>
  <c r="F1180" i="269" s="1"/>
  <c r="G55" i="240"/>
  <c r="G57" i="240"/>
  <c r="F1183" i="269" s="1"/>
  <c r="J22" i="237"/>
  <c r="F994" i="269" s="1"/>
  <c r="J21" i="237"/>
  <c r="J20" i="237"/>
  <c r="F982" i="269" s="1"/>
  <c r="J19" i="237"/>
  <c r="J18" i="237"/>
  <c r="F970" i="269" s="1"/>
  <c r="F14" i="236"/>
  <c r="F927" i="269" s="1"/>
  <c r="G13" i="236"/>
  <c r="G12" i="236"/>
  <c r="F922" i="269" s="1"/>
  <c r="G11" i="236"/>
  <c r="F919" i="269" s="1"/>
  <c r="G10" i="236"/>
  <c r="F916" i="269" s="1"/>
  <c r="G9" i="236"/>
  <c r="K15" i="209"/>
  <c r="J15" i="209"/>
  <c r="I15" i="209"/>
  <c r="H15" i="209"/>
  <c r="G15" i="209"/>
  <c r="F15" i="209"/>
  <c r="L15" i="209" s="1"/>
  <c r="F38" i="268" s="1"/>
  <c r="E15" i="209"/>
  <c r="F14" i="209"/>
  <c r="E14" i="209"/>
  <c r="L14" i="209" s="1"/>
  <c r="F37" i="268" s="1"/>
  <c r="K14" i="209"/>
  <c r="J14" i="209"/>
  <c r="I14" i="209"/>
  <c r="H14" i="209"/>
  <c r="G14" i="209"/>
  <c r="I10" i="202"/>
  <c r="F17" i="299"/>
  <c r="I10" i="204"/>
  <c r="F118" i="299" s="1"/>
  <c r="U10" i="263"/>
  <c r="S10" i="263" s="1"/>
  <c r="U10" i="262"/>
  <c r="F22" i="259"/>
  <c r="F238" i="273" s="1"/>
  <c r="E22" i="259"/>
  <c r="F237" i="273" s="1"/>
  <c r="F14" i="259"/>
  <c r="F226" i="273" s="1"/>
  <c r="E14" i="259"/>
  <c r="F225" i="273" s="1"/>
  <c r="O8" i="259"/>
  <c r="AB9" i="258"/>
  <c r="E28" i="256"/>
  <c r="F20" i="273" s="1"/>
  <c r="E21" i="256"/>
  <c r="F15" i="273" s="1"/>
  <c r="E16" i="256"/>
  <c r="F11" i="273" s="1"/>
  <c r="E9" i="256"/>
  <c r="F6" i="273" s="1"/>
  <c r="N7" i="256"/>
  <c r="L7" i="256" s="1"/>
  <c r="E17" i="254"/>
  <c r="G3710" i="324" s="1"/>
  <c r="N8" i="254"/>
  <c r="L8" i="254" s="1"/>
  <c r="AC26" i="253"/>
  <c r="G3694" i="324" s="1"/>
  <c r="AB26" i="253"/>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X25" i="253"/>
  <c r="G3664" i="324" s="1"/>
  <c r="R25" i="253"/>
  <c r="G3658" i="324" s="1"/>
  <c r="L25" i="253"/>
  <c r="AD24" i="253"/>
  <c r="G3645" i="324" s="1"/>
  <c r="X24" i="253"/>
  <c r="G3639" i="324" s="1"/>
  <c r="R24" i="253"/>
  <c r="G3633" i="324" s="1"/>
  <c r="L24" i="253"/>
  <c r="G3628" i="324" s="1"/>
  <c r="AD23" i="253"/>
  <c r="G3620" i="324" s="1"/>
  <c r="X23" i="253"/>
  <c r="R23" i="253"/>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S16" i="253"/>
  <c r="G3508" i="324" s="1"/>
  <c r="Q16" i="253"/>
  <c r="G3506" i="324" s="1"/>
  <c r="P16" i="253"/>
  <c r="G3505" i="324" s="1"/>
  <c r="O16" i="253"/>
  <c r="G3504" i="324" s="1"/>
  <c r="N16" i="253"/>
  <c r="G3503" i="324" s="1"/>
  <c r="K16" i="253"/>
  <c r="G3501" i="324" s="1"/>
  <c r="J16" i="253"/>
  <c r="G3500" i="324" s="1"/>
  <c r="I16" i="253"/>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AD12" i="253"/>
  <c r="G3419" i="324" s="1"/>
  <c r="X12" i="253"/>
  <c r="G3413" i="324" s="1"/>
  <c r="R12" i="253"/>
  <c r="G3407" i="324" s="1"/>
  <c r="L12" i="253"/>
  <c r="G3402" i="324" s="1"/>
  <c r="AD11" i="253"/>
  <c r="G3394" i="324" s="1"/>
  <c r="X11" i="253"/>
  <c r="R11" i="253"/>
  <c r="G3382" i="324" s="1"/>
  <c r="L11" i="253"/>
  <c r="G3377" i="324" s="1"/>
  <c r="AM10" i="253"/>
  <c r="AD10" i="253"/>
  <c r="G3369" i="324" s="1"/>
  <c r="X10" i="253"/>
  <c r="G3363" i="324" s="1"/>
  <c r="R10" i="253"/>
  <c r="G3357" i="324" s="1"/>
  <c r="L10" i="253"/>
  <c r="G3352" i="324" s="1"/>
  <c r="E28" i="252"/>
  <c r="F32" i="272" s="1"/>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M8" i="245" s="1"/>
  <c r="U8" i="243"/>
  <c r="T43" i="240"/>
  <c r="F1165" i="269" s="1"/>
  <c r="T39" i="240"/>
  <c r="F1143" i="269" s="1"/>
  <c r="H15" i="240"/>
  <c r="F1072" i="269" s="1"/>
  <c r="F15" i="240"/>
  <c r="F1070" i="269" s="1"/>
  <c r="E15" i="240"/>
  <c r="F1069" i="269" s="1"/>
  <c r="G14" i="240"/>
  <c r="G13" i="240"/>
  <c r="G12" i="240"/>
  <c r="F1059" i="269" s="1"/>
  <c r="H11" i="240"/>
  <c r="F1056" i="269" s="1"/>
  <c r="F11" i="240"/>
  <c r="E11" i="240"/>
  <c r="G10" i="240"/>
  <c r="F1051" i="269" s="1"/>
  <c r="G9" i="240"/>
  <c r="F1047" i="269" s="1"/>
  <c r="AC8" i="240"/>
  <c r="G8" i="240"/>
  <c r="F1043" i="269" s="1"/>
  <c r="F20" i="239"/>
  <c r="E20" i="239"/>
  <c r="G19" i="239"/>
  <c r="F1031" i="269" s="1"/>
  <c r="G18" i="239"/>
  <c r="F17" i="239"/>
  <c r="F1024" i="269" s="1"/>
  <c r="E17" i="239"/>
  <c r="F1023" i="269" s="1"/>
  <c r="G16" i="239"/>
  <c r="F1022" i="269" s="1"/>
  <c r="G15" i="239"/>
  <c r="F1019" i="269" s="1"/>
  <c r="F10" i="239"/>
  <c r="E10" i="239"/>
  <c r="G9" i="239"/>
  <c r="F1012" i="269" s="1"/>
  <c r="P8" i="239"/>
  <c r="G8" i="239"/>
  <c r="F1009" i="269" s="1"/>
  <c r="S10" i="237"/>
  <c r="Q10" i="237" s="1"/>
  <c r="V85" i="235"/>
  <c r="G2905" i="324" s="1"/>
  <c r="M85" i="235"/>
  <c r="I82" i="235"/>
  <c r="G2835" i="324" s="1"/>
  <c r="V79" i="235"/>
  <c r="G2791" i="324" s="1"/>
  <c r="L76" i="235"/>
  <c r="G2733" i="324" s="1"/>
  <c r="M67" i="235"/>
  <c r="G2635" i="324" s="1"/>
  <c r="R64" i="235"/>
  <c r="G2586" i="324" s="1"/>
  <c r="I64" i="235"/>
  <c r="Q61" i="235"/>
  <c r="G2531" i="324" s="1"/>
  <c r="K61" i="235"/>
  <c r="G2525" i="324" s="1"/>
  <c r="I61" i="235"/>
  <c r="H61" i="235"/>
  <c r="G2522" i="324" s="1"/>
  <c r="U52" i="235"/>
  <c r="L52" i="235"/>
  <c r="G2427" i="324" s="1"/>
  <c r="Q49" i="235"/>
  <c r="G2375" i="324" s="1"/>
  <c r="P46" i="235"/>
  <c r="H46" i="235"/>
  <c r="G2309" i="324" s="1"/>
  <c r="G46" i="235"/>
  <c r="G2308" i="324" s="1"/>
  <c r="Q24" i="235"/>
  <c r="G2033" i="324" s="1"/>
  <c r="P24" i="235"/>
  <c r="G2032" i="324" s="1"/>
  <c r="H24" i="235"/>
  <c r="N24" i="235" s="1"/>
  <c r="G2030" i="324" s="1"/>
  <c r="R21" i="235"/>
  <c r="G1977" i="324" s="1"/>
  <c r="H18" i="235"/>
  <c r="G1919" i="324" s="1"/>
  <c r="G18" i="235"/>
  <c r="G1918" i="324" s="1"/>
  <c r="F18" i="235"/>
  <c r="G1917" i="324" s="1"/>
  <c r="I12" i="235"/>
  <c r="G1860" i="324" s="1"/>
  <c r="AC10" i="234"/>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S8" i="215"/>
  <c r="U9" i="206"/>
  <c r="R9" i="206"/>
  <c r="P9" i="206" s="1"/>
  <c r="S11" i="205"/>
  <c r="S9" i="203"/>
  <c r="S8" i="202"/>
  <c r="Q8" i="202" s="1"/>
  <c r="S9" i="258"/>
  <c r="M8" i="259"/>
  <c r="L8" i="247"/>
  <c r="L8" i="252"/>
  <c r="G10" i="239"/>
  <c r="F1015" i="269" s="1"/>
  <c r="L8" i="246"/>
  <c r="AD16" i="253"/>
  <c r="G3519" i="324" s="1"/>
  <c r="E21" i="239"/>
  <c r="F1035" i="269" s="1"/>
  <c r="X16" i="253"/>
  <c r="G3513" i="324" s="1"/>
  <c r="F21" i="239"/>
  <c r="F1036" i="269" s="1"/>
  <c r="G17" i="239"/>
  <c r="G20" i="239"/>
  <c r="F1034" i="269" s="1"/>
  <c r="R26" i="253"/>
  <c r="G15"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N13" i="225"/>
  <c r="F53" i="269" s="1"/>
  <c r="F874" i="268"/>
  <c r="G35" i="205"/>
  <c r="F378" i="299" s="1"/>
  <c r="I33" i="205"/>
  <c r="F370" i="299" s="1"/>
  <c r="J25" i="251"/>
  <c r="J27" i="251" s="1"/>
  <c r="R25" i="251"/>
  <c r="R27" i="251" s="1"/>
  <c r="Z25" i="251"/>
  <c r="Z27" i="251"/>
  <c r="AH25" i="251"/>
  <c r="AH27" i="251"/>
  <c r="AP25" i="251"/>
  <c r="AP27" i="251"/>
  <c r="AX25" i="251"/>
  <c r="AX27" i="251"/>
  <c r="BF25" i="251"/>
  <c r="BF27" i="251"/>
  <c r="G36" i="234"/>
  <c r="G1257" i="324" s="1"/>
  <c r="J108" i="234"/>
  <c r="E25" i="251"/>
  <c r="E27" i="251"/>
  <c r="I44" i="204"/>
  <c r="J44" i="204" s="1"/>
  <c r="F254" i="299" s="1"/>
  <c r="F408" i="268"/>
  <c r="F433" i="268"/>
  <c r="J30" i="228"/>
  <c r="M21" i="235"/>
  <c r="G1972" i="324" s="1"/>
  <c r="I9" i="203"/>
  <c r="F98" i="299" s="1"/>
  <c r="F828" i="268"/>
  <c r="F21" i="234"/>
  <c r="G1127" i="324" s="1"/>
  <c r="J45" i="234"/>
  <c r="G1341" i="324" s="1"/>
  <c r="H81" i="234"/>
  <c r="G1439" i="324" s="1"/>
  <c r="H15" i="204"/>
  <c r="F142" i="299"/>
  <c r="F33" i="234"/>
  <c r="AZ25" i="251"/>
  <c r="AZ27" i="251"/>
  <c r="I12" i="204"/>
  <c r="F128" i="299" s="1"/>
  <c r="I14" i="204"/>
  <c r="F138" i="299" s="1"/>
  <c r="F407" i="268"/>
  <c r="J13" i="225"/>
  <c r="F49" i="269" s="1"/>
  <c r="I36" i="225"/>
  <c r="L24" i="235"/>
  <c r="G2028" i="324" s="1"/>
  <c r="I12" i="202"/>
  <c r="I10" i="205"/>
  <c r="F280" i="299" s="1"/>
  <c r="I15" i="205"/>
  <c r="V46" i="235"/>
  <c r="G2323" i="324" s="1"/>
  <c r="X25" i="251"/>
  <c r="X27" i="251" s="1"/>
  <c r="F473" i="268"/>
  <c r="K70" i="235"/>
  <c r="L10" i="258"/>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P31" i="228"/>
  <c r="K19" i="234"/>
  <c r="G1120" i="324" s="1"/>
  <c r="R85" i="235"/>
  <c r="G2901" i="324" s="1"/>
  <c r="M24" i="235"/>
  <c r="I11" i="204"/>
  <c r="F123" i="299"/>
  <c r="I8" i="202"/>
  <c r="F7" i="299" s="1"/>
  <c r="I23" i="205"/>
  <c r="Q8" i="213"/>
  <c r="F449" i="268"/>
  <c r="F512" i="268"/>
  <c r="F11" i="202"/>
  <c r="F19" i="299" s="1"/>
  <c r="I21" i="204"/>
  <c r="F163" i="299" s="1"/>
  <c r="I30" i="204"/>
  <c r="F480" i="268"/>
  <c r="K14" i="234"/>
  <c r="R61" i="235"/>
  <c r="F402" i="268"/>
  <c r="G11" i="202"/>
  <c r="G16" i="202" s="1"/>
  <c r="I13" i="202"/>
  <c r="F32" i="299" s="1"/>
  <c r="I19" i="205"/>
  <c r="F873" i="268"/>
  <c r="H27" i="234"/>
  <c r="G1183" i="324" s="1"/>
  <c r="M18" i="235"/>
  <c r="G1924" i="324" s="1"/>
  <c r="H32" i="232"/>
  <c r="F722" i="269" s="1"/>
  <c r="I25" i="205"/>
  <c r="F345" i="299" s="1"/>
  <c r="I9" i="202"/>
  <c r="F12" i="299" s="1"/>
  <c r="I16" i="205"/>
  <c r="F310" i="299" s="1"/>
  <c r="I13" i="204"/>
  <c r="I25" i="204"/>
  <c r="F173" i="299" s="1"/>
  <c r="I27" i="204"/>
  <c r="F183" i="299" s="1"/>
  <c r="I36" i="204"/>
  <c r="F213" i="299" s="1"/>
  <c r="G76" i="235"/>
  <c r="F46" i="227"/>
  <c r="F15" i="234"/>
  <c r="F28" i="234" s="1"/>
  <c r="G1196" i="324" s="1"/>
  <c r="F24" i="234"/>
  <c r="G1148" i="324" s="1"/>
  <c r="J36" i="234"/>
  <c r="G1260" i="324" s="1"/>
  <c r="L18" i="235"/>
  <c r="G1923" i="324" s="1"/>
  <c r="K43" i="235"/>
  <c r="G2264" i="324" s="1"/>
  <c r="S61" i="235"/>
  <c r="G2533" i="324" s="1"/>
  <c r="G61" i="235"/>
  <c r="G2521" i="324" s="1"/>
  <c r="M70" i="235"/>
  <c r="G2674" i="324" s="1"/>
  <c r="J27" i="225"/>
  <c r="T21" i="229"/>
  <c r="I43" i="231"/>
  <c r="G197" i="324" s="1"/>
  <c r="J12" i="234"/>
  <c r="G1068" i="324" s="1"/>
  <c r="F114" i="234"/>
  <c r="K114" i="234" s="1"/>
  <c r="G1715" i="324" s="1"/>
  <c r="T49" i="235"/>
  <c r="G2378" i="324" s="1"/>
  <c r="I52" i="235"/>
  <c r="G2424" i="324" s="1"/>
  <c r="K55" i="235"/>
  <c r="G2465" i="324" s="1"/>
  <c r="O61" i="235"/>
  <c r="G2529" i="324" s="1"/>
  <c r="I27" i="225"/>
  <c r="F168" i="269" s="1"/>
  <c r="K16" i="234"/>
  <c r="G1099" i="324" s="1"/>
  <c r="H42" i="234"/>
  <c r="G1318" i="324" s="1"/>
  <c r="I48" i="234"/>
  <c r="G1361" i="324" s="1"/>
  <c r="J111" i="234"/>
  <c r="U37" i="235"/>
  <c r="G2205" i="324" s="1"/>
  <c r="K52" i="235"/>
  <c r="T52" i="235"/>
  <c r="G2435" i="324" s="1"/>
  <c r="J52" i="235"/>
  <c r="G2425" i="324" s="1"/>
  <c r="G67" i="235"/>
  <c r="G2629" i="324" s="1"/>
  <c r="E14" i="236"/>
  <c r="F926" i="269" s="1"/>
  <c r="F27" i="225"/>
  <c r="F30" i="225"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I96" i="234"/>
  <c r="G1587" i="324" s="1"/>
  <c r="H21" i="235"/>
  <c r="G1967" i="324" s="1"/>
  <c r="Q21" i="235"/>
  <c r="G1976" i="324" s="1"/>
  <c r="F21" i="235"/>
  <c r="G1965" i="324" s="1"/>
  <c r="I46" i="235"/>
  <c r="G2310" i="324" s="1"/>
  <c r="H73" i="235"/>
  <c r="N73" i="235" s="1"/>
  <c r="G2705" i="324" s="1"/>
  <c r="K36" i="225"/>
  <c r="F240" i="269" s="1"/>
  <c r="G46" i="226"/>
  <c r="J46" i="226" s="1"/>
  <c r="F412" i="269" s="1"/>
  <c r="F33" i="231"/>
  <c r="G138" i="324" s="1"/>
  <c r="F39" i="234"/>
  <c r="H12" i="235"/>
  <c r="G1859" i="324" s="1"/>
  <c r="N63" i="235"/>
  <c r="G2564" i="324" s="1"/>
  <c r="H85" i="235"/>
  <c r="G2891" i="324" s="1"/>
  <c r="H25" i="251"/>
  <c r="H27" i="251"/>
  <c r="I25" i="251"/>
  <c r="I27" i="251" s="1"/>
  <c r="Q25" i="251"/>
  <c r="Q27" i="251" s="1"/>
  <c r="Y25" i="251"/>
  <c r="Y27" i="251" s="1"/>
  <c r="AG25" i="251"/>
  <c r="AG27" i="251"/>
  <c r="AO25" i="251"/>
  <c r="AO27" i="251"/>
  <c r="AW25" i="251"/>
  <c r="AW27" i="251"/>
  <c r="BE25" i="251"/>
  <c r="BE27" i="251"/>
  <c r="H14" i="258"/>
  <c r="G3761" i="324" s="1"/>
  <c r="F15" i="204"/>
  <c r="F140" i="299" s="1"/>
  <c r="F861" i="268"/>
  <c r="F867" i="268"/>
  <c r="H35" i="205"/>
  <c r="F379" i="299" s="1"/>
  <c r="I26" i="202"/>
  <c r="F84" i="299" s="1"/>
  <c r="G15" i="204"/>
  <c r="I20" i="204"/>
  <c r="F158" i="299" s="1"/>
  <c r="I38" i="204"/>
  <c r="Q11" i="205"/>
  <c r="I12" i="205"/>
  <c r="F290" i="299" s="1"/>
  <c r="I14" i="205"/>
  <c r="F300" i="299" s="1"/>
  <c r="L8" i="209"/>
  <c r="F12" i="268" s="1"/>
  <c r="F488" i="268"/>
  <c r="M8" i="216"/>
  <c r="I20" i="202"/>
  <c r="F64" i="299" s="1"/>
  <c r="I19" i="204"/>
  <c r="F153" i="299" s="1"/>
  <c r="H22" i="204"/>
  <c r="F167" i="299" s="1"/>
  <c r="I26" i="204"/>
  <c r="J26" i="204" s="1"/>
  <c r="F179" i="299" s="1"/>
  <c r="F45" i="204"/>
  <c r="F255" i="299" s="1"/>
  <c r="I24" i="205"/>
  <c r="J24" i="205" s="1"/>
  <c r="F341" i="299" s="1"/>
  <c r="I34" i="205"/>
  <c r="F375" i="299" s="1"/>
  <c r="F445" i="268"/>
  <c r="F469" i="268"/>
  <c r="F516" i="268"/>
  <c r="F797" i="268"/>
  <c r="H27" i="202"/>
  <c r="H19" i="202" s="1"/>
  <c r="F31" i="204"/>
  <c r="F200" i="299" s="1"/>
  <c r="I42" i="204"/>
  <c r="I11" i="205"/>
  <c r="F451" i="268"/>
  <c r="F441" i="268"/>
  <c r="F465" i="268"/>
  <c r="F484" i="268"/>
  <c r="I17" i="202"/>
  <c r="H45" i="204"/>
  <c r="I45" i="204" s="1"/>
  <c r="I13" i="205"/>
  <c r="F295" i="299" s="1"/>
  <c r="F27" i="205"/>
  <c r="F352" i="299" s="1"/>
  <c r="F437" i="268"/>
  <c r="Q10" i="203"/>
  <c r="F22" i="204"/>
  <c r="F165" i="299" s="1"/>
  <c r="I18" i="204"/>
  <c r="F148" i="299" s="1"/>
  <c r="K13" i="225"/>
  <c r="F50" i="269" s="1"/>
  <c r="F46" i="226"/>
  <c r="F408" i="269" s="1"/>
  <c r="E36" i="225"/>
  <c r="K79" i="235"/>
  <c r="G2780" i="324" s="1"/>
  <c r="U21" i="235"/>
  <c r="G1980" i="324" s="1"/>
  <c r="K40" i="235"/>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J23" i="232"/>
  <c r="F688" i="269" s="1"/>
  <c r="H111" i="234"/>
  <c r="G1691" i="324" s="1"/>
  <c r="M52" i="235"/>
  <c r="G2428" i="324" s="1"/>
  <c r="L46" i="227"/>
  <c r="F595" i="269" s="1"/>
  <c r="J24" i="228"/>
  <c r="E21" i="229"/>
  <c r="M21" i="229" s="1"/>
  <c r="AE11" i="229"/>
  <c r="J21" i="229"/>
  <c r="H33" i="233"/>
  <c r="F878" i="269" s="1"/>
  <c r="H27" i="225"/>
  <c r="H31" i="225" s="1"/>
  <c r="F207" i="269" s="1"/>
  <c r="M11" i="230"/>
  <c r="H93" i="234"/>
  <c r="G1565" i="324" s="1"/>
  <c r="K95" i="234"/>
  <c r="G1583" i="324" s="1"/>
  <c r="N27" i="225"/>
  <c r="N30" i="225" s="1"/>
  <c r="I20" i="228"/>
  <c r="V13" i="229"/>
  <c r="M19" i="229"/>
  <c r="F27" i="232"/>
  <c r="F702" i="269" s="1"/>
  <c r="J15" i="232"/>
  <c r="F664" i="269" s="1"/>
  <c r="I55" i="235"/>
  <c r="G2463" i="324" s="1"/>
  <c r="S67" i="235"/>
  <c r="G2641" i="324" s="1"/>
  <c r="J34" i="226"/>
  <c r="F370" i="269" s="1"/>
  <c r="V24" i="229"/>
  <c r="V26" i="229"/>
  <c r="I26" i="23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J33" i="228" s="1"/>
  <c r="P26" i="228"/>
  <c r="O21" i="229"/>
  <c r="V21" i="229" s="1"/>
  <c r="M13" i="233"/>
  <c r="F766" i="269" s="1"/>
  <c r="G48" i="234"/>
  <c r="G1359" i="324" s="1"/>
  <c r="I93" i="234"/>
  <c r="G1566" i="324" s="1"/>
  <c r="J40" i="235"/>
  <c r="G2233" i="324" s="1"/>
  <c r="O52" i="235"/>
  <c r="G2430" i="324" s="1"/>
  <c r="L64" i="235"/>
  <c r="G2580" i="324" s="1"/>
  <c r="U64" i="235"/>
  <c r="T67" i="235"/>
  <c r="G2642" i="324" s="1"/>
  <c r="H76" i="235"/>
  <c r="G2729" i="324" s="1"/>
  <c r="K27" i="225"/>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J85" i="235"/>
  <c r="G81" i="234"/>
  <c r="J37" i="235"/>
  <c r="G2194" i="324" s="1"/>
  <c r="S37" i="235"/>
  <c r="G2203" i="324" s="1"/>
  <c r="M43" i="235"/>
  <c r="G2266" i="324" s="1"/>
  <c r="Q46" i="235"/>
  <c r="G2318" i="324" s="1"/>
  <c r="G73" i="235"/>
  <c r="W81" i="235"/>
  <c r="G2831" i="324" s="1"/>
  <c r="S85" i="235"/>
  <c r="W85" i="235" s="1"/>
  <c r="G2906"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G20" i="227" s="1"/>
  <c r="G18" i="234"/>
  <c r="G1107" i="324" s="1"/>
  <c r="F36" i="234"/>
  <c r="G1256" i="324" s="1"/>
  <c r="I81" i="234"/>
  <c r="G1440" i="324" s="1"/>
  <c r="G114" i="234"/>
  <c r="G1711" i="324" s="1"/>
  <c r="U24" i="235"/>
  <c r="G2037" i="324" s="1"/>
  <c r="N41" i="235"/>
  <c r="G2249" i="324" s="1"/>
  <c r="N60" i="235"/>
  <c r="G2510" i="324" s="1"/>
  <c r="Q79" i="235"/>
  <c r="G2786" i="324" s="1"/>
  <c r="N87" i="235"/>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S52" i="235"/>
  <c r="G2434" i="324" s="1"/>
  <c r="J55" i="235"/>
  <c r="G2464" i="324" s="1"/>
  <c r="J76" i="235"/>
  <c r="G2731" i="324" s="1"/>
  <c r="N84" i="235"/>
  <c r="G2879" i="324" s="1"/>
  <c r="J18" i="243"/>
  <c r="F103" i="302" s="1"/>
  <c r="J42" i="234"/>
  <c r="G1320" i="324" s="1"/>
  <c r="H114" i="234"/>
  <c r="G1712" i="324" s="1"/>
  <c r="F43" i="235"/>
  <c r="G2259" i="324" s="1"/>
  <c r="U46" i="235"/>
  <c r="G2322" i="324" s="1"/>
  <c r="F64" i="235"/>
  <c r="K18" i="243"/>
  <c r="F104" i="302" s="1"/>
  <c r="K12" i="235"/>
  <c r="J15" i="235"/>
  <c r="K18" i="235"/>
  <c r="L49" i="235"/>
  <c r="G2370" i="324" s="1"/>
  <c r="L55" i="235"/>
  <c r="G2466" i="324" s="1"/>
  <c r="L14" i="243"/>
  <c r="F73" i="302" s="1"/>
  <c r="R79" i="235"/>
  <c r="G2787" i="324" s="1"/>
  <c r="K25" i="251"/>
  <c r="K27" i="251"/>
  <c r="S25" i="251"/>
  <c r="S27" i="251" s="1"/>
  <c r="AA25" i="251"/>
  <c r="AA27" i="251" s="1"/>
  <c r="AI25" i="251"/>
  <c r="AI27" i="251"/>
  <c r="AQ25" i="251"/>
  <c r="AQ27" i="251"/>
  <c r="AY25" i="251"/>
  <c r="AY27" i="251"/>
  <c r="BG25" i="251"/>
  <c r="BG27" i="251"/>
  <c r="L10" i="243"/>
  <c r="O8" i="248"/>
  <c r="F25" i="251"/>
  <c r="F27" i="251"/>
  <c r="N25" i="251"/>
  <c r="N27" i="251" s="1"/>
  <c r="V25" i="251"/>
  <c r="V27" i="251" s="1"/>
  <c r="AD25" i="251"/>
  <c r="AD27" i="251"/>
  <c r="AL25" i="251"/>
  <c r="AL27" i="251"/>
  <c r="H10" i="258"/>
  <c r="G3733" i="324" s="1"/>
  <c r="P82" i="235"/>
  <c r="G2842" i="324" s="1"/>
  <c r="U85" i="235"/>
  <c r="G2904" i="324" s="1"/>
  <c r="T85" i="235"/>
  <c r="G2903" i="324" s="1"/>
  <c r="E18" i="243"/>
  <c r="F98" i="302" s="1"/>
  <c r="G25" i="251"/>
  <c r="G27" i="251" s="1"/>
  <c r="O25" i="251"/>
  <c r="O27" i="251"/>
  <c r="W25" i="251"/>
  <c r="W27" i="251"/>
  <c r="AE25" i="251"/>
  <c r="AE27" i="251"/>
  <c r="AM25" i="251"/>
  <c r="AM27" i="251"/>
  <c r="AU25" i="251"/>
  <c r="AU27" i="251"/>
  <c r="BC25" i="251"/>
  <c r="BC27" i="251"/>
  <c r="P25" i="251"/>
  <c r="P27" i="251" s="1"/>
  <c r="AF25" i="251"/>
  <c r="AF27" i="251"/>
  <c r="I79" i="235"/>
  <c r="Q82" i="235"/>
  <c r="G2843" i="324" s="1"/>
  <c r="N88" i="235"/>
  <c r="G2942" i="324" s="1"/>
  <c r="N95" i="235"/>
  <c r="F18" i="243"/>
  <c r="F99" i="302" s="1"/>
  <c r="L11" i="258"/>
  <c r="G3745" i="324" s="1"/>
  <c r="J11" i="237"/>
  <c r="F940" i="269" s="1"/>
  <c r="J13" i="204"/>
  <c r="F134" i="299" s="1"/>
  <c r="G22" i="204"/>
  <c r="F166" i="299" s="1"/>
  <c r="J25" i="204"/>
  <c r="F174" i="299" s="1"/>
  <c r="H27" i="205"/>
  <c r="F354" i="299" s="1"/>
  <c r="J10" i="202"/>
  <c r="F18" i="299"/>
  <c r="H11" i="202"/>
  <c r="F21" i="299" s="1"/>
  <c r="I14" i="202"/>
  <c r="F37" i="299"/>
  <c r="I22" i="202"/>
  <c r="F74" i="299"/>
  <c r="F27" i="202"/>
  <c r="F86" i="299" s="1"/>
  <c r="I10" i="203"/>
  <c r="F103" i="299" s="1"/>
  <c r="I28" i="204"/>
  <c r="F188" i="299" s="1"/>
  <c r="I39" i="204"/>
  <c r="F228" i="299" s="1"/>
  <c r="I50" i="204"/>
  <c r="F268" i="299" s="1"/>
  <c r="G52" i="204"/>
  <c r="F276" i="299" s="1"/>
  <c r="S9" i="206"/>
  <c r="I21" i="206"/>
  <c r="F402" i="299" s="1"/>
  <c r="U8" i="209"/>
  <c r="F422" i="268"/>
  <c r="F457" i="268"/>
  <c r="I15" i="202"/>
  <c r="F42" i="299"/>
  <c r="I25" i="202"/>
  <c r="J25" i="202" s="1"/>
  <c r="F80" i="299" s="1"/>
  <c r="G27" i="202"/>
  <c r="F87" i="299" s="1"/>
  <c r="I9" i="204"/>
  <c r="F113" i="299" s="1"/>
  <c r="I29" i="204"/>
  <c r="F193" i="299" s="1"/>
  <c r="G31" i="204"/>
  <c r="F201" i="299" s="1"/>
  <c r="I40" i="204"/>
  <c r="F233" i="299" s="1"/>
  <c r="I51" i="204"/>
  <c r="F273" i="299" s="1"/>
  <c r="H52" i="204"/>
  <c r="F277" i="299" s="1"/>
  <c r="F35" i="205"/>
  <c r="F377" i="299" s="1"/>
  <c r="T9" i="206"/>
  <c r="I22" i="206"/>
  <c r="F407" i="299" s="1"/>
  <c r="F531" i="268"/>
  <c r="F842" i="268"/>
  <c r="H31" i="204"/>
  <c r="F202" i="299" s="1"/>
  <c r="I26" i="205"/>
  <c r="F350" i="299" s="1"/>
  <c r="S9" i="204"/>
  <c r="G45" i="204"/>
  <c r="F256" i="299"/>
  <c r="F504" i="268"/>
  <c r="F527" i="268"/>
  <c r="N15" i="214"/>
  <c r="G27" i="205"/>
  <c r="F353" i="299" s="1"/>
  <c r="F863" i="268"/>
  <c r="I9" i="206"/>
  <c r="F869" i="268"/>
  <c r="I32" i="205"/>
  <c r="F365" i="299" s="1"/>
  <c r="L17" i="209"/>
  <c r="F46" i="268" s="1"/>
  <c r="K46" i="234"/>
  <c r="G1351" i="324" s="1"/>
  <c r="F48" i="234"/>
  <c r="G1358" i="324" s="1"/>
  <c r="J15" i="228"/>
  <c r="J13" i="226"/>
  <c r="F308" i="269" s="1"/>
  <c r="F21" i="229"/>
  <c r="N83" i="235"/>
  <c r="F85" i="235"/>
  <c r="G2889" i="324" s="1"/>
  <c r="O85" i="235"/>
  <c r="G2898" i="324" s="1"/>
  <c r="W83" i="235"/>
  <c r="P13" i="228"/>
  <c r="K20" i="228"/>
  <c r="P20" i="228" s="1"/>
  <c r="P10" i="228"/>
  <c r="L20" i="228"/>
  <c r="G27" i="225"/>
  <c r="G31" i="225" s="1"/>
  <c r="F20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20" i="228" s="1"/>
  <c r="J18" i="228"/>
  <c r="J19" i="228"/>
  <c r="M20" i="228"/>
  <c r="P24" i="228"/>
  <c r="L33" i="228"/>
  <c r="P33" i="228" s="1"/>
  <c r="P30" i="228"/>
  <c r="M15" i="229"/>
  <c r="J30" i="232"/>
  <c r="F712" i="269" s="1"/>
  <c r="E32" i="232"/>
  <c r="F719" i="269" s="1"/>
  <c r="K11" i="234"/>
  <c r="G12" i="234"/>
  <c r="G1065" i="324" s="1"/>
  <c r="L27" i="225"/>
  <c r="L30" i="225" s="1"/>
  <c r="O20" i="228"/>
  <c r="M33" i="228"/>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34" i="229" s="1"/>
  <c r="M12" i="233"/>
  <c r="F757" i="269" s="1"/>
  <c r="H18" i="234"/>
  <c r="K18" i="234" s="1"/>
  <c r="G1111" i="324" s="1"/>
  <c r="O39" i="234"/>
  <c r="G1298" i="324" s="1"/>
  <c r="K94" i="234"/>
  <c r="G1577" i="324" s="1"/>
  <c r="J14" i="228"/>
  <c r="J29" i="228"/>
  <c r="G21" i="229"/>
  <c r="P21" i="229"/>
  <c r="K21" i="229"/>
  <c r="F34" i="229"/>
  <c r="O34" i="229"/>
  <c r="M30" i="229"/>
  <c r="V30" i="229"/>
  <c r="E26" i="231"/>
  <c r="G26" i="231" s="1"/>
  <c r="G104" i="324" s="1"/>
  <c r="M15" i="233"/>
  <c r="F784" i="269" s="1"/>
  <c r="H129" i="234"/>
  <c r="G1826" i="324" s="1"/>
  <c r="M12" i="235"/>
  <c r="G1864" i="324" s="1"/>
  <c r="J46" i="235"/>
  <c r="G2311" i="324" s="1"/>
  <c r="S46" i="235"/>
  <c r="G2320" i="324" s="1"/>
  <c r="G55" i="235"/>
  <c r="G2461" i="324" s="1"/>
  <c r="J33" i="226"/>
  <c r="F364" i="269" s="1"/>
  <c r="M24" i="227"/>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V34" i="229" s="1"/>
  <c r="G27" i="232"/>
  <c r="F703" i="269" s="1"/>
  <c r="G32" i="232"/>
  <c r="F721" i="269" s="1"/>
  <c r="M14" i="233"/>
  <c r="F775" i="269" s="1"/>
  <c r="I18" i="234"/>
  <c r="G1109" i="324" s="1"/>
  <c r="K22" i="234"/>
  <c r="G1141" i="324" s="1"/>
  <c r="G24" i="234"/>
  <c r="G1149" i="324" s="1"/>
  <c r="K34" i="234"/>
  <c r="G1249" i="324" s="1"/>
  <c r="K109" i="234"/>
  <c r="G1682" i="324" s="1"/>
  <c r="J24" i="235"/>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H37" i="235"/>
  <c r="G2192" i="324" s="1"/>
  <c r="Q37" i="235"/>
  <c r="G2201" i="324" s="1"/>
  <c r="N42" i="235"/>
  <c r="G2258" i="324" s="1"/>
  <c r="H33" i="228"/>
  <c r="S21" i="229"/>
  <c r="M26" i="229"/>
  <c r="J35" i="232"/>
  <c r="F730" i="269" s="1"/>
  <c r="J21" i="234"/>
  <c r="G1131" i="324" s="1"/>
  <c r="J27" i="234"/>
  <c r="G1185" i="324" s="1"/>
  <c r="K26" i="234"/>
  <c r="K32" i="234"/>
  <c r="G1222" i="324" s="1"/>
  <c r="K38" i="234"/>
  <c r="G1282"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L12" i="235"/>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K92" i="234"/>
  <c r="G1562" i="324" s="1"/>
  <c r="K116" i="234"/>
  <c r="F12" i="235"/>
  <c r="N12" i="235" s="1"/>
  <c r="G1865" i="324" s="1"/>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45" i="234"/>
  <c r="G1338" i="324" s="1"/>
  <c r="K118" i="234"/>
  <c r="G1751" i="324" s="1"/>
  <c r="L15" i="235"/>
  <c r="G1893" i="324" s="1"/>
  <c r="N39" i="235"/>
  <c r="G2228" i="324" s="1"/>
  <c r="K33" i="233"/>
  <c r="K20" i="227" s="1"/>
  <c r="K23" i="234"/>
  <c r="G1147" i="324" s="1"/>
  <c r="Q38" i="234"/>
  <c r="G1288" i="324" s="1"/>
  <c r="K91" i="234"/>
  <c r="G1556" i="324" s="1"/>
  <c r="K21" i="235"/>
  <c r="G1970" i="324" s="1"/>
  <c r="I49" i="235"/>
  <c r="G2367" i="324" s="1"/>
  <c r="R49" i="235"/>
  <c r="G2376" i="324" s="1"/>
  <c r="L73" i="235"/>
  <c r="G2703" i="324" s="1"/>
  <c r="M36" i="233"/>
  <c r="F892" i="269" s="1"/>
  <c r="K41" i="234"/>
  <c r="F93" i="234"/>
  <c r="G1563" i="324" s="1"/>
  <c r="K113" i="234"/>
  <c r="K123" i="234"/>
  <c r="G1796" i="324" s="1"/>
  <c r="N16" i="235"/>
  <c r="G1907" i="324" s="1"/>
  <c r="I24" i="235"/>
  <c r="G2025" i="324" s="1"/>
  <c r="R24" i="235"/>
  <c r="G2034" i="324" s="1"/>
  <c r="L37" i="235"/>
  <c r="G2196" i="324" s="1"/>
  <c r="J49" i="235"/>
  <c r="G2368" i="324" s="1"/>
  <c r="S49" i="235"/>
  <c r="G2377" i="324" s="1"/>
  <c r="P67" i="235"/>
  <c r="W67" i="235" s="1"/>
  <c r="G2645" i="324" s="1"/>
  <c r="N69" i="235"/>
  <c r="G2666" i="324" s="1"/>
  <c r="O82" i="235"/>
  <c r="G2841" i="324" s="1"/>
  <c r="W80" i="235"/>
  <c r="G2813" i="324" s="1"/>
  <c r="G85" i="235"/>
  <c r="P85" i="235"/>
  <c r="K47" i="234"/>
  <c r="G1357" i="324" s="1"/>
  <c r="K112" i="234"/>
  <c r="G1703" i="324" s="1"/>
  <c r="J21" i="235"/>
  <c r="G1969" i="324" s="1"/>
  <c r="S21" i="235"/>
  <c r="G1978" i="324" s="1"/>
  <c r="N23" i="235"/>
  <c r="G2012" i="324" s="1"/>
  <c r="G37" i="235"/>
  <c r="G2191" i="324" s="1"/>
  <c r="P37" i="235"/>
  <c r="M40" i="235"/>
  <c r="G2236" i="324" s="1"/>
  <c r="K49" i="235"/>
  <c r="G2369" i="324" s="1"/>
  <c r="P79" i="235"/>
  <c r="G2785" i="324" s="1"/>
  <c r="G82" i="235"/>
  <c r="G2833" i="324" s="1"/>
  <c r="H128" i="234"/>
  <c r="G1820" i="324" s="1"/>
  <c r="H12" i="234"/>
  <c r="K120" i="234"/>
  <c r="G1769" i="324" s="1"/>
  <c r="F15" i="235"/>
  <c r="N15" i="235" s="1"/>
  <c r="G1895" i="324" s="1"/>
  <c r="N13" i="235"/>
  <c r="G1877" i="324" s="1"/>
  <c r="I18" i="235"/>
  <c r="N18" i="235" s="1"/>
  <c r="G1925" i="324" s="1"/>
  <c r="N20" i="235"/>
  <c r="G1955" i="324" s="1"/>
  <c r="N22" i="235"/>
  <c r="W22" i="235"/>
  <c r="G2003" i="324" s="1"/>
  <c r="I37" i="235"/>
  <c r="G2193" i="324" s="1"/>
  <c r="G40" i="235"/>
  <c r="G2230" i="324" s="1"/>
  <c r="G43" i="235"/>
  <c r="G2260" i="324" s="1"/>
  <c r="N93" i="235"/>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O21" i="235"/>
  <c r="G1974" i="324" s="1"/>
  <c r="F24" i="235"/>
  <c r="G2022" i="324" s="1"/>
  <c r="V24" i="235"/>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91" i="235"/>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G2667" i="324" s="1"/>
  <c r="R82" i="235"/>
  <c r="G2844" i="324" s="1"/>
  <c r="W19" i="235"/>
  <c r="G1946" i="324" s="1"/>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W82" i="235" s="1"/>
  <c r="G2849"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M82" i="235"/>
  <c r="G2839" i="324" s="1"/>
  <c r="K82" i="235"/>
  <c r="G2837" i="324" s="1"/>
  <c r="L16" i="243"/>
  <c r="F89" i="302" s="1"/>
  <c r="P61" i="235"/>
  <c r="G2530" i="324" s="1"/>
  <c r="O64" i="235"/>
  <c r="G2583" i="324" s="1"/>
  <c r="F67" i="235"/>
  <c r="G2628" i="324" s="1"/>
  <c r="N78" i="235"/>
  <c r="G2765" i="324" s="1"/>
  <c r="I85" i="235"/>
  <c r="G2892" i="324" s="1"/>
  <c r="L15" i="243"/>
  <c r="F81" i="302" s="1"/>
  <c r="W51" i="235"/>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N94" i="235"/>
  <c r="G3014" i="324" s="1"/>
  <c r="G18" i="243"/>
  <c r="F100" i="302" s="1"/>
  <c r="J12" i="237"/>
  <c r="F946" i="269" s="1"/>
  <c r="I18" i="243"/>
  <c r="F102" i="302" s="1"/>
  <c r="L9" i="243"/>
  <c r="J10" i="237"/>
  <c r="F934" i="269" s="1"/>
  <c r="J13" i="237"/>
  <c r="F952" i="269" s="1"/>
  <c r="AN25" i="251"/>
  <c r="AN27" i="251"/>
  <c r="AV25" i="251"/>
  <c r="AV27" i="251"/>
  <c r="BD25" i="251"/>
  <c r="BD27" i="251"/>
  <c r="H11" i="258"/>
  <c r="G3741" i="324" s="1"/>
  <c r="L14" i="258"/>
  <c r="G3765" i="324" s="1"/>
  <c r="CG24" i="251"/>
  <c r="E19" i="250" s="1"/>
  <c r="L8" i="243"/>
  <c r="CG23" i="251"/>
  <c r="E18" i="250"/>
  <c r="E14" i="250"/>
  <c r="AT25" i="251"/>
  <c r="AT27" i="251"/>
  <c r="N8" i="250"/>
  <c r="L8" i="250" s="1"/>
  <c r="CG22" i="251"/>
  <c r="E17" i="250" s="1"/>
  <c r="E22" i="258"/>
  <c r="G3771" i="324" s="1"/>
  <c r="CG26" i="251"/>
  <c r="E21" i="250" s="1"/>
  <c r="L12" i="258"/>
  <c r="G3753" i="324" s="1"/>
  <c r="D48" i="231"/>
  <c r="G206" i="324" s="1"/>
  <c r="G21" i="239"/>
  <c r="I20" i="227"/>
  <c r="E20" i="227"/>
  <c r="H30" i="225"/>
  <c r="F197" i="269" s="1"/>
  <c r="H20" i="227"/>
  <c r="I30" i="225"/>
  <c r="F198" i="269" s="1"/>
  <c r="J20" i="227"/>
  <c r="L20" i="227"/>
  <c r="F20" i="227"/>
  <c r="G14" i="236"/>
  <c r="F928" i="269" s="1"/>
  <c r="K30" i="225"/>
  <c r="F200" i="269" s="1"/>
  <c r="J41" i="204"/>
  <c r="J12" i="204"/>
  <c r="AA10" i="234"/>
  <c r="I20" i="226"/>
  <c r="E20" i="226"/>
  <c r="E29" i="210" s="1"/>
  <c r="J22" i="202"/>
  <c r="F75" i="299" s="1"/>
  <c r="F9" i="226"/>
  <c r="J19" i="204"/>
  <c r="F154" i="299" s="1"/>
  <c r="J16" i="205"/>
  <c r="F311" i="299" s="1"/>
  <c r="J19" i="205"/>
  <c r="F326" i="299" s="1"/>
  <c r="J15" i="205"/>
  <c r="F306" i="299" s="1"/>
  <c r="J14" i="202"/>
  <c r="F38" i="299" s="1"/>
  <c r="J13" i="205"/>
  <c r="F296" i="299" s="1"/>
  <c r="J20" i="204"/>
  <c r="F159" i="299" s="1"/>
  <c r="J9" i="203"/>
  <c r="F99" i="299" s="1"/>
  <c r="J33" i="205"/>
  <c r="F371" i="299" s="1"/>
  <c r="J51" i="204"/>
  <c r="F274" i="299" s="1"/>
  <c r="H9" i="205"/>
  <c r="H17" i="205"/>
  <c r="F314" i="299" s="1"/>
  <c r="F20" i="226"/>
  <c r="F29" i="210" s="1"/>
  <c r="F136" i="268" s="1"/>
  <c r="J11" i="205"/>
  <c r="F286" i="299" s="1"/>
  <c r="J34" i="205"/>
  <c r="F376" i="299" s="1"/>
  <c r="J20" i="202"/>
  <c r="I15" i="204"/>
  <c r="J15" i="204" s="1"/>
  <c r="F144" i="299" s="1"/>
  <c r="F143" i="299"/>
  <c r="J30" i="225"/>
  <c r="F199" i="269" s="1"/>
  <c r="J9" i="202"/>
  <c r="F13" i="299" s="1"/>
  <c r="J12" i="202"/>
  <c r="F28" i="299" s="1"/>
  <c r="H9" i="226"/>
  <c r="J9" i="204"/>
  <c r="F114" i="299" s="1"/>
  <c r="J42" i="204"/>
  <c r="F244" i="299" s="1"/>
  <c r="J14" i="205"/>
  <c r="F301" i="299" s="1"/>
  <c r="J30" i="204"/>
  <c r="F199" i="299" s="1"/>
  <c r="K21" i="234"/>
  <c r="G1132" i="324" s="1"/>
  <c r="G20" i="226"/>
  <c r="M30" i="225"/>
  <c r="M31" i="225" s="1"/>
  <c r="F212" i="269" s="1"/>
  <c r="J32" i="205"/>
  <c r="F366" i="299" s="1"/>
  <c r="J40" i="204"/>
  <c r="F234" i="299" s="1"/>
  <c r="J50" i="204"/>
  <c r="F269" i="299" s="1"/>
  <c r="J25" i="205"/>
  <c r="F346" i="299" s="1"/>
  <c r="J21" i="204"/>
  <c r="F164" i="299" s="1"/>
  <c r="J11" i="204"/>
  <c r="F124" i="299"/>
  <c r="J37" i="204"/>
  <c r="G30" i="225"/>
  <c r="F196" i="269" s="1"/>
  <c r="H20" i="226"/>
  <c r="H7" i="209"/>
  <c r="E30" i="225"/>
  <c r="F194" i="269" s="1"/>
  <c r="C25" i="214"/>
  <c r="F548" i="268" s="1"/>
  <c r="F7" i="209"/>
  <c r="J15" i="202"/>
  <c r="F43" i="299" s="1"/>
  <c r="J10" i="203"/>
  <c r="F104" i="299" s="1"/>
  <c r="J18" i="204"/>
  <c r="F149" i="299" s="1"/>
  <c r="J17" i="202"/>
  <c r="F53" i="299" s="1"/>
  <c r="J38" i="204"/>
  <c r="F224" i="299" s="1"/>
  <c r="F9" i="205"/>
  <c r="J18" i="205"/>
  <c r="K42" i="234"/>
  <c r="G1321" i="324" s="1"/>
  <c r="J14" i="204"/>
  <c r="F139" i="299" s="1"/>
  <c r="J29" i="204"/>
  <c r="J39" i="204"/>
  <c r="F229" i="299" s="1"/>
  <c r="J28" i="234"/>
  <c r="G1200" i="324" s="1"/>
  <c r="J23" i="205"/>
  <c r="F336" i="299" s="1"/>
  <c r="J43" i="204"/>
  <c r="E10" i="206" s="1"/>
  <c r="J10" i="205"/>
  <c r="F281" i="299" s="1"/>
  <c r="E26" i="237"/>
  <c r="F1001" i="269" s="1"/>
  <c r="H26" i="237"/>
  <c r="F1004" i="269" s="1"/>
  <c r="I26" i="237"/>
  <c r="F1005" i="269" s="1"/>
  <c r="F26" i="237"/>
  <c r="F1002" i="269" s="1"/>
  <c r="F14" i="225"/>
  <c r="F55" i="269" s="1"/>
  <c r="J14" i="225"/>
  <c r="F59" i="269" s="1"/>
  <c r="I14" i="225"/>
  <c r="F58" i="269" s="1"/>
  <c r="N14" i="225"/>
  <c r="F63" i="269" s="1"/>
  <c r="I27" i="205"/>
  <c r="F355" i="299" s="1"/>
  <c r="W21" i="235"/>
  <c r="G1982" i="324" s="1"/>
  <c r="F33" i="204"/>
  <c r="F47" i="204" s="1"/>
  <c r="F111" i="268"/>
  <c r="I35" i="205"/>
  <c r="F380" i="299" s="1"/>
  <c r="I31" i="225"/>
  <c r="F208" i="269" s="1"/>
  <c r="Q9" i="232"/>
  <c r="F410" i="268"/>
  <c r="O8" i="213"/>
  <c r="H33" i="204"/>
  <c r="F207" i="299" s="1"/>
  <c r="F16" i="202"/>
  <c r="F44" i="299" s="1"/>
  <c r="F110" i="268"/>
  <c r="K27" i="234"/>
  <c r="G1186" i="324" s="1"/>
  <c r="G96" i="235"/>
  <c r="G3031" i="324" s="1"/>
  <c r="K36" i="234"/>
  <c r="G1261" i="324" s="1"/>
  <c r="W64" i="235"/>
  <c r="G2591" i="324" s="1"/>
  <c r="F48" i="231"/>
  <c r="G208" i="324" s="1"/>
  <c r="N21" i="235"/>
  <c r="G1973" i="324" s="1"/>
  <c r="R12" i="231"/>
  <c r="I49" i="234"/>
  <c r="G1370" i="324" s="1"/>
  <c r="L15" i="214"/>
  <c r="S8" i="243"/>
  <c r="I52" i="204"/>
  <c r="F278" i="299" s="1"/>
  <c r="S8" i="209"/>
  <c r="H49" i="234"/>
  <c r="G1369" i="324" s="1"/>
  <c r="H48" i="231"/>
  <c r="G210" i="324" s="1"/>
  <c r="N9" i="236"/>
  <c r="N67" i="235"/>
  <c r="G2636" i="324" s="1"/>
  <c r="K39" i="234"/>
  <c r="G1294" i="324" s="1"/>
  <c r="N82" i="235"/>
  <c r="G2840" i="324" s="1"/>
  <c r="W46" i="235"/>
  <c r="G2324" i="324" s="1"/>
  <c r="I27" i="202"/>
  <c r="F89" i="299" s="1"/>
  <c r="K12" i="234"/>
  <c r="G1069" i="324" s="1"/>
  <c r="K93" i="234"/>
  <c r="G1568" i="324" s="1"/>
  <c r="I22" i="204"/>
  <c r="F168" i="299" s="1"/>
  <c r="G33" i="204"/>
  <c r="I33" i="204" s="1"/>
  <c r="F208" i="299" s="1"/>
  <c r="W79" i="235"/>
  <c r="G2792" i="324" s="1"/>
  <c r="W24" i="235"/>
  <c r="G2039" i="324" s="1"/>
  <c r="N85" i="235"/>
  <c r="G2897" i="324" s="1"/>
  <c r="H16" i="202"/>
  <c r="F46" i="299"/>
  <c r="M96" i="235"/>
  <c r="G3037" i="324" s="1"/>
  <c r="M33" i="233"/>
  <c r="F883" i="269" s="1"/>
  <c r="J32" i="232"/>
  <c r="F724" i="269" s="1"/>
  <c r="M11" i="227"/>
  <c r="F423" i="269" s="1"/>
  <c r="K48" i="234"/>
  <c r="G7" i="209"/>
  <c r="N76" i="235"/>
  <c r="G2735" i="324" s="1"/>
  <c r="N40" i="235"/>
  <c r="G2237" i="324" s="1"/>
  <c r="Q9" i="204"/>
  <c r="E7" i="209"/>
  <c r="N49" i="235"/>
  <c r="G2372" i="324" s="1"/>
  <c r="N61" i="235"/>
  <c r="G2528" i="324" s="1"/>
  <c r="N37" i="235"/>
  <c r="G2198" i="324" s="1"/>
  <c r="G28" i="234"/>
  <c r="G1197" i="324" s="1"/>
  <c r="I7" i="209"/>
  <c r="F249" i="299"/>
  <c r="J22" i="204"/>
  <c r="F169" i="299" s="1"/>
  <c r="J27" i="202"/>
  <c r="F90" i="299" s="1"/>
  <c r="N16" i="225"/>
  <c r="N20" i="225" s="1"/>
  <c r="J35" i="205"/>
  <c r="F381" i="299" s="1"/>
  <c r="J52" i="204"/>
  <c r="F279" i="299" s="1"/>
  <c r="H18" i="202"/>
  <c r="F56" i="299" s="1"/>
  <c r="J16" i="225"/>
  <c r="J19" i="225" s="1"/>
  <c r="F16" i="225"/>
  <c r="F75" i="269" s="1"/>
  <c r="J31" i="225"/>
  <c r="F209" i="269" s="1"/>
  <c r="F148" i="268"/>
  <c r="J22" i="226"/>
  <c r="F328" i="269" s="1"/>
  <c r="J11" i="226"/>
  <c r="F296" i="269" s="1"/>
  <c r="J20" i="226"/>
  <c r="F321" i="269" s="1"/>
  <c r="M22" i="227"/>
  <c r="F470" i="269" s="1"/>
  <c r="F147" i="268"/>
  <c r="I3" i="80"/>
  <c r="J3" i="80"/>
  <c r="K3" i="80"/>
  <c r="L3" i="80"/>
  <c r="M3" i="80"/>
  <c r="N3" i="80"/>
  <c r="O3" i="80"/>
  <c r="P3" i="80"/>
  <c r="Q3" i="80"/>
  <c r="H3" i="80"/>
  <c r="L13" i="225"/>
  <c r="L14" i="225" s="1"/>
  <c r="G13" i="225"/>
  <c r="F46" i="269" s="1"/>
  <c r="H36" i="225"/>
  <c r="F237" i="269" s="1"/>
  <c r="M36" i="225"/>
  <c r="F242" i="269" s="1"/>
  <c r="L36" i="225"/>
  <c r="F241" i="269" s="1"/>
  <c r="G36" i="225"/>
  <c r="F236" i="269" s="1"/>
  <c r="P8" i="211"/>
  <c r="N8" i="211" s="1"/>
  <c r="F11" i="209"/>
  <c r="F22" i="268" s="1"/>
  <c r="E11" i="209"/>
  <c r="F21" i="268"/>
  <c r="F10" i="209"/>
  <c r="F14" i="268"/>
  <c r="D67" i="223"/>
  <c r="C67" i="223"/>
  <c r="N10" i="223"/>
  <c r="L10" i="223" s="1"/>
  <c r="M20" i="233"/>
  <c r="G17" i="257"/>
  <c r="G19" i="257" s="1"/>
  <c r="F61" i="273" s="1"/>
  <c r="H14" i="257"/>
  <c r="F42" i="273" s="1"/>
  <c r="F17" i="257"/>
  <c r="F19" i="257" s="1"/>
  <c r="H15" i="257"/>
  <c r="F46" i="273" s="1"/>
  <c r="K42" i="257"/>
  <c r="G49" i="257"/>
  <c r="F194" i="273" s="1"/>
  <c r="F49" i="257"/>
  <c r="F51" i="257" s="1"/>
  <c r="F207" i="273" s="1"/>
  <c r="K47" i="257"/>
  <c r="M21" i="233"/>
  <c r="F820" i="269" s="1"/>
  <c r="K40" i="257"/>
  <c r="E49" i="257"/>
  <c r="F192" i="273" s="1"/>
  <c r="K43" i="257"/>
  <c r="F170" i="273" s="1"/>
  <c r="K50" i="257"/>
  <c r="F205" i="273" s="1"/>
  <c r="K48" i="257"/>
  <c r="M13" i="227"/>
  <c r="F441" i="269" s="1"/>
  <c r="M24" i="233"/>
  <c r="F829" i="269" s="1"/>
  <c r="V8" i="257"/>
  <c r="E17" i="257"/>
  <c r="F51" i="273"/>
  <c r="H8" i="257"/>
  <c r="H11" i="257"/>
  <c r="F38" i="273" s="1"/>
  <c r="H16" i="257"/>
  <c r="F50" i="273" s="1"/>
  <c r="K41" i="257"/>
  <c r="F156" i="273" s="1"/>
  <c r="M26" i="233"/>
  <c r="M19" i="233"/>
  <c r="F802" i="269" s="1"/>
  <c r="H10" i="257"/>
  <c r="F34" i="273" s="1"/>
  <c r="H18" i="257"/>
  <c r="F58" i="273" s="1"/>
  <c r="L27" i="257"/>
  <c r="F94" i="273" s="1"/>
  <c r="L26" i="257"/>
  <c r="F86" i="273" s="1"/>
  <c r="F78" i="273"/>
  <c r="F70" i="273"/>
  <c r="L32" i="257"/>
  <c r="F118" i="273" s="1"/>
  <c r="L31" i="257"/>
  <c r="F110" i="273" s="1"/>
  <c r="L30" i="257"/>
  <c r="F102" i="273" s="1"/>
  <c r="L34" i="257"/>
  <c r="F134" i="273" s="1"/>
  <c r="J49" i="257"/>
  <c r="J51" i="257" s="1"/>
  <c r="F211" i="273" s="1"/>
  <c r="K46" i="257"/>
  <c r="F177" i="273" s="1"/>
  <c r="M25" i="233"/>
  <c r="F838" i="269" s="1"/>
  <c r="H9" i="257"/>
  <c r="F30" i="273" s="1"/>
  <c r="H49" i="257"/>
  <c r="F195" i="273" s="1"/>
  <c r="T8" i="257"/>
  <c r="H51" i="257"/>
  <c r="F209" i="273" s="1"/>
  <c r="E19" i="257"/>
  <c r="F59" i="273" s="1"/>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206" i="284"/>
  <c r="AI198" i="284"/>
  <c r="AI190" i="284"/>
  <c r="AI182" i="284"/>
  <c r="AI174" i="284"/>
  <c r="AI166" i="284"/>
  <c r="AI158" i="284"/>
  <c r="AI150" i="284"/>
  <c r="AI142" i="284"/>
  <c r="AI134" i="284"/>
  <c r="AI126" i="284"/>
  <c r="AI87" i="284"/>
  <c r="AI79" i="284"/>
  <c r="AI71" i="284"/>
  <c r="AI63" i="284"/>
  <c r="AI55" i="284"/>
  <c r="AI47" i="284"/>
  <c r="AI86" i="284"/>
  <c r="AI62" i="284"/>
  <c r="AI91" i="284"/>
  <c r="AI75" i="284"/>
  <c r="AI59" i="284"/>
  <c r="AI106" i="284"/>
  <c r="AI118" i="284"/>
  <c r="AI98" i="284"/>
  <c r="AI78" i="284"/>
  <c r="AI92" i="284"/>
  <c r="AI88" i="284"/>
  <c r="AI84" i="284"/>
  <c r="AI80" i="284"/>
  <c r="AI76" i="284"/>
  <c r="AI72" i="284"/>
  <c r="AI68" i="284"/>
  <c r="AI64" i="284"/>
  <c r="AI60" i="284"/>
  <c r="AI56" i="284"/>
  <c r="AI52" i="284"/>
  <c r="AI48" i="284"/>
  <c r="AI202" i="284"/>
  <c r="AI194" i="284"/>
  <c r="AI186" i="284"/>
  <c r="AI178" i="284"/>
  <c r="AI170" i="284"/>
  <c r="AI162" i="284"/>
  <c r="AI154" i="284"/>
  <c r="AI146" i="284"/>
  <c r="AI138" i="284"/>
  <c r="AI130" i="284"/>
  <c r="AI90" i="284"/>
  <c r="AI82" i="284"/>
  <c r="AI74" i="284"/>
  <c r="AI66" i="284"/>
  <c r="AI58" i="284"/>
  <c r="AI50" i="284"/>
  <c r="AI114" i="284"/>
  <c r="AI70" i="284"/>
  <c r="AI46" i="284"/>
  <c r="AI83" i="284"/>
  <c r="AI67" i="284"/>
  <c r="AI51" i="284"/>
  <c r="AI110" i="284"/>
  <c r="AI122" i="284"/>
  <c r="AI102" i="284"/>
  <c r="AI94" i="284"/>
  <c r="AI54" i="284"/>
  <c r="K86" i="234"/>
  <c r="G1498" i="324" s="1"/>
  <c r="AC88" i="234"/>
  <c r="K87" i="234"/>
  <c r="G1508" i="324" s="1"/>
  <c r="AC89" i="234"/>
  <c r="F129" i="234"/>
  <c r="E10" i="226" s="1"/>
  <c r="E19" i="210" s="1"/>
  <c r="F128" i="234"/>
  <c r="G1818" i="324" s="1"/>
  <c r="J76" i="234"/>
  <c r="G1420" i="324" s="1"/>
  <c r="N20" i="313"/>
  <c r="T24" i="257" l="1"/>
  <c r="T40" i="233"/>
  <c r="T39" i="233"/>
  <c r="G1545" i="324"/>
  <c r="Q87" i="234"/>
  <c r="G1514" i="324" s="1"/>
  <c r="Q84" i="234"/>
  <c r="G1409" i="324" s="1"/>
  <c r="H42" i="305"/>
  <c r="F536" i="299"/>
  <c r="F535" i="299"/>
  <c r="G42" i="305"/>
  <c r="F542" i="299"/>
  <c r="N42" i="305"/>
  <c r="M42" i="305"/>
  <c r="F541" i="299"/>
  <c r="F430" i="299"/>
  <c r="I13" i="305"/>
  <c r="J24" i="305"/>
  <c r="F559" i="299"/>
  <c r="E48" i="305"/>
  <c r="F587" i="299" s="1"/>
  <c r="O13" i="305"/>
  <c r="P24" i="305"/>
  <c r="F434" i="299"/>
  <c r="F495" i="299"/>
  <c r="F504" i="299"/>
  <c r="F480" i="299"/>
  <c r="F485" i="299"/>
  <c r="L54" i="305"/>
  <c r="F615" i="299" s="1"/>
  <c r="G51" i="257"/>
  <c r="F208" i="273" s="1"/>
  <c r="F193" i="273"/>
  <c r="K49" i="257"/>
  <c r="F198" i="273" s="1"/>
  <c r="E51" i="257"/>
  <c r="F120" i="273"/>
  <c r="H35" i="257"/>
  <c r="F138" i="273" s="1"/>
  <c r="J35" i="257"/>
  <c r="F140" i="273" s="1"/>
  <c r="F135" i="273"/>
  <c r="AB33" i="257"/>
  <c r="T33" i="257" s="1"/>
  <c r="F123" i="273"/>
  <c r="F119" i="273"/>
  <c r="I35" i="257"/>
  <c r="F139" i="273" s="1"/>
  <c r="K35" i="257"/>
  <c r="F141" i="273" s="1"/>
  <c r="L33" i="257"/>
  <c r="F126" i="273" s="1"/>
  <c r="F121" i="273"/>
  <c r="F53" i="273"/>
  <c r="H19" i="257"/>
  <c r="F62" i="273" s="1"/>
  <c r="F60" i="273"/>
  <c r="H17" i="257"/>
  <c r="F54" i="273" s="1"/>
  <c r="F52" i="273"/>
  <c r="AI16" i="284"/>
  <c r="AI24" i="284"/>
  <c r="AI32" i="284"/>
  <c r="AI40" i="284"/>
  <c r="AI9" i="284"/>
  <c r="AI10" i="284"/>
  <c r="AI11" i="284"/>
  <c r="AI12" i="284"/>
  <c r="AI13" i="284"/>
  <c r="AI15" i="284"/>
  <c r="AI17" i="284"/>
  <c r="AI18" i="284"/>
  <c r="AI19" i="284"/>
  <c r="AI20" i="284"/>
  <c r="AI21" i="284"/>
  <c r="AI23" i="284"/>
  <c r="AI25" i="284"/>
  <c r="AI26" i="284"/>
  <c r="AI27" i="284"/>
  <c r="AI28" i="284"/>
  <c r="AI29" i="284"/>
  <c r="AI31" i="284"/>
  <c r="AI33" i="284"/>
  <c r="AI34" i="284"/>
  <c r="AI35" i="284"/>
  <c r="AI36" i="284"/>
  <c r="AI37" i="284"/>
  <c r="AI39" i="284"/>
  <c r="AI41" i="284"/>
  <c r="AI42" i="284"/>
  <c r="AI43" i="284"/>
  <c r="AI44" i="284"/>
  <c r="CN26" i="251"/>
  <c r="CN23" i="251"/>
  <c r="CN24" i="251"/>
  <c r="AL21" i="285"/>
  <c r="AL12" i="285"/>
  <c r="AL15" i="285"/>
  <c r="AL18" i="285"/>
  <c r="AL20" i="285"/>
  <c r="AL22" i="285"/>
  <c r="AL23" i="285"/>
  <c r="AL24" i="285"/>
  <c r="AL26" i="285"/>
  <c r="AL27" i="285"/>
  <c r="AL28" i="285"/>
  <c r="AL30" i="285"/>
  <c r="AL32" i="285"/>
  <c r="AL34" i="285"/>
  <c r="AL35" i="285"/>
  <c r="AL36" i="285"/>
  <c r="AL38" i="285"/>
  <c r="AL39" i="285"/>
  <c r="AL43" i="285"/>
  <c r="AL44" i="285"/>
  <c r="AL46" i="285"/>
  <c r="AL47" i="285"/>
  <c r="AL48" i="285"/>
  <c r="AL50" i="285"/>
  <c r="AL51" i="285"/>
  <c r="AL52" i="285"/>
  <c r="AL54" i="285"/>
  <c r="AL55" i="285"/>
  <c r="AL56" i="285"/>
  <c r="AL58" i="285"/>
  <c r="AL59" i="285"/>
  <c r="AL60" i="285"/>
  <c r="AL14" i="285"/>
  <c r="AL13" i="285"/>
  <c r="AL16" i="285"/>
  <c r="AL19" i="285"/>
  <c r="L18" i="243"/>
  <c r="F105" i="302" s="1"/>
  <c r="L14" i="314"/>
  <c r="G3175" i="324" s="1"/>
  <c r="S11" i="314"/>
  <c r="U22" i="281"/>
  <c r="U12" i="281"/>
  <c r="W23" i="280"/>
  <c r="F1615" i="269" s="1"/>
  <c r="W21" i="280"/>
  <c r="F1579" i="269" s="1"/>
  <c r="AD19" i="280"/>
  <c r="AD20" i="280"/>
  <c r="U10" i="281"/>
  <c r="N13" i="281"/>
  <c r="F1673" i="269" s="1"/>
  <c r="F1657" i="269"/>
  <c r="N16" i="281"/>
  <c r="F1697" i="269" s="1"/>
  <c r="U15" i="281"/>
  <c r="F1705" i="269"/>
  <c r="AD16" i="280"/>
  <c r="U14" i="281"/>
  <c r="K18" i="281"/>
  <c r="F1711" i="269" s="1"/>
  <c r="F1695" i="269"/>
  <c r="J19" i="281"/>
  <c r="F1718" i="269" s="1"/>
  <c r="F1702" i="269"/>
  <c r="L16" i="281"/>
  <c r="K17" i="281"/>
  <c r="F1654" i="269"/>
  <c r="U9" i="281"/>
  <c r="K13" i="281"/>
  <c r="F1671" i="269" s="1"/>
  <c r="I16" i="281"/>
  <c r="L17" i="281"/>
  <c r="F1655" i="269"/>
  <c r="J16" i="281"/>
  <c r="I17" i="281"/>
  <c r="J13" i="281"/>
  <c r="F1670" i="269" s="1"/>
  <c r="F1597" i="269"/>
  <c r="W24" i="280"/>
  <c r="F1633" i="269" s="1"/>
  <c r="U24" i="280"/>
  <c r="F1631" i="269" s="1"/>
  <c r="V24" i="280"/>
  <c r="F1632" i="269" s="1"/>
  <c r="S24" i="280"/>
  <c r="F1629" i="269" s="1"/>
  <c r="W15" i="280"/>
  <c r="F1471" i="269" s="1"/>
  <c r="O24" i="280"/>
  <c r="F1625" i="269" s="1"/>
  <c r="F1435" i="269"/>
  <c r="Q24" i="280"/>
  <c r="F1627" i="269" s="1"/>
  <c r="F1593" i="269"/>
  <c r="P24" i="280"/>
  <c r="F1626" i="269" s="1"/>
  <c r="F1614" i="269"/>
  <c r="W12" i="280"/>
  <c r="F1417" i="269" s="1"/>
  <c r="F1613" i="269"/>
  <c r="F24" i="280"/>
  <c r="F1616" i="269" s="1"/>
  <c r="F1700" i="269"/>
  <c r="G19" i="281"/>
  <c r="F1716" i="269" s="1"/>
  <c r="E19" i="281"/>
  <c r="F1714" i="269" s="1"/>
  <c r="F1698" i="269"/>
  <c r="E16" i="281"/>
  <c r="G13" i="281"/>
  <c r="F1668" i="269" s="1"/>
  <c r="F16" i="281"/>
  <c r="F17" i="281"/>
  <c r="F13" i="281"/>
  <c r="F1667" i="269" s="1"/>
  <c r="E13" i="281"/>
  <c r="F1666" i="269" s="1"/>
  <c r="G16" i="281"/>
  <c r="F1650" i="269"/>
  <c r="H24" i="280"/>
  <c r="F1618" i="269" s="1"/>
  <c r="N22" i="280"/>
  <c r="F1588" i="269" s="1"/>
  <c r="J24" i="280"/>
  <c r="F1620" i="269" s="1"/>
  <c r="F1480" i="269"/>
  <c r="L24" i="280"/>
  <c r="F1622" i="269" s="1"/>
  <c r="F1604" i="269"/>
  <c r="F1581" i="269"/>
  <c r="I24" i="280"/>
  <c r="F1619" i="269" s="1"/>
  <c r="K24" i="280"/>
  <c r="F1621" i="269" s="1"/>
  <c r="Q22" i="279"/>
  <c r="F1339" i="269" s="1"/>
  <c r="Q21" i="279"/>
  <c r="F1327" i="269" s="1"/>
  <c r="X20" i="279"/>
  <c r="M24" i="279"/>
  <c r="F1359" i="269" s="1"/>
  <c r="P24" i="279"/>
  <c r="F1362" i="269" s="1"/>
  <c r="X14" i="279"/>
  <c r="N24" i="279"/>
  <c r="F1360" i="269" s="1"/>
  <c r="F1349" i="269"/>
  <c r="L24" i="279"/>
  <c r="F1358" i="269" s="1"/>
  <c r="F1335" i="269"/>
  <c r="X11" i="279"/>
  <c r="Q23" i="279"/>
  <c r="K22" i="279"/>
  <c r="F1333" i="269" s="1"/>
  <c r="K21" i="279"/>
  <c r="F1321" i="269" s="1"/>
  <c r="F1261" i="269"/>
  <c r="K18" i="279"/>
  <c r="F1285" i="269" s="1"/>
  <c r="H24" i="279"/>
  <c r="F1354" i="269" s="1"/>
  <c r="K23" i="279"/>
  <c r="F1345" i="269" s="1"/>
  <c r="I24" i="279"/>
  <c r="F1355" i="269" s="1"/>
  <c r="F1225" i="269"/>
  <c r="G24" i="279"/>
  <c r="F1353" i="269" s="1"/>
  <c r="F24" i="279"/>
  <c r="F1352" i="269" s="1"/>
  <c r="J24" i="279"/>
  <c r="F1356" i="269" s="1"/>
  <c r="F1332" i="269"/>
  <c r="Q21" i="238"/>
  <c r="E24" i="238"/>
  <c r="G3116" i="324" s="1"/>
  <c r="H18" i="238"/>
  <c r="G3103" i="324" s="1"/>
  <c r="O23" i="238"/>
  <c r="O21" i="238"/>
  <c r="R23" i="238"/>
  <c r="H23" i="238"/>
  <c r="G3115" i="324" s="1"/>
  <c r="G24" i="238"/>
  <c r="G3118" i="324" s="1"/>
  <c r="H22" i="238"/>
  <c r="G3111" i="324" s="1"/>
  <c r="H21" i="238"/>
  <c r="G3107" i="324" s="1"/>
  <c r="G3110" i="324"/>
  <c r="G3105" i="324"/>
  <c r="F24" i="238"/>
  <c r="F997" i="269"/>
  <c r="G26" i="237"/>
  <c r="F1003" i="269" s="1"/>
  <c r="F964" i="269"/>
  <c r="J26" i="237"/>
  <c r="F1006" i="269" s="1"/>
  <c r="F960" i="269"/>
  <c r="AG86" i="235"/>
  <c r="AG88" i="235"/>
  <c r="AG89" i="235"/>
  <c r="AG90" i="235"/>
  <c r="AG91" i="235"/>
  <c r="AG92" i="235"/>
  <c r="AG94" i="235"/>
  <c r="X101" i="235"/>
  <c r="G3069" i="324" s="1"/>
  <c r="Z101" i="235"/>
  <c r="G3071" i="324" s="1"/>
  <c r="G2902" i="324"/>
  <c r="AG84" i="235"/>
  <c r="G2846" i="324"/>
  <c r="AG80" i="235"/>
  <c r="AG81" i="235"/>
  <c r="AG77" i="235"/>
  <c r="AG78" i="235"/>
  <c r="G2638" i="324"/>
  <c r="W61" i="235"/>
  <c r="G2537" i="324" s="1"/>
  <c r="AG59" i="235"/>
  <c r="W52" i="235"/>
  <c r="G2438" i="324" s="1"/>
  <c r="AG51" i="235"/>
  <c r="AG50" i="235"/>
  <c r="AG47" i="235"/>
  <c r="AG48" i="235"/>
  <c r="W49" i="235"/>
  <c r="G2381" i="324" s="1"/>
  <c r="AG44" i="235"/>
  <c r="AG45" i="235"/>
  <c r="G2199" i="324"/>
  <c r="G2129" i="324"/>
  <c r="AG31" i="235"/>
  <c r="Q34" i="235"/>
  <c r="G2144" i="324" s="1"/>
  <c r="G2124" i="324"/>
  <c r="W33" i="235"/>
  <c r="G2132" i="324" s="1"/>
  <c r="P34" i="235"/>
  <c r="G2143" i="324" s="1"/>
  <c r="W30" i="235"/>
  <c r="G2114" i="324" s="1"/>
  <c r="S34" i="235"/>
  <c r="G2146" i="324" s="1"/>
  <c r="G2112" i="324"/>
  <c r="V34" i="235"/>
  <c r="G2149" i="324" s="1"/>
  <c r="AG28" i="235"/>
  <c r="AG26" i="235"/>
  <c r="W27" i="235"/>
  <c r="G2096" i="324" s="1"/>
  <c r="AG25" i="235"/>
  <c r="AG22" i="235"/>
  <c r="AG23" i="235"/>
  <c r="L96" i="235"/>
  <c r="G3036" i="324" s="1"/>
  <c r="N79" i="235"/>
  <c r="G2783" i="324" s="1"/>
  <c r="G2781" i="324"/>
  <c r="K96" i="235"/>
  <c r="G3035" i="324" s="1"/>
  <c r="H96" i="235"/>
  <c r="G3032" i="324" s="1"/>
  <c r="G2699" i="324"/>
  <c r="J96" i="235"/>
  <c r="G3034" i="324" s="1"/>
  <c r="N70" i="235"/>
  <c r="G2675" i="324" s="1"/>
  <c r="I96" i="235"/>
  <c r="G3033" i="324" s="1"/>
  <c r="F96" i="235"/>
  <c r="G2574" i="324"/>
  <c r="N64" i="235"/>
  <c r="G2582" i="324" s="1"/>
  <c r="G2577" i="324"/>
  <c r="N55" i="235"/>
  <c r="G2468" i="324" s="1"/>
  <c r="K10" i="227"/>
  <c r="K12" i="227" s="1"/>
  <c r="K14" i="227" s="1"/>
  <c r="F448" i="269" s="1"/>
  <c r="N52" i="235"/>
  <c r="G2429" i="324" s="1"/>
  <c r="L101" i="235"/>
  <c r="G3066" i="324" s="1"/>
  <c r="K21" i="227"/>
  <c r="K23" i="227" s="1"/>
  <c r="N46" i="235"/>
  <c r="G2315" i="324" s="1"/>
  <c r="G101" i="235"/>
  <c r="G3061" i="324" s="1"/>
  <c r="N43" i="235"/>
  <c r="G2267" i="324" s="1"/>
  <c r="N33" i="235"/>
  <c r="G2123" i="324" s="1"/>
  <c r="F10" i="227"/>
  <c r="F12" i="227" s="1"/>
  <c r="G2133" i="324"/>
  <c r="L21" i="227"/>
  <c r="L23" i="227" s="1"/>
  <c r="L25" i="227" s="1"/>
  <c r="F496" i="269" s="1"/>
  <c r="M34" i="235"/>
  <c r="G2140" i="324" s="1"/>
  <c r="G2101" i="324"/>
  <c r="L34" i="235"/>
  <c r="G2139" i="324" s="1"/>
  <c r="G56" i="235"/>
  <c r="G2473" i="324" s="1"/>
  <c r="K34" i="235"/>
  <c r="G2138" i="324" s="1"/>
  <c r="G2099" i="324"/>
  <c r="L10" i="227"/>
  <c r="I34" i="235"/>
  <c r="G2136" i="324" s="1"/>
  <c r="G2097" i="324"/>
  <c r="M101" i="235"/>
  <c r="G3067" i="324" s="1"/>
  <c r="N30" i="235"/>
  <c r="G2105" i="324" s="1"/>
  <c r="J21" i="227"/>
  <c r="N27" i="235"/>
  <c r="G2087" i="324" s="1"/>
  <c r="K101" i="235"/>
  <c r="G3065" i="324" s="1"/>
  <c r="I10" i="227"/>
  <c r="I12" i="227" s="1"/>
  <c r="F428" i="269" s="1"/>
  <c r="G2024" i="324"/>
  <c r="I21" i="227"/>
  <c r="I23" i="227" s="1"/>
  <c r="I25" i="227" s="1"/>
  <c r="F493" i="269" s="1"/>
  <c r="J10" i="227"/>
  <c r="J12" i="227" s="1"/>
  <c r="J14" i="227" s="1"/>
  <c r="F447" i="269" s="1"/>
  <c r="J101" i="235"/>
  <c r="G3064" i="324" s="1"/>
  <c r="F21" i="227"/>
  <c r="F23" i="227" s="1"/>
  <c r="F472" i="269" s="1"/>
  <c r="G1920" i="324"/>
  <c r="J56" i="235"/>
  <c r="G2476" i="324" s="1"/>
  <c r="E21" i="227"/>
  <c r="E23" i="227" s="1"/>
  <c r="F471" i="269" s="1"/>
  <c r="E10" i="227"/>
  <c r="F101" i="235"/>
  <c r="G3060" i="324" s="1"/>
  <c r="N99" i="235"/>
  <c r="G3050" i="324" s="1"/>
  <c r="G1891" i="324"/>
  <c r="H56" i="235"/>
  <c r="G2474" i="324" s="1"/>
  <c r="G1887" i="324"/>
  <c r="G21" i="227"/>
  <c r="G23" i="227" s="1"/>
  <c r="G10" i="227"/>
  <c r="G12" i="227" s="1"/>
  <c r="F426" i="269" s="1"/>
  <c r="H10" i="227"/>
  <c r="I56" i="235"/>
  <c r="G2475" i="324" s="1"/>
  <c r="G3044" i="324"/>
  <c r="N100" i="235"/>
  <c r="G3059" i="324" s="1"/>
  <c r="G1863" i="324"/>
  <c r="G1857" i="324"/>
  <c r="F56" i="235"/>
  <c r="G1858" i="324"/>
  <c r="G3045" i="324"/>
  <c r="H101" i="235"/>
  <c r="G3062" i="324" s="1"/>
  <c r="H21" i="227"/>
  <c r="H23" i="227" s="1"/>
  <c r="F474" i="269" s="1"/>
  <c r="M56" i="235"/>
  <c r="G2479" i="324" s="1"/>
  <c r="G1862" i="324"/>
  <c r="G1510" i="324"/>
  <c r="G1710" i="324"/>
  <c r="K111" i="234"/>
  <c r="G1694" i="324" s="1"/>
  <c r="AE106" i="234"/>
  <c r="H108" i="234"/>
  <c r="G1670" i="324" s="1"/>
  <c r="G1649" i="324"/>
  <c r="I128" i="234"/>
  <c r="G1821" i="324" s="1"/>
  <c r="AD106" i="234"/>
  <c r="G1629" i="324"/>
  <c r="AF106" i="234"/>
  <c r="K106" i="234"/>
  <c r="G1661" i="324" s="1"/>
  <c r="AA107" i="234"/>
  <c r="G108" i="234"/>
  <c r="G1669" i="324" s="1"/>
  <c r="I108" i="234"/>
  <c r="G1671" i="324" s="1"/>
  <c r="G1672" i="324"/>
  <c r="AG106" i="234"/>
  <c r="J128" i="234"/>
  <c r="J130" i="234" s="1"/>
  <c r="G1834" i="324" s="1"/>
  <c r="G129" i="234"/>
  <c r="G1825" i="324" s="1"/>
  <c r="I10" i="226"/>
  <c r="K96" i="234"/>
  <c r="G1589" i="324" s="1"/>
  <c r="J125" i="234"/>
  <c r="G1813" i="324" s="1"/>
  <c r="G125" i="234"/>
  <c r="G1810" i="324" s="1"/>
  <c r="K88" i="234"/>
  <c r="G1520" i="324" s="1"/>
  <c r="I90" i="234"/>
  <c r="H90" i="234"/>
  <c r="K89" i="234"/>
  <c r="G1532" i="324" s="1"/>
  <c r="G128" i="234"/>
  <c r="AD88" i="234"/>
  <c r="AA88" i="234" s="1"/>
  <c r="G90" i="234"/>
  <c r="G1540" i="324" s="1"/>
  <c r="G1542" i="324"/>
  <c r="F125" i="234"/>
  <c r="G1809" i="324" s="1"/>
  <c r="K90" i="234"/>
  <c r="G1544" i="324" s="1"/>
  <c r="G1539" i="324"/>
  <c r="K84" i="234"/>
  <c r="G1475" i="324" s="1"/>
  <c r="G1515" i="324"/>
  <c r="G1531" i="324"/>
  <c r="AG89" i="234"/>
  <c r="G1518" i="324"/>
  <c r="AF89" i="234"/>
  <c r="G1519" i="324"/>
  <c r="AD89" i="234"/>
  <c r="AA89" i="234" s="1"/>
  <c r="K81" i="234"/>
  <c r="G1438" i="324"/>
  <c r="G1441" i="324"/>
  <c r="K69" i="234"/>
  <c r="G1407" i="324" s="1"/>
  <c r="K66" i="234"/>
  <c r="G1401" i="324" s="1"/>
  <c r="K63" i="234"/>
  <c r="G1395" i="324" s="1"/>
  <c r="G1386" i="324"/>
  <c r="K76" i="234"/>
  <c r="G1421" i="324" s="1"/>
  <c r="G1380" i="324"/>
  <c r="S130" i="234"/>
  <c r="G1837" i="324" s="1"/>
  <c r="Q39" i="234"/>
  <c r="G1300" i="324" s="1"/>
  <c r="AA38" i="234"/>
  <c r="AA37" i="234"/>
  <c r="F49" i="234"/>
  <c r="G1367" i="324" s="1"/>
  <c r="G1337" i="324"/>
  <c r="K45" i="234"/>
  <c r="G1342" i="324" s="1"/>
  <c r="J49" i="234"/>
  <c r="G1371" i="324" s="1"/>
  <c r="G49" i="234"/>
  <c r="G1235" i="324"/>
  <c r="K33" i="234"/>
  <c r="G1234" i="324" s="1"/>
  <c r="G1230" i="324"/>
  <c r="G1203" i="324"/>
  <c r="T130" i="234"/>
  <c r="G1838" i="324" s="1"/>
  <c r="Q27" i="234"/>
  <c r="G1192" i="324" s="1"/>
  <c r="K24" i="234"/>
  <c r="G1153" i="324" s="1"/>
  <c r="G1108" i="324"/>
  <c r="H10" i="226"/>
  <c r="H12" i="226" s="1"/>
  <c r="E21" i="226"/>
  <c r="E30" i="210" s="1"/>
  <c r="E32" i="210" s="1"/>
  <c r="H28" i="234"/>
  <c r="G1198" i="324" s="1"/>
  <c r="G1085" i="324"/>
  <c r="K15" i="234"/>
  <c r="G1090" i="324" s="1"/>
  <c r="I28" i="234"/>
  <c r="G1199" i="324" s="1"/>
  <c r="G10" i="226"/>
  <c r="H130" i="234"/>
  <c r="G1832" i="324" s="1"/>
  <c r="G1066" i="324"/>
  <c r="G1824" i="324"/>
  <c r="F130" i="234"/>
  <c r="G1830" i="324" s="1"/>
  <c r="G21" i="226"/>
  <c r="G23" i="226" s="1"/>
  <c r="F331" i="269" s="1"/>
  <c r="M20" i="227"/>
  <c r="F460" i="269" s="1"/>
  <c r="H29" i="210"/>
  <c r="J29" i="210" s="1"/>
  <c r="F140" i="268" s="1"/>
  <c r="G29" i="210"/>
  <c r="F877" i="269"/>
  <c r="F881" i="269"/>
  <c r="E9" i="227"/>
  <c r="M28" i="233"/>
  <c r="F856" i="269" s="1"/>
  <c r="F100" i="268"/>
  <c r="F101" i="268"/>
  <c r="J8" i="210"/>
  <c r="F60" i="268" s="1"/>
  <c r="F853" i="269"/>
  <c r="F57" i="268"/>
  <c r="J9" i="210"/>
  <c r="F65" i="268" s="1"/>
  <c r="H9" i="227"/>
  <c r="J12" i="210"/>
  <c r="F81" i="268" s="1"/>
  <c r="Q35" i="232"/>
  <c r="J27" i="232"/>
  <c r="F706" i="269" s="1"/>
  <c r="J14" i="210"/>
  <c r="F92" i="268" s="1"/>
  <c r="E16" i="210"/>
  <c r="E21" i="210" s="1"/>
  <c r="E23" i="210" s="1"/>
  <c r="G9" i="226"/>
  <c r="F16" i="210"/>
  <c r="F99" i="268" s="1"/>
  <c r="E9" i="226"/>
  <c r="I9" i="226"/>
  <c r="R226" i="231"/>
  <c r="R220" i="231"/>
  <c r="R217" i="231"/>
  <c r="R222" i="231"/>
  <c r="R221" i="231"/>
  <c r="F228" i="231"/>
  <c r="G1048" i="324" s="1"/>
  <c r="G213" i="231"/>
  <c r="G979" i="324" s="1"/>
  <c r="D228" i="231"/>
  <c r="G1046" i="324" s="1"/>
  <c r="C228" i="231"/>
  <c r="G1045" i="324" s="1"/>
  <c r="G206" i="231"/>
  <c r="G944" i="324" s="1"/>
  <c r="E228" i="231"/>
  <c r="G1047" i="324" s="1"/>
  <c r="G906" i="324"/>
  <c r="R181" i="231"/>
  <c r="G826" i="324"/>
  <c r="R171" i="231"/>
  <c r="R174" i="231"/>
  <c r="E183" i="231"/>
  <c r="G837" i="324" s="1"/>
  <c r="R164" i="231"/>
  <c r="R167" i="231"/>
  <c r="G765" i="324"/>
  <c r="G768" i="324"/>
  <c r="C183" i="231"/>
  <c r="G835" i="324" s="1"/>
  <c r="R153" i="231"/>
  <c r="D183" i="231"/>
  <c r="G836" i="324" s="1"/>
  <c r="G154" i="231"/>
  <c r="G699" i="324" s="1"/>
  <c r="H138" i="231"/>
  <c r="G630" i="324" s="1"/>
  <c r="R128" i="231"/>
  <c r="R127" i="231"/>
  <c r="R126" i="231"/>
  <c r="D138" i="231"/>
  <c r="F138" i="231"/>
  <c r="G628" i="324" s="1"/>
  <c r="G611" i="324"/>
  <c r="R119" i="231"/>
  <c r="C138" i="231"/>
  <c r="G625" i="324" s="1"/>
  <c r="G555" i="324"/>
  <c r="G525" i="324"/>
  <c r="R102" i="231"/>
  <c r="G487" i="324"/>
  <c r="G626" i="324"/>
  <c r="R84" i="231"/>
  <c r="R82" i="231"/>
  <c r="G88" i="231"/>
  <c r="G405" i="324" s="1"/>
  <c r="G401" i="324"/>
  <c r="G78" i="231"/>
  <c r="G349" i="324" s="1"/>
  <c r="G312" i="324"/>
  <c r="F93" i="231"/>
  <c r="G418" i="324" s="1"/>
  <c r="E93" i="231"/>
  <c r="G417" i="324" s="1"/>
  <c r="G280" i="324"/>
  <c r="R62" i="231"/>
  <c r="R60" i="231"/>
  <c r="R59" i="231"/>
  <c r="R57" i="231"/>
  <c r="G415" i="324"/>
  <c r="R36" i="231"/>
  <c r="R38" i="231"/>
  <c r="R37" i="231"/>
  <c r="R39" i="231"/>
  <c r="R41" i="231"/>
  <c r="C48" i="231"/>
  <c r="G205" i="324" s="1"/>
  <c r="G43" i="231"/>
  <c r="G195" i="324" s="1"/>
  <c r="R31" i="231"/>
  <c r="G33" i="231"/>
  <c r="G139" i="324" s="1"/>
  <c r="R18" i="231"/>
  <c r="I48" i="231"/>
  <c r="G211" i="324" s="1"/>
  <c r="R23" i="231"/>
  <c r="E48" i="231"/>
  <c r="G48" i="231" s="1"/>
  <c r="G209" i="324" s="1"/>
  <c r="G102" i="324"/>
  <c r="R13" i="231"/>
  <c r="R15" i="231"/>
  <c r="R17" i="231"/>
  <c r="AC33" i="229"/>
  <c r="AC24" i="229"/>
  <c r="AC26" i="229"/>
  <c r="AC27" i="229"/>
  <c r="AC29" i="229"/>
  <c r="AC30" i="229"/>
  <c r="AC31" i="229"/>
  <c r="AC32" i="229"/>
  <c r="AC25" i="229"/>
  <c r="AC11" i="229"/>
  <c r="AC17" i="229"/>
  <c r="AC13" i="229"/>
  <c r="AC14" i="229"/>
  <c r="AC15" i="229"/>
  <c r="AC16" i="229"/>
  <c r="AC18" i="229"/>
  <c r="AC19" i="229"/>
  <c r="W31" i="228"/>
  <c r="W28" i="228"/>
  <c r="W29" i="228"/>
  <c r="W30" i="228"/>
  <c r="W32" i="228"/>
  <c r="W13" i="228"/>
  <c r="W17" i="228"/>
  <c r="W16" i="228"/>
  <c r="W10" i="228"/>
  <c r="W14" i="228"/>
  <c r="W18" i="228"/>
  <c r="T44" i="227"/>
  <c r="T45" i="227"/>
  <c r="M46" i="227"/>
  <c r="F596" i="269" s="1"/>
  <c r="F589" i="269"/>
  <c r="J42" i="210"/>
  <c r="F183" i="268" s="1"/>
  <c r="F158" i="268"/>
  <c r="F409" i="269"/>
  <c r="J26" i="210"/>
  <c r="F135" i="268" s="1"/>
  <c r="J20" i="210"/>
  <c r="F113" i="268" s="1"/>
  <c r="F202" i="269"/>
  <c r="K31" i="225"/>
  <c r="F210" i="269" s="1"/>
  <c r="L31" i="225"/>
  <c r="F211" i="269" s="1"/>
  <c r="F201" i="269"/>
  <c r="F195" i="269"/>
  <c r="F31" i="225"/>
  <c r="F205" i="269" s="1"/>
  <c r="F203" i="269"/>
  <c r="N31" i="225"/>
  <c r="F213" i="269" s="1"/>
  <c r="F165" i="269"/>
  <c r="F173" i="269"/>
  <c r="F167" i="269"/>
  <c r="F171" i="269"/>
  <c r="E31" i="225"/>
  <c r="F204" i="269" s="1"/>
  <c r="F54" i="269"/>
  <c r="E16" i="225"/>
  <c r="F61" i="269"/>
  <c r="L16" i="225"/>
  <c r="F123" i="269"/>
  <c r="N22" i="225"/>
  <c r="F143" i="269" s="1"/>
  <c r="F109" i="269"/>
  <c r="J21" i="225"/>
  <c r="F129" i="269" s="1"/>
  <c r="I16" i="225"/>
  <c r="H14" i="225"/>
  <c r="J20" i="225"/>
  <c r="J38" i="225" s="1"/>
  <c r="M22" i="225"/>
  <c r="F142" i="269" s="1"/>
  <c r="F51" i="269"/>
  <c r="F79" i="269"/>
  <c r="F83" i="269"/>
  <c r="M20" i="225"/>
  <c r="F122" i="269" s="1"/>
  <c r="F44" i="269"/>
  <c r="F19" i="225"/>
  <c r="F20" i="225"/>
  <c r="N19" i="225"/>
  <c r="G14" i="225"/>
  <c r="K14" i="225"/>
  <c r="M21" i="225"/>
  <c r="F132" i="269" s="1"/>
  <c r="AK422" i="293"/>
  <c r="AK455" i="293"/>
  <c r="BG448" i="293"/>
  <c r="AK448" i="293" s="1"/>
  <c r="AK436" i="293"/>
  <c r="AK430" i="293"/>
  <c r="AK418" i="293"/>
  <c r="AK355" i="293"/>
  <c r="AK356" i="293"/>
  <c r="AK357" i="293"/>
  <c r="AK358" i="293"/>
  <c r="AK359" i="293"/>
  <c r="AK360" i="293"/>
  <c r="AK361" i="293"/>
  <c r="AK363" i="293"/>
  <c r="AK364" i="293"/>
  <c r="AK365" i="293"/>
  <c r="BG427" i="293"/>
  <c r="AK427" i="293" s="1"/>
  <c r="AK460" i="293"/>
  <c r="AK429" i="293"/>
  <c r="BG439" i="293"/>
  <c r="AK439" i="293" s="1"/>
  <c r="BG432" i="293"/>
  <c r="AK432" i="293" s="1"/>
  <c r="AK457" i="293"/>
  <c r="BG454" i="293"/>
  <c r="AK454" i="293" s="1"/>
  <c r="AD620" i="293"/>
  <c r="AK463" i="293"/>
  <c r="BG456" i="293"/>
  <c r="AK456" i="293" s="1"/>
  <c r="AK428" i="293"/>
  <c r="BG416" i="293"/>
  <c r="AK416" i="293" s="1"/>
  <c r="AK449" i="293"/>
  <c r="AK462" i="293"/>
  <c r="AK450" i="293"/>
  <c r="AK438" i="293"/>
  <c r="BG447" i="293"/>
  <c r="AK447" i="293" s="1"/>
  <c r="BG435" i="293"/>
  <c r="AK435" i="293" s="1"/>
  <c r="AK445" i="293"/>
  <c r="AK452" i="293"/>
  <c r="AK441" i="293"/>
  <c r="AK417" i="293"/>
  <c r="AK434" i="293"/>
  <c r="N620" i="293"/>
  <c r="AK310" i="293"/>
  <c r="R211" i="293"/>
  <c r="X232" i="293"/>
  <c r="Y232" i="293" s="1"/>
  <c r="X220" i="293"/>
  <c r="Y220" i="293" s="1"/>
  <c r="X224" i="293"/>
  <c r="Y224" i="293" s="1"/>
  <c r="R212" i="293"/>
  <c r="BG302" i="293"/>
  <c r="AK302" i="293" s="1"/>
  <c r="BG286" i="293"/>
  <c r="AK286" i="293" s="1"/>
  <c r="BG270" i="293"/>
  <c r="AK270" i="293" s="1"/>
  <c r="X176" i="293"/>
  <c r="Y176" i="293" s="1"/>
  <c r="X260" i="293"/>
  <c r="Y260" i="293" s="1"/>
  <c r="X252" i="293"/>
  <c r="Y252" i="293" s="1"/>
  <c r="X244" i="293"/>
  <c r="Y244" i="293" s="1"/>
  <c r="X228" i="293"/>
  <c r="Y228" i="293" s="1"/>
  <c r="R240" i="293"/>
  <c r="R194" i="293"/>
  <c r="R178" i="293"/>
  <c r="S211" i="293"/>
  <c r="S236" i="293"/>
  <c r="X173" i="293"/>
  <c r="Y173" i="293" s="1"/>
  <c r="S190" i="293"/>
  <c r="S202" i="293"/>
  <c r="S210" i="293"/>
  <c r="X262" i="293"/>
  <c r="Y262" i="293" s="1"/>
  <c r="R216" i="293"/>
  <c r="R228" i="293"/>
  <c r="X194" i="293"/>
  <c r="Y194" i="293" s="1"/>
  <c r="R177" i="293"/>
  <c r="R186" i="293"/>
  <c r="X180" i="293"/>
  <c r="Y180" i="293" s="1"/>
  <c r="R256" i="293"/>
  <c r="S180" i="293"/>
  <c r="BG294" i="293"/>
  <c r="AK294" i="293" s="1"/>
  <c r="BG278" i="293"/>
  <c r="AK278" i="293" s="1"/>
  <c r="AK177" i="293"/>
  <c r="AK185" i="293"/>
  <c r="AK193" i="293"/>
  <c r="AK201" i="293"/>
  <c r="AK209" i="293"/>
  <c r="S173" i="293"/>
  <c r="X178" i="293"/>
  <c r="Y178" i="293" s="1"/>
  <c r="R260" i="293"/>
  <c r="X216" i="293"/>
  <c r="Y216" i="293" s="1"/>
  <c r="X212" i="293"/>
  <c r="Y212" i="293" s="1"/>
  <c r="X256" i="293"/>
  <c r="Y256" i="293" s="1"/>
  <c r="X248" i="293"/>
  <c r="Y248" i="293" s="1"/>
  <c r="R232" i="293"/>
  <c r="S248" i="293"/>
  <c r="R201" i="293"/>
  <c r="X189" i="293"/>
  <c r="Y189" i="293" s="1"/>
  <c r="AK174" i="293"/>
  <c r="AK182" i="293"/>
  <c r="AK190" i="293"/>
  <c r="AK198" i="293"/>
  <c r="AK206" i="293"/>
  <c r="AK346" i="293"/>
  <c r="AK330" i="293"/>
  <c r="AK338" i="293"/>
  <c r="Y465" i="293"/>
  <c r="Q465" i="293"/>
  <c r="AK315" i="293"/>
  <c r="AK316" i="293"/>
  <c r="AK317" i="293"/>
  <c r="AK318" i="293"/>
  <c r="AK319" i="293"/>
  <c r="AK320" i="293"/>
  <c r="AK321" i="293"/>
  <c r="AK323" i="293"/>
  <c r="AK324" i="293"/>
  <c r="AK325" i="293"/>
  <c r="AK326" i="293"/>
  <c r="AK327" i="293"/>
  <c r="AK328" i="293"/>
  <c r="AK329" i="293"/>
  <c r="AK331" i="293"/>
  <c r="AK332" i="293"/>
  <c r="AK333" i="293"/>
  <c r="AK334" i="293"/>
  <c r="AK335" i="293"/>
  <c r="AK336" i="293"/>
  <c r="AK337" i="293"/>
  <c r="AK339" i="293"/>
  <c r="AK340" i="293"/>
  <c r="AK341" i="293"/>
  <c r="AK342" i="293"/>
  <c r="AK343" i="293"/>
  <c r="AK344" i="293"/>
  <c r="AK345" i="293"/>
  <c r="AK347" i="293"/>
  <c r="AK348" i="293"/>
  <c r="AK349" i="293"/>
  <c r="AK350" i="293"/>
  <c r="AK351" i="293"/>
  <c r="AK352" i="293"/>
  <c r="P620" i="293"/>
  <c r="X465" i="293"/>
  <c r="O620" i="293"/>
  <c r="C634" i="293" s="1"/>
  <c r="AK165" i="293"/>
  <c r="AK170" i="293"/>
  <c r="AB620" i="293"/>
  <c r="R164" i="293"/>
  <c r="S164" i="293"/>
  <c r="AK163" i="293"/>
  <c r="AK164" i="293"/>
  <c r="AK167" i="293"/>
  <c r="AK168" i="293"/>
  <c r="AK169" i="293"/>
  <c r="AK166" i="293"/>
  <c r="R182" i="293"/>
  <c r="R208" i="293"/>
  <c r="S189" i="293"/>
  <c r="R196" i="293"/>
  <c r="S201" i="293"/>
  <c r="R176" i="293"/>
  <c r="X192" i="293"/>
  <c r="Y192" i="293" s="1"/>
  <c r="R209" i="293"/>
  <c r="S169" i="293"/>
  <c r="S168" i="293"/>
  <c r="X177" i="293"/>
  <c r="Y177" i="293" s="1"/>
  <c r="S184" i="293"/>
  <c r="X193" i="293"/>
  <c r="Y193" i="293" s="1"/>
  <c r="S200" i="293"/>
  <c r="X209" i="293"/>
  <c r="Y209" i="293" s="1"/>
  <c r="X200" i="293"/>
  <c r="Y200" i="293" s="1"/>
  <c r="S193" i="293"/>
  <c r="X168" i="293"/>
  <c r="Y168" i="293" s="1"/>
  <c r="R198" i="293"/>
  <c r="Q312" i="293"/>
  <c r="R191" i="293"/>
  <c r="R185" i="293"/>
  <c r="R166" i="293"/>
  <c r="S185" i="293"/>
  <c r="R184" i="293"/>
  <c r="AK12" i="293"/>
  <c r="AK16" i="293"/>
  <c r="AK17" i="293"/>
  <c r="AK18" i="293"/>
  <c r="AK19" i="293"/>
  <c r="AK20" i="293"/>
  <c r="AK21" i="293"/>
  <c r="AK22" i="293"/>
  <c r="AK23" i="293"/>
  <c r="AK24" i="293"/>
  <c r="AK25" i="293"/>
  <c r="AK26" i="293"/>
  <c r="AK27" i="293"/>
  <c r="AK28" i="293"/>
  <c r="AK29" i="293"/>
  <c r="AK30" i="293"/>
  <c r="AK31" i="293"/>
  <c r="AK32" i="293"/>
  <c r="AK33" i="293"/>
  <c r="AK34" i="293"/>
  <c r="AK35" i="293"/>
  <c r="AK36" i="293"/>
  <c r="AK37" i="293"/>
  <c r="AK38" i="293"/>
  <c r="AK39" i="293"/>
  <c r="AK41" i="293"/>
  <c r="AK43" i="293"/>
  <c r="AK44" i="293"/>
  <c r="AK45" i="293"/>
  <c r="AK46" i="293"/>
  <c r="AK47" i="293"/>
  <c r="AK48" i="293"/>
  <c r="AK49" i="293"/>
  <c r="AK50" i="293"/>
  <c r="AK51" i="293"/>
  <c r="AK52" i="293"/>
  <c r="AK53" i="293"/>
  <c r="AK54" i="293"/>
  <c r="AK55" i="293"/>
  <c r="AK56" i="293"/>
  <c r="AK57" i="293"/>
  <c r="AK58" i="293"/>
  <c r="AK59" i="293"/>
  <c r="AK42" i="293"/>
  <c r="Q159" i="293"/>
  <c r="AK40" i="293"/>
  <c r="AK10" i="293"/>
  <c r="AK11" i="293"/>
  <c r="AK13" i="293"/>
  <c r="AK14" i="293"/>
  <c r="AK15" i="293"/>
  <c r="C635" i="293"/>
  <c r="Y159" i="293"/>
  <c r="AK162" i="293"/>
  <c r="AK9" i="293"/>
  <c r="X159" i="293"/>
  <c r="F998" i="268"/>
  <c r="J22" i="221"/>
  <c r="F971" i="268" s="1"/>
  <c r="I22" i="221"/>
  <c r="F970" i="268" s="1"/>
  <c r="L24" i="221"/>
  <c r="F981" i="268" s="1"/>
  <c r="L22" i="221"/>
  <c r="F973" i="268" s="1"/>
  <c r="L13" i="221"/>
  <c r="F925" i="268" s="1"/>
  <c r="F975" i="268"/>
  <c r="F923" i="268"/>
  <c r="J20" i="219"/>
  <c r="F847" i="268" s="1"/>
  <c r="H22" i="219"/>
  <c r="F852" i="268" s="1"/>
  <c r="J17" i="219"/>
  <c r="F846" i="268" s="1"/>
  <c r="F15" i="217"/>
  <c r="F799" i="268" s="1"/>
  <c r="E16" i="217"/>
  <c r="F801" i="268" s="1"/>
  <c r="F798" i="268"/>
  <c r="F755" i="268"/>
  <c r="C10" i="214"/>
  <c r="C12" i="214" s="1"/>
  <c r="F541" i="268" s="1"/>
  <c r="F750" i="268"/>
  <c r="I8" i="219"/>
  <c r="I10" i="219" s="1"/>
  <c r="I21" i="219" s="1"/>
  <c r="I22" i="219" s="1"/>
  <c r="F853" i="268" s="1"/>
  <c r="K7" i="209"/>
  <c r="F749" i="268"/>
  <c r="F747" i="268"/>
  <c r="F743" i="268"/>
  <c r="Q18" i="215"/>
  <c r="Q22" i="215"/>
  <c r="J23" i="215"/>
  <c r="F740" i="268" s="1"/>
  <c r="J7" i="209"/>
  <c r="F739" i="268"/>
  <c r="Q16" i="215"/>
  <c r="Q20" i="215"/>
  <c r="F30" i="215"/>
  <c r="F751" i="268" s="1"/>
  <c r="J8" i="219"/>
  <c r="F809" i="268" s="1"/>
  <c r="J11" i="215"/>
  <c r="F692" i="268" s="1"/>
  <c r="G30" i="215"/>
  <c r="J13" i="263"/>
  <c r="F649" i="268" s="1"/>
  <c r="S11" i="263"/>
  <c r="E13" i="263"/>
  <c r="F644" i="268" s="1"/>
  <c r="E18" i="263"/>
  <c r="F659" i="268" s="1"/>
  <c r="G25" i="263"/>
  <c r="F668" i="268" s="1"/>
  <c r="F658" i="268"/>
  <c r="G18" i="263"/>
  <c r="F661" i="268" s="1"/>
  <c r="S15" i="262"/>
  <c r="L17" i="262"/>
  <c r="F599" i="268" s="1"/>
  <c r="S11" i="262"/>
  <c r="J12" i="262"/>
  <c r="F577" i="268" s="1"/>
  <c r="G12" i="262"/>
  <c r="F574" i="268" s="1"/>
  <c r="C22" i="262"/>
  <c r="F605" i="268" s="1"/>
  <c r="F590" i="268"/>
  <c r="S20" i="262"/>
  <c r="F602" i="268"/>
  <c r="F579" i="268"/>
  <c r="F576" i="268"/>
  <c r="F557" i="268"/>
  <c r="F595" i="268"/>
  <c r="F593" i="268"/>
  <c r="F22" i="262"/>
  <c r="F608" i="268" s="1"/>
  <c r="F573" i="268"/>
  <c r="E17" i="262"/>
  <c r="F572" i="268"/>
  <c r="D22" i="262"/>
  <c r="F591" i="268"/>
  <c r="F552" i="268"/>
  <c r="G45" i="213"/>
  <c r="F523" i="268" s="1"/>
  <c r="F507" i="268"/>
  <c r="F14" i="217"/>
  <c r="F16" i="217" s="1"/>
  <c r="F802" i="268" s="1"/>
  <c r="F10" i="217"/>
  <c r="F793" i="268" s="1"/>
  <c r="E41" i="213"/>
  <c r="F41" i="213"/>
  <c r="G8" i="217"/>
  <c r="F788" i="268" s="1"/>
  <c r="G14" i="217"/>
  <c r="E30" i="213"/>
  <c r="F458" i="268"/>
  <c r="F30" i="213"/>
  <c r="F459" i="268"/>
  <c r="H24" i="213"/>
  <c r="F453" i="268" s="1"/>
  <c r="G26" i="213"/>
  <c r="E10" i="217"/>
  <c r="E10" i="219"/>
  <c r="H14" i="213"/>
  <c r="F426" i="268" s="1"/>
  <c r="F423" i="268"/>
  <c r="F424" i="268"/>
  <c r="E53" i="213"/>
  <c r="L29" i="212"/>
  <c r="F398" i="268" s="1"/>
  <c r="I22" i="212"/>
  <c r="F363" i="268" s="1"/>
  <c r="L20" i="212"/>
  <c r="F358" i="268" s="1"/>
  <c r="J22" i="212"/>
  <c r="F364" i="268" s="1"/>
  <c r="F367" i="268"/>
  <c r="E22" i="212"/>
  <c r="F359" i="268"/>
  <c r="L22" i="212"/>
  <c r="F366" i="268" s="1"/>
  <c r="F315" i="268"/>
  <c r="F311" i="268"/>
  <c r="F155" i="268"/>
  <c r="F102" i="268"/>
  <c r="I21" i="210"/>
  <c r="I23" i="210" s="1"/>
  <c r="I39" i="210" s="1"/>
  <c r="F12" i="209"/>
  <c r="F13" i="268"/>
  <c r="E12" i="209"/>
  <c r="L10" i="209"/>
  <c r="F20" i="268" s="1"/>
  <c r="F30" i="268"/>
  <c r="F19" i="209"/>
  <c r="F48" i="268" s="1"/>
  <c r="F35" i="211"/>
  <c r="F254" i="268" s="1"/>
  <c r="F245" i="268"/>
  <c r="E30" i="211"/>
  <c r="G15" i="211"/>
  <c r="F216" i="268" s="1"/>
  <c r="F214" i="268"/>
  <c r="F411" i="299"/>
  <c r="U25" i="206"/>
  <c r="T25" i="206"/>
  <c r="F410" i="299"/>
  <c r="S25" i="206"/>
  <c r="F409" i="299"/>
  <c r="H26" i="206"/>
  <c r="F26" i="206"/>
  <c r="J27" i="205"/>
  <c r="F356" i="299" s="1"/>
  <c r="F340" i="299"/>
  <c r="J26" i="205"/>
  <c r="F351" i="299" s="1"/>
  <c r="J12" i="205"/>
  <c r="F291" i="299" s="1"/>
  <c r="E11" i="206"/>
  <c r="I10" i="206"/>
  <c r="J45" i="204"/>
  <c r="F259" i="299" s="1"/>
  <c r="F258" i="299"/>
  <c r="F253" i="299"/>
  <c r="F257" i="299"/>
  <c r="J36" i="204"/>
  <c r="F214" i="299" s="1"/>
  <c r="Q25" i="204"/>
  <c r="J27" i="204"/>
  <c r="F184" i="299" s="1"/>
  <c r="Q27" i="204"/>
  <c r="J10" i="204"/>
  <c r="F119" i="299" s="1"/>
  <c r="J28" i="204"/>
  <c r="F189" i="299" s="1"/>
  <c r="I31" i="204"/>
  <c r="F260" i="299"/>
  <c r="F206" i="299"/>
  <c r="F178" i="299"/>
  <c r="F205" i="299"/>
  <c r="J33" i="204"/>
  <c r="F209" i="299" s="1"/>
  <c r="H47" i="204"/>
  <c r="F262" i="299" s="1"/>
  <c r="G47" i="204"/>
  <c r="J26" i="202"/>
  <c r="F85" i="299" s="1"/>
  <c r="F19" i="202"/>
  <c r="J19" i="202" s="1"/>
  <c r="F60" i="299" s="1"/>
  <c r="F88" i="299"/>
  <c r="F79" i="299"/>
  <c r="H21" i="202"/>
  <c r="J13" i="202"/>
  <c r="F33" i="299" s="1"/>
  <c r="I16" i="202"/>
  <c r="F47" i="299" s="1"/>
  <c r="F45" i="299"/>
  <c r="G18" i="202"/>
  <c r="F20" i="299"/>
  <c r="J16" i="202"/>
  <c r="F17" i="205"/>
  <c r="H20" i="205"/>
  <c r="F18" i="202"/>
  <c r="G9" i="205"/>
  <c r="J8" i="202"/>
  <c r="F8" i="299" s="1"/>
  <c r="I11" i="202"/>
  <c r="F1140" i="269"/>
  <c r="P45" i="240"/>
  <c r="F1170" i="269" s="1"/>
  <c r="F1145" i="269"/>
  <c r="F1136" i="269"/>
  <c r="T35" i="240"/>
  <c r="F1111" i="269" s="1"/>
  <c r="T40" i="240"/>
  <c r="F1146" i="269" s="1"/>
  <c r="F1166" i="269"/>
  <c r="J45" i="240"/>
  <c r="F1169" i="269" s="1"/>
  <c r="T41" i="240"/>
  <c r="F1152" i="269"/>
  <c r="AA22" i="240"/>
  <c r="J28" i="240"/>
  <c r="F1098" i="269" s="1"/>
  <c r="F1095" i="269"/>
  <c r="F1089" i="269"/>
  <c r="G24" i="240"/>
  <c r="F1085" i="269" s="1"/>
  <c r="H16" i="240"/>
  <c r="F1076" i="269" s="1"/>
  <c r="E16" i="240"/>
  <c r="G16" i="240" s="1"/>
  <c r="F1075" i="269" s="1"/>
  <c r="F16" i="240"/>
  <c r="F1074" i="269" s="1"/>
  <c r="F1073" i="269"/>
  <c r="F1054" i="269"/>
  <c r="G11" i="240"/>
  <c r="F1055" i="269" s="1"/>
  <c r="V25" i="261"/>
  <c r="V26" i="261"/>
  <c r="V27" i="261"/>
  <c r="S40" i="258"/>
  <c r="S42" i="258"/>
  <c r="S38" i="258"/>
  <c r="AD26" i="253"/>
  <c r="G3695" i="324" s="1"/>
  <c r="X26" i="253"/>
  <c r="G3689" i="324" s="1"/>
  <c r="AK21" i="253"/>
  <c r="AK24" i="253"/>
  <c r="AK20" i="253"/>
  <c r="AK22" i="253"/>
  <c r="AK25" i="253"/>
  <c r="L26" i="253"/>
  <c r="G3678" i="324" s="1"/>
  <c r="R16" i="253"/>
  <c r="G3507" i="324" s="1"/>
  <c r="AK11" i="253"/>
  <c r="AK13" i="253"/>
  <c r="AK14" i="253"/>
  <c r="AK10" i="253"/>
  <c r="AK15" i="253"/>
  <c r="L16" i="253"/>
  <c r="G3502" i="324" s="1"/>
  <c r="CG27" i="251"/>
  <c r="E22" i="250" s="1"/>
  <c r="E25" i="250" s="1"/>
  <c r="F11" i="272" s="1"/>
  <c r="CG25" i="251"/>
  <c r="E20" i="250" s="1"/>
  <c r="CN11" i="251"/>
  <c r="C1" i="273"/>
  <c r="C1" i="299"/>
  <c r="C1" i="271"/>
  <c r="C1" i="268"/>
  <c r="C1" i="272"/>
  <c r="C1" i="269"/>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M48" i="305" l="1"/>
  <c r="F595" i="299" s="1"/>
  <c r="F567" i="299"/>
  <c r="L13" i="305"/>
  <c r="O17" i="305"/>
  <c r="F441" i="299" s="1"/>
  <c r="O24" i="305"/>
  <c r="F568" i="299"/>
  <c r="N48" i="305"/>
  <c r="F596" i="299" s="1"/>
  <c r="P36" i="305"/>
  <c r="F488" i="299"/>
  <c r="F561" i="299"/>
  <c r="G48" i="305"/>
  <c r="F589" i="299" s="1"/>
  <c r="F482" i="299"/>
  <c r="J36" i="305"/>
  <c r="I17" i="305"/>
  <c r="F437" i="299" s="1"/>
  <c r="F13" i="305"/>
  <c r="I24" i="305"/>
  <c r="F562" i="299"/>
  <c r="H48" i="305"/>
  <c r="F590" i="299" s="1"/>
  <c r="E3936" i="322"/>
  <c r="C68" i="315"/>
  <c r="N68" i="315" s="1"/>
  <c r="G4139" i="324"/>
  <c r="N56" i="315"/>
  <c r="E3937" i="322"/>
  <c r="G3937" i="322"/>
  <c r="E56" i="315"/>
  <c r="G4141" i="324" s="1"/>
  <c r="F206" i="273"/>
  <c r="K51" i="257"/>
  <c r="F212" i="273" s="1"/>
  <c r="L35" i="257"/>
  <c r="F142" i="273" s="1"/>
  <c r="N18" i="281"/>
  <c r="F1713" i="269" s="1"/>
  <c r="N21" i="281"/>
  <c r="F1701" i="269"/>
  <c r="I19" i="281"/>
  <c r="F1717" i="269" s="1"/>
  <c r="F1703" i="269"/>
  <c r="K19" i="281"/>
  <c r="F1719" i="269" s="1"/>
  <c r="J21" i="281"/>
  <c r="J18" i="281"/>
  <c r="F1710" i="269" s="1"/>
  <c r="F1694" i="269"/>
  <c r="L19" i="281"/>
  <c r="F1720" i="269" s="1"/>
  <c r="F1704" i="269"/>
  <c r="F1693" i="269"/>
  <c r="I21" i="281"/>
  <c r="I18" i="281"/>
  <c r="F1709" i="269" s="1"/>
  <c r="F1696" i="269"/>
  <c r="L18" i="281"/>
  <c r="F1712" i="269" s="1"/>
  <c r="L21" i="281"/>
  <c r="K21" i="281"/>
  <c r="N24" i="280"/>
  <c r="F1624" i="269" s="1"/>
  <c r="F1699" i="269"/>
  <c r="F19" i="281"/>
  <c r="F1715" i="269" s="1"/>
  <c r="F21" i="281"/>
  <c r="F1691" i="269"/>
  <c r="F18" i="281"/>
  <c r="F1707" i="269" s="1"/>
  <c r="E18" i="281"/>
  <c r="F1706" i="269" s="1"/>
  <c r="F1690" i="269"/>
  <c r="E21" i="281"/>
  <c r="F1692" i="269"/>
  <c r="G21" i="281"/>
  <c r="G18" i="281"/>
  <c r="F1708" i="269" s="1"/>
  <c r="F1351" i="269"/>
  <c r="Q24" i="279"/>
  <c r="F1363" i="269" s="1"/>
  <c r="K24" i="279"/>
  <c r="F1357" i="269" s="1"/>
  <c r="G3117" i="324"/>
  <c r="H24" i="238"/>
  <c r="G3119" i="324" s="1"/>
  <c r="W34" i="235"/>
  <c r="G2150" i="324" s="1"/>
  <c r="N96" i="235"/>
  <c r="G3038" i="324" s="1"/>
  <c r="F478" i="269"/>
  <c r="G3030" i="324"/>
  <c r="E12" i="227"/>
  <c r="F424" i="269" s="1"/>
  <c r="H30" i="210"/>
  <c r="F143" i="268" s="1"/>
  <c r="F430" i="269"/>
  <c r="H19" i="210"/>
  <c r="F106" i="268" s="1"/>
  <c r="F475" i="269"/>
  <c r="I14" i="227"/>
  <c r="F446" i="269" s="1"/>
  <c r="L56" i="235"/>
  <c r="G2478" i="324" s="1"/>
  <c r="L12" i="227"/>
  <c r="F431" i="269" s="1"/>
  <c r="K56" i="235"/>
  <c r="G2477" i="324" s="1"/>
  <c r="N34" i="235"/>
  <c r="G2141" i="324" s="1"/>
  <c r="J23" i="227"/>
  <c r="M23" i="227" s="1"/>
  <c r="F479" i="269" s="1"/>
  <c r="F25" i="227"/>
  <c r="F490" i="269" s="1"/>
  <c r="F429" i="269"/>
  <c r="G14" i="227"/>
  <c r="F444" i="269" s="1"/>
  <c r="G19" i="210"/>
  <c r="F105" i="268" s="1"/>
  <c r="G25" i="227"/>
  <c r="F491" i="269" s="1"/>
  <c r="F473" i="269"/>
  <c r="H25" i="227"/>
  <c r="F492" i="269" s="1"/>
  <c r="G2472" i="324"/>
  <c r="E14" i="227"/>
  <c r="F442" i="269" s="1"/>
  <c r="G30" i="210"/>
  <c r="F142" i="268" s="1"/>
  <c r="M21" i="227"/>
  <c r="F461" i="269" s="1"/>
  <c r="F425" i="269"/>
  <c r="F14" i="227"/>
  <c r="H12" i="227"/>
  <c r="F427" i="269" s="1"/>
  <c r="N101" i="235"/>
  <c r="G3068" i="324" s="1"/>
  <c r="M10" i="227"/>
  <c r="F414" i="269" s="1"/>
  <c r="F10" i="226"/>
  <c r="I130" i="234"/>
  <c r="G1833" i="324" s="1"/>
  <c r="H21" i="226"/>
  <c r="H23" i="226" s="1"/>
  <c r="F332" i="269" s="1"/>
  <c r="K129" i="234"/>
  <c r="G1829" i="324" s="1"/>
  <c r="AA106" i="234"/>
  <c r="I12" i="226"/>
  <c r="F301" i="269" s="1"/>
  <c r="I125" i="234"/>
  <c r="G1812" i="324" s="1"/>
  <c r="K108" i="234"/>
  <c r="G1673" i="324" s="1"/>
  <c r="K128" i="234"/>
  <c r="G1823" i="324" s="1"/>
  <c r="G1822" i="324"/>
  <c r="I21" i="226"/>
  <c r="I23" i="226" s="1"/>
  <c r="F333" i="269" s="1"/>
  <c r="E23" i="226"/>
  <c r="F329" i="269" s="1"/>
  <c r="G25" i="226"/>
  <c r="F343" i="269" s="1"/>
  <c r="G1541" i="324"/>
  <c r="H125" i="234"/>
  <c r="G1811" i="324" s="1"/>
  <c r="F21" i="226"/>
  <c r="F23" i="226" s="1"/>
  <c r="F25" i="226" s="1"/>
  <c r="F342" i="269" s="1"/>
  <c r="G130" i="234"/>
  <c r="G1831" i="324" s="1"/>
  <c r="G1819" i="324"/>
  <c r="G1442" i="324"/>
  <c r="K125" i="234"/>
  <c r="G1814" i="324" s="1"/>
  <c r="K49" i="234"/>
  <c r="G1372" i="324" s="1"/>
  <c r="G1368" i="324"/>
  <c r="F300" i="269"/>
  <c r="H14" i="226"/>
  <c r="F312" i="269" s="1"/>
  <c r="G12" i="226"/>
  <c r="G14" i="226" s="1"/>
  <c r="F311" i="269" s="1"/>
  <c r="F19" i="210"/>
  <c r="F104" i="268" s="1"/>
  <c r="K28" i="234"/>
  <c r="G1201" i="324" s="1"/>
  <c r="F12" i="226"/>
  <c r="E25" i="226"/>
  <c r="F341" i="269" s="1"/>
  <c r="J10" i="226"/>
  <c r="F290" i="269" s="1"/>
  <c r="F137" i="268"/>
  <c r="E25" i="227"/>
  <c r="F489" i="269" s="1"/>
  <c r="H32" i="210"/>
  <c r="F138" i="268"/>
  <c r="F477" i="269"/>
  <c r="K25" i="227"/>
  <c r="M9" i="227"/>
  <c r="F413" i="269" s="1"/>
  <c r="E34" i="210"/>
  <c r="F162" i="268" s="1"/>
  <c r="F151" i="268"/>
  <c r="G12" i="209"/>
  <c r="G19" i="209" s="1"/>
  <c r="F49" i="268" s="1"/>
  <c r="F98" i="268"/>
  <c r="J16" i="210"/>
  <c r="F103" i="268" s="1"/>
  <c r="F114" i="268"/>
  <c r="J9" i="226"/>
  <c r="F289" i="269" s="1"/>
  <c r="E12" i="226"/>
  <c r="F125" i="268"/>
  <c r="G228" i="231"/>
  <c r="G1049" i="324" s="1"/>
  <c r="G183" i="231"/>
  <c r="G839" i="324" s="1"/>
  <c r="G138" i="231"/>
  <c r="G629" i="324" s="1"/>
  <c r="G93" i="231"/>
  <c r="G419" i="324" s="1"/>
  <c r="G207" i="324"/>
  <c r="F249" i="269"/>
  <c r="J41" i="225"/>
  <c r="J43" i="225" s="1"/>
  <c r="F56" i="269"/>
  <c r="G16" i="225"/>
  <c r="F113" i="269"/>
  <c r="N38" i="225"/>
  <c r="N21" i="225"/>
  <c r="F133" i="269" s="1"/>
  <c r="F60" i="269"/>
  <c r="K16" i="225"/>
  <c r="F22" i="225"/>
  <c r="F135" i="269" s="1"/>
  <c r="F115" i="269"/>
  <c r="J22" i="225"/>
  <c r="F139" i="269" s="1"/>
  <c r="F119" i="269"/>
  <c r="F105" i="269"/>
  <c r="F38" i="225"/>
  <c r="F21" i="225"/>
  <c r="F125" i="269" s="1"/>
  <c r="M38" i="225"/>
  <c r="F112" i="269"/>
  <c r="F81" i="269"/>
  <c r="L20" i="225"/>
  <c r="H16" i="225"/>
  <c r="F57" i="269"/>
  <c r="F78" i="269"/>
  <c r="I20" i="225"/>
  <c r="E19" i="225"/>
  <c r="E20" i="225"/>
  <c r="F74" i="269"/>
  <c r="Y312" i="293"/>
  <c r="Y620" i="293" s="1"/>
  <c r="C631" i="293" s="1"/>
  <c r="C638" i="293"/>
  <c r="C636" i="293"/>
  <c r="C639" i="293"/>
  <c r="X312" i="293"/>
  <c r="Q620" i="293"/>
  <c r="C640" i="293" s="1"/>
  <c r="X620" i="293"/>
  <c r="C630" i="293" s="1"/>
  <c r="G15" i="217"/>
  <c r="F800" i="268" s="1"/>
  <c r="G16" i="217"/>
  <c r="F803" i="268" s="1"/>
  <c r="L7" i="209"/>
  <c r="F4" i="268" s="1"/>
  <c r="F752" i="268"/>
  <c r="G46" i="215"/>
  <c r="F769" i="268" s="1"/>
  <c r="F606" i="268"/>
  <c r="D29" i="262"/>
  <c r="F611" i="268" s="1"/>
  <c r="G22" i="262"/>
  <c r="F609" i="268" s="1"/>
  <c r="E22" i="262"/>
  <c r="F607" i="268" s="1"/>
  <c r="F594" i="268"/>
  <c r="F592" i="268"/>
  <c r="F45" i="213"/>
  <c r="F506" i="268"/>
  <c r="E45" i="213"/>
  <c r="F505" i="268"/>
  <c r="H41" i="213"/>
  <c r="G30" i="213"/>
  <c r="F476" i="268" s="1"/>
  <c r="F460" i="268"/>
  <c r="F53" i="213"/>
  <c r="F55" i="213" s="1"/>
  <c r="F538" i="268" s="1"/>
  <c r="F475" i="268"/>
  <c r="H26" i="213"/>
  <c r="G10" i="217"/>
  <c r="F794" i="268" s="1"/>
  <c r="F792" i="268"/>
  <c r="H30" i="213"/>
  <c r="F477" i="268" s="1"/>
  <c r="F474" i="268"/>
  <c r="E55" i="213"/>
  <c r="E21" i="219"/>
  <c r="F813" i="268"/>
  <c r="F118" i="268"/>
  <c r="F129" i="268"/>
  <c r="K12" i="209"/>
  <c r="F35" i="268" s="1"/>
  <c r="I44" i="210"/>
  <c r="F193" i="268" s="1"/>
  <c r="F177" i="268"/>
  <c r="F244" i="268"/>
  <c r="E35" i="211"/>
  <c r="G30" i="211"/>
  <c r="F246" i="268" s="1"/>
  <c r="F29" i="268"/>
  <c r="E19" i="209"/>
  <c r="F47" i="268" s="1"/>
  <c r="F414" i="299"/>
  <c r="S26" i="206"/>
  <c r="F416" i="299"/>
  <c r="U26" i="206"/>
  <c r="E26" i="206"/>
  <c r="E25" i="206"/>
  <c r="I11" i="206"/>
  <c r="F203" i="299"/>
  <c r="J31" i="204"/>
  <c r="F204" i="299" s="1"/>
  <c r="I47" i="204"/>
  <c r="F261" i="299"/>
  <c r="F68" i="299"/>
  <c r="H8" i="203"/>
  <c r="H11" i="203" s="1"/>
  <c r="F107" i="299" s="1"/>
  <c r="H29" i="205"/>
  <c r="F329" i="299"/>
  <c r="F312" i="299"/>
  <c r="F20" i="205"/>
  <c r="F22" i="299"/>
  <c r="J11" i="202"/>
  <c r="F23" i="299" s="1"/>
  <c r="G21" i="202"/>
  <c r="F55" i="299"/>
  <c r="I18" i="202"/>
  <c r="F57" i="299" s="1"/>
  <c r="E25" i="230"/>
  <c r="F612" i="269" s="1"/>
  <c r="F48" i="299"/>
  <c r="I9" i="205"/>
  <c r="J9" i="205" s="1"/>
  <c r="G17" i="205"/>
  <c r="F54" i="299"/>
  <c r="F21" i="202"/>
  <c r="F1159" i="269"/>
  <c r="T44" i="240"/>
  <c r="G28" i="240"/>
  <c r="F1097" i="269" s="1"/>
  <c r="E3939" i="322"/>
  <c r="E57" i="315"/>
  <c r="G4144" i="324" s="1"/>
  <c r="E3957" i="322"/>
  <c r="E3958" i="322"/>
  <c r="P64" i="315"/>
  <c r="G4140" i="324"/>
  <c r="G4142" i="324"/>
  <c r="G3938" i="322"/>
  <c r="G4160" i="324"/>
  <c r="N57" i="315"/>
  <c r="E3940" i="322"/>
  <c r="E3959" i="322"/>
  <c r="C69" i="315"/>
  <c r="G3936" i="322"/>
  <c r="O56" i="315"/>
  <c r="E68" i="315"/>
  <c r="G4162" i="324" s="1"/>
  <c r="G3958" i="322"/>
  <c r="G4161" i="324"/>
  <c r="G3959" i="322"/>
  <c r="O68" i="315"/>
  <c r="L68" i="315" s="1"/>
  <c r="G3941" i="322"/>
  <c r="G4143" i="324"/>
  <c r="G3939" i="322"/>
  <c r="D69" i="315"/>
  <c r="G3940" i="322"/>
  <c r="O57" i="315"/>
  <c r="L57" i="315" s="1"/>
  <c r="I36" i="305" l="1"/>
  <c r="F481" i="299"/>
  <c r="F428" i="299"/>
  <c r="F17" i="305"/>
  <c r="F435" i="299" s="1"/>
  <c r="P42" i="305"/>
  <c r="F544" i="299"/>
  <c r="F538" i="299"/>
  <c r="J42" i="305"/>
  <c r="O36" i="305"/>
  <c r="F487" i="299"/>
  <c r="L24" i="305"/>
  <c r="F432" i="299"/>
  <c r="L17" i="305"/>
  <c r="F439" i="299" s="1"/>
  <c r="L56" i="315"/>
  <c r="F1729" i="269"/>
  <c r="N23" i="281"/>
  <c r="F1727" i="269"/>
  <c r="K23" i="281"/>
  <c r="F1728" i="269"/>
  <c r="L23" i="281"/>
  <c r="F1726" i="269"/>
  <c r="J23" i="281"/>
  <c r="F1725" i="269"/>
  <c r="I23" i="281"/>
  <c r="F1741" i="269" s="1"/>
  <c r="E23" i="281"/>
  <c r="F1738" i="269" s="1"/>
  <c r="F1722" i="269"/>
  <c r="F1723" i="269"/>
  <c r="F23" i="281"/>
  <c r="F1739" i="269" s="1"/>
  <c r="F1724" i="269"/>
  <c r="G23" i="281"/>
  <c r="F1740" i="269" s="1"/>
  <c r="H21" i="210"/>
  <c r="N56" i="235"/>
  <c r="G2480" i="324" s="1"/>
  <c r="I30" i="227"/>
  <c r="F511" i="269" s="1"/>
  <c r="G21" i="210"/>
  <c r="G23" i="210" s="1"/>
  <c r="I12" i="209" s="1"/>
  <c r="L14" i="227"/>
  <c r="L30" i="227" s="1"/>
  <c r="E30" i="227"/>
  <c r="F507" i="269" s="1"/>
  <c r="F476" i="269"/>
  <c r="J25" i="227"/>
  <c r="M25" i="227" s="1"/>
  <c r="F497" i="269" s="1"/>
  <c r="G30" i="227"/>
  <c r="F509" i="269" s="1"/>
  <c r="H14" i="227"/>
  <c r="M12" i="227"/>
  <c r="F432" i="269" s="1"/>
  <c r="G32" i="210"/>
  <c r="F153" i="268" s="1"/>
  <c r="F443" i="269"/>
  <c r="F30" i="227"/>
  <c r="I25" i="226"/>
  <c r="F345" i="269" s="1"/>
  <c r="I14" i="226"/>
  <c r="H25" i="226"/>
  <c r="F344" i="269" s="1"/>
  <c r="J23" i="226"/>
  <c r="F334" i="269" s="1"/>
  <c r="J21" i="226"/>
  <c r="F322" i="269" s="1"/>
  <c r="K130" i="234"/>
  <c r="G1835" i="324" s="1"/>
  <c r="F30" i="210"/>
  <c r="F141" i="268" s="1"/>
  <c r="F330" i="269"/>
  <c r="F299" i="269"/>
  <c r="G11" i="209"/>
  <c r="F23" i="268" s="1"/>
  <c r="F313" i="269"/>
  <c r="F21" i="210"/>
  <c r="J19" i="210"/>
  <c r="F108" i="268" s="1"/>
  <c r="H30" i="226"/>
  <c r="H35" i="226" s="1"/>
  <c r="F374" i="269" s="1"/>
  <c r="G30" i="226"/>
  <c r="G35" i="226" s="1"/>
  <c r="F373" i="269" s="1"/>
  <c r="E39" i="210"/>
  <c r="F173" i="268" s="1"/>
  <c r="F298" i="269"/>
  <c r="F14" i="226"/>
  <c r="J30" i="210"/>
  <c r="F145" i="268" s="1"/>
  <c r="F495" i="269"/>
  <c r="K30" i="227"/>
  <c r="F154" i="268"/>
  <c r="H34" i="210"/>
  <c r="F165" i="268" s="1"/>
  <c r="F31" i="268"/>
  <c r="F297" i="269"/>
  <c r="J12" i="226"/>
  <c r="F302" i="269" s="1"/>
  <c r="E14" i="226"/>
  <c r="F245" i="269"/>
  <c r="F41" i="225"/>
  <c r="F43" i="225" s="1"/>
  <c r="F265" i="269" s="1"/>
  <c r="H19" i="225"/>
  <c r="H20" i="225"/>
  <c r="F117" i="269" s="1"/>
  <c r="H22" i="225"/>
  <c r="F137" i="269" s="1"/>
  <c r="F77" i="269"/>
  <c r="H21" i="225"/>
  <c r="F127" i="269" s="1"/>
  <c r="F253" i="269"/>
  <c r="N41" i="225"/>
  <c r="N43" i="225" s="1"/>
  <c r="F121" i="269"/>
  <c r="L22" i="225"/>
  <c r="F141" i="269" s="1"/>
  <c r="F114" i="269"/>
  <c r="E22" i="225"/>
  <c r="F134" i="269" s="1"/>
  <c r="G20" i="225"/>
  <c r="F76" i="269"/>
  <c r="E21" i="225"/>
  <c r="F124" i="269" s="1"/>
  <c r="F104" i="269"/>
  <c r="E38" i="225"/>
  <c r="L21" i="225"/>
  <c r="F131" i="269" s="1"/>
  <c r="F111" i="269"/>
  <c r="L38" i="225"/>
  <c r="I38" i="225"/>
  <c r="F108" i="269"/>
  <c r="I21" i="225"/>
  <c r="F128" i="269" s="1"/>
  <c r="F269" i="269"/>
  <c r="F118" i="269"/>
  <c r="I22" i="225"/>
  <c r="F138" i="269" s="1"/>
  <c r="M41" i="225"/>
  <c r="M43" i="225" s="1"/>
  <c r="F252" i="269"/>
  <c r="K19" i="225"/>
  <c r="F80" i="269"/>
  <c r="K20" i="225"/>
  <c r="G9" i="219"/>
  <c r="G10" i="219" s="1"/>
  <c r="F508" i="268"/>
  <c r="H45" i="213"/>
  <c r="F524" i="268" s="1"/>
  <c r="F521" i="268"/>
  <c r="F522" i="268"/>
  <c r="G53" i="213"/>
  <c r="F9" i="219"/>
  <c r="F461" i="268"/>
  <c r="E22" i="219"/>
  <c r="F537" i="268"/>
  <c r="K19" i="209"/>
  <c r="F53" i="268" s="1"/>
  <c r="K11" i="209"/>
  <c r="F27" i="268" s="1"/>
  <c r="G35" i="211"/>
  <c r="F255" i="268" s="1"/>
  <c r="F253" i="268"/>
  <c r="F392" i="299"/>
  <c r="I26" i="206"/>
  <c r="F417" i="299" s="1"/>
  <c r="E32" i="230"/>
  <c r="F617" i="269" s="1"/>
  <c r="E31" i="230"/>
  <c r="F616" i="269" s="1"/>
  <c r="I25" i="206"/>
  <c r="F412" i="299" s="1"/>
  <c r="I14" i="206"/>
  <c r="E30" i="230"/>
  <c r="F615" i="269" s="1"/>
  <c r="F408" i="299"/>
  <c r="R25" i="206"/>
  <c r="P25" i="206" s="1"/>
  <c r="F413" i="299"/>
  <c r="R26" i="206"/>
  <c r="P26" i="206" s="1"/>
  <c r="F263" i="299"/>
  <c r="J47" i="204"/>
  <c r="F264" i="299" s="1"/>
  <c r="F8" i="203"/>
  <c r="F66" i="299"/>
  <c r="I21" i="202"/>
  <c r="F69" i="299" s="1"/>
  <c r="G8" i="203"/>
  <c r="F67" i="299"/>
  <c r="G20" i="205"/>
  <c r="F313" i="299"/>
  <c r="I17" i="205"/>
  <c r="F327" i="299"/>
  <c r="F29" i="205"/>
  <c r="J18" i="202"/>
  <c r="F58" i="299" s="1"/>
  <c r="F359" i="299"/>
  <c r="H37" i="205"/>
  <c r="F384" i="299" s="1"/>
  <c r="F1168" i="269"/>
  <c r="T45" i="240"/>
  <c r="F1171" i="269" s="1"/>
  <c r="E3962" i="322"/>
  <c r="E3961" i="322"/>
  <c r="E3960" i="322"/>
  <c r="G4163" i="324"/>
  <c r="N69" i="315"/>
  <c r="G3960" i="322"/>
  <c r="G4164" i="324"/>
  <c r="G3961" i="322"/>
  <c r="O69" i="315"/>
  <c r="E69" i="315"/>
  <c r="G4165" i="324" s="1"/>
  <c r="G3962" i="322"/>
  <c r="O42" i="305" l="1"/>
  <c r="F543" i="299"/>
  <c r="P48" i="305"/>
  <c r="F598" i="299" s="1"/>
  <c r="F570" i="299"/>
  <c r="F24" i="305"/>
  <c r="F537" i="299"/>
  <c r="I42" i="305"/>
  <c r="F484" i="299"/>
  <c r="L36" i="305"/>
  <c r="J48" i="305"/>
  <c r="F592" i="299" s="1"/>
  <c r="F564" i="299"/>
  <c r="N45" i="225"/>
  <c r="N47" i="225" s="1"/>
  <c r="F288" i="269" s="1"/>
  <c r="F1745" i="269"/>
  <c r="F1743" i="269"/>
  <c r="K45" i="225"/>
  <c r="J45" i="225"/>
  <c r="J47" i="225" s="1"/>
  <c r="F284" i="269" s="1"/>
  <c r="F1742" i="269"/>
  <c r="L45" i="225"/>
  <c r="F1744" i="269"/>
  <c r="F449" i="269"/>
  <c r="H23" i="210"/>
  <c r="H39" i="210" s="1"/>
  <c r="H44" i="210" s="1"/>
  <c r="F192" i="268" s="1"/>
  <c r="F117" i="268"/>
  <c r="G35" i="227"/>
  <c r="F536" i="269" s="1"/>
  <c r="I35" i="227"/>
  <c r="F538" i="269" s="1"/>
  <c r="E35" i="227"/>
  <c r="F534" i="269" s="1"/>
  <c r="M14" i="227"/>
  <c r="F450" i="269" s="1"/>
  <c r="F127" i="268"/>
  <c r="F116" i="268"/>
  <c r="F494" i="269"/>
  <c r="J30" i="227"/>
  <c r="G34" i="210"/>
  <c r="F164" i="268" s="1"/>
  <c r="F445" i="269"/>
  <c r="H30" i="227"/>
  <c r="F514" i="269"/>
  <c r="L35" i="227"/>
  <c r="F541" i="269" s="1"/>
  <c r="F508" i="269"/>
  <c r="F35" i="227"/>
  <c r="F535" i="269" s="1"/>
  <c r="I30" i="226"/>
  <c r="F357" i="269" s="1"/>
  <c r="J25" i="226"/>
  <c r="F346" i="269" s="1"/>
  <c r="F32" i="210"/>
  <c r="F34" i="210" s="1"/>
  <c r="F356" i="269"/>
  <c r="F355" i="269"/>
  <c r="F115" i="268"/>
  <c r="F23" i="210"/>
  <c r="J21" i="210"/>
  <c r="F119" i="268" s="1"/>
  <c r="E44" i="210"/>
  <c r="F189" i="268" s="1"/>
  <c r="F310" i="269"/>
  <c r="F30" i="226"/>
  <c r="K35" i="227"/>
  <c r="F540" i="269" s="1"/>
  <c r="F513" i="269"/>
  <c r="F33" i="268"/>
  <c r="I11" i="209"/>
  <c r="F25" i="268" s="1"/>
  <c r="I19" i="209"/>
  <c r="F51" i="268" s="1"/>
  <c r="E30" i="226"/>
  <c r="F309" i="269"/>
  <c r="J14" i="226"/>
  <c r="F314" i="269" s="1"/>
  <c r="F106" i="269"/>
  <c r="G38" i="225"/>
  <c r="G21" i="225"/>
  <c r="F126" i="269" s="1"/>
  <c r="I41" i="225"/>
  <c r="I43" i="225" s="1"/>
  <c r="F268" i="269" s="1"/>
  <c r="F248" i="269"/>
  <c r="F110" i="269"/>
  <c r="K21" i="225"/>
  <c r="F130" i="269" s="1"/>
  <c r="K38" i="225"/>
  <c r="F251" i="269"/>
  <c r="L41" i="225"/>
  <c r="L43" i="225" s="1"/>
  <c r="F272" i="269"/>
  <c r="M47" i="225"/>
  <c r="F287" i="269" s="1"/>
  <c r="F244" i="269"/>
  <c r="E41" i="225"/>
  <c r="E43" i="225" s="1"/>
  <c r="F264" i="269" s="1"/>
  <c r="H38" i="225"/>
  <c r="F107" i="269"/>
  <c r="G22" i="225"/>
  <c r="F136" i="269" s="1"/>
  <c r="F116" i="269"/>
  <c r="F120" i="269"/>
  <c r="K22" i="225"/>
  <c r="F140" i="269" s="1"/>
  <c r="F273" i="269"/>
  <c r="G55" i="213"/>
  <c r="H53" i="213"/>
  <c r="F532" i="268" s="1"/>
  <c r="G21" i="219"/>
  <c r="G22" i="219" s="1"/>
  <c r="F851" i="268" s="1"/>
  <c r="F815" i="268"/>
  <c r="F10" i="219"/>
  <c r="J9" i="219"/>
  <c r="F812" i="268" s="1"/>
  <c r="F849" i="268"/>
  <c r="F395" i="299"/>
  <c r="E8" i="230"/>
  <c r="I17" i="206"/>
  <c r="F396" i="299" s="1"/>
  <c r="G11" i="203"/>
  <c r="I8" i="203"/>
  <c r="J21" i="202"/>
  <c r="G29" i="205"/>
  <c r="F328" i="299"/>
  <c r="I20" i="205"/>
  <c r="F37" i="205"/>
  <c r="F357" i="299"/>
  <c r="F315" i="299"/>
  <c r="J17" i="205"/>
  <c r="F316" i="299" s="1"/>
  <c r="J8" i="203"/>
  <c r="F11" i="203"/>
  <c r="L69" i="315"/>
  <c r="O48" i="305" l="1"/>
  <c r="F597" i="299" s="1"/>
  <c r="F569" i="299"/>
  <c r="F478" i="299"/>
  <c r="F36" i="305"/>
  <c r="L42" i="305"/>
  <c r="F12" i="230"/>
  <c r="F540" i="299"/>
  <c r="I48" i="305"/>
  <c r="F591" i="299" s="1"/>
  <c r="F563" i="299"/>
  <c r="J12" i="209"/>
  <c r="F128" i="268"/>
  <c r="F176" i="268"/>
  <c r="M30" i="227"/>
  <c r="F515" i="269" s="1"/>
  <c r="J35" i="227"/>
  <c r="F539" i="269" s="1"/>
  <c r="F512" i="269"/>
  <c r="G39" i="210"/>
  <c r="G44" i="210" s="1"/>
  <c r="F191" i="268" s="1"/>
  <c r="F510" i="269"/>
  <c r="H35" i="227"/>
  <c r="F537" i="269" s="1"/>
  <c r="F152" i="268"/>
  <c r="J32" i="210"/>
  <c r="F156" i="268" s="1"/>
  <c r="I35" i="226"/>
  <c r="F375" i="269" s="1"/>
  <c r="J23" i="210"/>
  <c r="F130" i="268" s="1"/>
  <c r="H12" i="209"/>
  <c r="F126" i="268"/>
  <c r="F354" i="269"/>
  <c r="F35" i="226"/>
  <c r="F372" i="269" s="1"/>
  <c r="F163" i="268"/>
  <c r="F39" i="210"/>
  <c r="J34" i="210"/>
  <c r="F167" i="268" s="1"/>
  <c r="E35" i="226"/>
  <c r="F353" i="269"/>
  <c r="J30" i="226"/>
  <c r="F358" i="269" s="1"/>
  <c r="F250" i="269"/>
  <c r="K41" i="225"/>
  <c r="K43" i="225" s="1"/>
  <c r="F247" i="269"/>
  <c r="H41" i="225"/>
  <c r="H43" i="225" s="1"/>
  <c r="F267" i="269" s="1"/>
  <c r="L47" i="225"/>
  <c r="F286" i="269" s="1"/>
  <c r="F271" i="269"/>
  <c r="F246" i="269"/>
  <c r="G41" i="225"/>
  <c r="G43" i="225" s="1"/>
  <c r="F266" i="269" s="1"/>
  <c r="F539" i="268"/>
  <c r="H55" i="213"/>
  <c r="F540" i="268" s="1"/>
  <c r="F21" i="219"/>
  <c r="F814" i="268"/>
  <c r="J10" i="219"/>
  <c r="F816" i="268" s="1"/>
  <c r="E10" i="230"/>
  <c r="F598" i="269" s="1"/>
  <c r="E9" i="230"/>
  <c r="F382" i="299"/>
  <c r="E20" i="230"/>
  <c r="F607" i="269" s="1"/>
  <c r="F70" i="299"/>
  <c r="F330" i="299"/>
  <c r="J20" i="205"/>
  <c r="F105" i="299"/>
  <c r="G37" i="205"/>
  <c r="F358" i="299"/>
  <c r="I29" i="205"/>
  <c r="F106" i="299"/>
  <c r="I11" i="203"/>
  <c r="F108" i="299" s="1"/>
  <c r="L48" i="305" l="1"/>
  <c r="F594" i="299" s="1"/>
  <c r="F566" i="299"/>
  <c r="E12" i="230"/>
  <c r="F42" i="305"/>
  <c r="F534" i="299"/>
  <c r="J19" i="209"/>
  <c r="F52" i="268" s="1"/>
  <c r="F34" i="268"/>
  <c r="J11" i="209"/>
  <c r="F26" i="268" s="1"/>
  <c r="F175" i="268"/>
  <c r="M35" i="227"/>
  <c r="F542" i="269" s="1"/>
  <c r="H11" i="209"/>
  <c r="F32" i="268"/>
  <c r="H19" i="209"/>
  <c r="L12" i="209"/>
  <c r="F36" i="268" s="1"/>
  <c r="J39" i="210"/>
  <c r="F178" i="268" s="1"/>
  <c r="F174" i="268"/>
  <c r="F44" i="210"/>
  <c r="F371" i="269"/>
  <c r="J35" i="226"/>
  <c r="F376" i="269" s="1"/>
  <c r="K47" i="225"/>
  <c r="F285" i="269" s="1"/>
  <c r="F270" i="269"/>
  <c r="F22" i="219"/>
  <c r="J21" i="219"/>
  <c r="F848" i="268" s="1"/>
  <c r="E13" i="230"/>
  <c r="F600" i="269" s="1"/>
  <c r="F597" i="269"/>
  <c r="J11" i="203"/>
  <c r="F109" i="299" s="1"/>
  <c r="E21" i="230"/>
  <c r="F331" i="299"/>
  <c r="F360" i="299"/>
  <c r="J29" i="205"/>
  <c r="F361" i="299" s="1"/>
  <c r="I37" i="205"/>
  <c r="F383" i="299"/>
  <c r="F48" i="305" l="1"/>
  <c r="F588" i="299" s="1"/>
  <c r="F560" i="299"/>
  <c r="F24" i="268"/>
  <c r="L11" i="209"/>
  <c r="F28" i="268" s="1"/>
  <c r="L19" i="209"/>
  <c r="F54" i="268" s="1"/>
  <c r="F50" i="268"/>
  <c r="F190" i="268"/>
  <c r="J44" i="210"/>
  <c r="F194" i="268" s="1"/>
  <c r="F850" i="268"/>
  <c r="J22" i="219"/>
  <c r="F854" i="268" s="1"/>
  <c r="F385" i="299"/>
  <c r="J37" i="205"/>
  <c r="F386" i="299" s="1"/>
  <c r="E26" i="230"/>
  <c r="E24" i="230"/>
  <c r="F611" i="269" s="1"/>
  <c r="F608" i="269"/>
  <c r="F613" i="269" l="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<sst xmlns="http://schemas.openxmlformats.org/spreadsheetml/2006/main" count="65638" uniqueCount="18849">
  <si>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</si>
  <si>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</si>
  <si>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</si>
  <si>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</si>
  <si>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</si>
  <si>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</si>
  <si>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</si>
  <si>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</si>
  <si>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</si>
  <si>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</si>
  <si>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</si>
  <si>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</si>
  <si>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</si>
  <si>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</si>
  <si>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</si>
  <si>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</si>
  <si>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</si>
  <si>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</si>
  <si>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</si>
  <si>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</si>
  <si>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</si>
  <si>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</si>
  <si>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</si>
  <si>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</si>
  <si>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</si>
  <si>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</si>
  <si>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</si>
  <si>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</si>
  <si>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</si>
  <si>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</si>
  <si>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</si>
  <si>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</si>
  <si>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</si>
  <si>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</si>
  <si>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</si>
  <si>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</si>
  <si>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</si>
  <si>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</si>
  <si>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</si>
  <si>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</si>
  <si>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</si>
  <si>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</si>
  <si>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</si>
  <si>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</si>
  <si>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</si>
  <si>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</si>
  <si>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</si>
  <si>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</si>
  <si>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</si>
  <si>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</si>
  <si>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</si>
  <si>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</si>
  <si>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</si>
  <si>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</si>
  <si>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</si>
  <si>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</si>
  <si>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</si>
  <si>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</si>
  <si>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</si>
  <si>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</si>
  <si>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</si>
  <si>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</si>
  <si>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</si>
  <si>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</si>
  <si>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</si>
  <si>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</si>
  <si>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</si>
  <si>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</si>
  <si>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</si>
  <si>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</si>
  <si>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</si>
  <si>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</si>
  <si>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</si>
  <si>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</si>
  <si>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</si>
  <si>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</si>
  <si>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</si>
  <si>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</si>
  <si>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</si>
  <si>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</si>
  <si>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</si>
  <si>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</si>
  <si>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</si>
  <si>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</si>
  <si>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</si>
  <si>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</si>
  <si>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</si>
  <si>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</si>
  <si>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</si>
  <si>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</si>
  <si>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</si>
  <si>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</si>
  <si>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</si>
  <si>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</si>
  <si>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</si>
  <si>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</si>
  <si>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</si>
  <si>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</si>
  <si>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</si>
  <si>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</si>
  <si>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</si>
  <si>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</si>
  <si>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</si>
  <si>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</si>
  <si>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</si>
  <si>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</si>
  <si>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</si>
  <si>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</si>
  <si>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</si>
  <si>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</si>
  <si>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</si>
  <si>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</si>
  <si>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</si>
  <si>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</si>
  <si>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</si>
  <si>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</si>
  <si>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</si>
  <si>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</si>
  <si>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</si>
  <si>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</si>
  <si>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</si>
  <si>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</si>
  <si>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</si>
  <si>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</si>
  <si>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</si>
  <si>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</si>
  <si>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</si>
  <si>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</si>
  <si>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</si>
  <si>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</si>
  <si>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</si>
  <si>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</si>
  <si>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</si>
  <si>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</si>
  <si>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</si>
  <si>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</si>
  <si>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</si>
  <si>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</si>
  <si>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</si>
  <si>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</si>
  <si>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</si>
  <si>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</si>
  <si>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</si>
  <si>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</si>
  <si>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</si>
  <si>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</si>
  <si>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</si>
  <si>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</si>
  <si>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</si>
  <si>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</si>
  <si>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</si>
  <si>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</si>
  <si>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</si>
  <si>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</si>
  <si>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</si>
  <si>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</si>
  <si>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</si>
  <si>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</si>
  <si>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</si>
  <si>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</si>
  <si>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</si>
  <si>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</si>
  <si>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</si>
  <si>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</si>
  <si>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</si>
  <si>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</si>
  <si>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</si>
  <si>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</si>
  <si>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</si>
  <si>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</si>
  <si>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</si>
  <si>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</si>
  <si>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</si>
  <si>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</si>
  <si>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</si>
  <si>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</si>
  <si>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</si>
  <si>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</si>
  <si>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</si>
  <si>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</si>
  <si>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</si>
  <si>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</si>
  <si>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</si>
  <si>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</si>
  <si>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</si>
  <si>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</si>
  <si>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</si>
  <si>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</si>
  <si>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</si>
  <si>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</si>
  <si>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</si>
  <si>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</si>
  <si>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</si>
  <si>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</si>
  <si>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</si>
  <si>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</si>
  <si>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</si>
  <si>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</si>
  <si>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</si>
  <si>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</si>
  <si>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</si>
  <si>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</si>
  <si>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</si>
  <si>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</si>
  <si>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</si>
  <si>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</si>
  <si>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</si>
  <si>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</si>
  <si>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</si>
  <si>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</si>
  <si>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</si>
  <si>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</si>
  <si>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</si>
  <si>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</si>
  <si>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</si>
  <si>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</si>
  <si>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</si>
  <si>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</si>
  <si>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</si>
  <si>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</si>
  <si>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</si>
  <si>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</si>
  <si>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</si>
  <si>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</si>
  <si>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</si>
  <si>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</si>
  <si>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</si>
  <si>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</si>
  <si>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</si>
  <si>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</si>
  <si>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</si>
  <si>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</si>
  <si>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</si>
  <si>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</si>
  <si>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</si>
  <si>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</si>
  <si>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</si>
  <si>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</si>
  <si>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</si>
  <si>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</si>
  <si>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</si>
  <si>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</si>
  <si>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</si>
  <si>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</si>
  <si>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</si>
  <si>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</si>
  <si>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</si>
  <si>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</si>
  <si>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</si>
  <si>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</si>
  <si>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</si>
  <si>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</si>
  <si>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</si>
  <si>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</si>
  <si>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</si>
  <si>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</si>
  <si>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</si>
  <si>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</si>
  <si>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</si>
  <si>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</si>
  <si>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</si>
  <si>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</si>
  <si>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</si>
  <si>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</si>
  <si>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</si>
  <si>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</si>
  <si>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</si>
  <si>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</si>
  <si>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</si>
  <si>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</si>
  <si>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</si>
  <si>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</si>
  <si>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</si>
  <si>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</si>
  <si>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</si>
  <si>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</si>
  <si>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</si>
  <si>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</si>
  <si>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</si>
  <si>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</si>
  <si>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</si>
  <si>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</si>
  <si>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</si>
  <si>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</si>
  <si>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</si>
  <si>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</si>
  <si>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</si>
  <si>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</si>
  <si>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</si>
  <si>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</si>
  <si>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</si>
  <si>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</si>
  <si>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</si>
  <si>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</si>
  <si>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</si>
  <si>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</si>
  <si>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</si>
  <si>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</si>
  <si>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</si>
  <si>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</si>
  <si>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</si>
  <si>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</si>
  <si>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</si>
  <si>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</si>
  <si>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</si>
  <si>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</si>
  <si>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</si>
  <si>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</si>
  <si>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</si>
  <si>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</si>
  <si>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</si>
  <si>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</si>
  <si>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</si>
  <si>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</si>
  <si>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</si>
  <si>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</si>
  <si>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</si>
  <si>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</si>
  <si>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</si>
  <si>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</si>
  <si>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</si>
  <si>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</si>
  <si>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</si>
  <si>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</si>
  <si>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</si>
  <si>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</si>
  <si>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</si>
  <si>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</si>
  <si>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</si>
  <si>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</si>
  <si>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</si>
  <si>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</si>
  <si>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</si>
  <si>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</si>
  <si>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</si>
  <si>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</si>
  <si>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</si>
  <si>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</si>
  <si>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</si>
  <si>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</si>
  <si>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</si>
  <si>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</si>
  <si>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</si>
  <si>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</si>
  <si>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</si>
  <si>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</si>
  <si>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</si>
  <si>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</si>
  <si>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</si>
  <si>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</si>
  <si>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</si>
  <si>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</si>
  <si>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</si>
  <si>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</si>
  <si>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</si>
  <si>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</si>
  <si>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</si>
  <si>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</si>
  <si>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</si>
  <si>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</si>
  <si>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</si>
  <si>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</si>
  <si>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</si>
  <si>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</si>
  <si>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</si>
  <si>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</si>
  <si>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</si>
  <si>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</si>
  <si>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</si>
  <si>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</si>
  <si>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</si>
  <si>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</si>
  <si>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</si>
  <si>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</si>
  <si>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</si>
  <si>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</si>
  <si>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</si>
  <si>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</si>
  <si>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</si>
  <si>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</si>
  <si>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</si>
  <si>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</si>
  <si>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</si>
  <si>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</si>
  <si>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</si>
  <si>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</si>
  <si>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</si>
  <si>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</si>
  <si>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</si>
  <si>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</si>
  <si>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</si>
  <si>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</si>
  <si>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</si>
  <si>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</si>
  <si>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</si>
  <si>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</si>
  <si>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</si>
  <si>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</si>
  <si>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</si>
  <si>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</si>
  <si>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</si>
  <si>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</si>
  <si>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</si>
  <si>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</si>
  <si>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</si>
  <si>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</si>
  <si>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</si>
  <si>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</si>
  <si>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</si>
  <si>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</si>
  <si>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</si>
  <si>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</si>
  <si>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</si>
  <si>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</si>
  <si>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</si>
  <si>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</si>
  <si>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</si>
  <si>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</si>
  <si>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</si>
  <si>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</si>
  <si>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</si>
  <si>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</si>
  <si>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</si>
  <si>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</si>
  <si>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</si>
  <si>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</si>
  <si>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</si>
  <si>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</si>
  <si>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</si>
  <si>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</si>
  <si>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</si>
  <si>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</si>
  <si>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</si>
  <si>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</si>
  <si>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</si>
  <si>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</si>
  <si>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</si>
  <si>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</si>
  <si>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</si>
  <si>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</si>
  <si>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</si>
  <si>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</si>
  <si>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</si>
  <si>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</si>
  <si>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</si>
  <si>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</si>
  <si>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</si>
  <si>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</si>
  <si>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</si>
  <si>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</si>
  <si>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</si>
  <si>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</si>
  <si>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</si>
  <si>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</si>
  <si>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</si>
  <si>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</si>
  <si>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</si>
  <si>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</si>
  <si>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</si>
  <si>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</si>
  <si>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</si>
  <si>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</si>
  <si>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</si>
  <si>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</si>
  <si>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</si>
  <si>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</si>
  <si>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</si>
  <si>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</si>
  <si>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</si>
  <si>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</si>
  <si>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</si>
  <si>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</si>
  <si>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</si>
  <si>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</si>
  <si>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</si>
  <si>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</si>
  <si>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</si>
  <si>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</si>
  <si>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</si>
  <si>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</si>
  <si>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</si>
  <si>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</si>
  <si>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</si>
  <si>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</si>
  <si>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</si>
  <si>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</si>
  <si>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</si>
  <si>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</si>
  <si>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</si>
  <si>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</si>
  <si>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</si>
  <si>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</si>
  <si>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</si>
  <si>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</si>
  <si>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</si>
  <si>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</si>
  <si>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</si>
  <si>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</si>
  <si>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</si>
  <si>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</si>
  <si>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</si>
  <si>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</si>
  <si>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</si>
  <si>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</si>
  <si>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</si>
  <si>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</si>
  <si>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</si>
  <si>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</si>
  <si>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</si>
  <si>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</si>
  <si>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</si>
  <si>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</si>
  <si>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</si>
  <si>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</si>
  <si>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</si>
  <si>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</si>
  <si>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</si>
  <si>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</si>
  <si>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</si>
  <si>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</si>
  <si>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</si>
  <si>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</si>
  <si>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</si>
  <si>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</si>
  <si>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</si>
  <si>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</si>
  <si>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</si>
  <si>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</si>
  <si>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</si>
  <si>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</si>
  <si>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</si>
  <si>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</si>
  <si>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</si>
  <si>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</si>
  <si>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</si>
  <si>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</si>
  <si>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</si>
  <si>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</si>
  <si>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</si>
  <si>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</si>
  <si>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</si>
  <si>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</si>
  <si>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</si>
  <si>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</si>
  <si>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</si>
  <si>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</si>
  <si>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</si>
  <si>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</si>
  <si>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</si>
  <si>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</si>
  <si>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</si>
  <si>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</si>
  <si>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</si>
  <si>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</si>
  <si>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</si>
  <si>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</si>
  <si>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</si>
  <si>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</si>
  <si>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</si>
  <si>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</si>
  <si>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</si>
  <si>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</si>
  <si>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</si>
  <si>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</si>
  <si>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</si>
  <si>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</si>
  <si>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</si>
  <si>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</si>
  <si>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</si>
  <si>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</si>
  <si>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</si>
  <si>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</si>
  <si>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</si>
  <si>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</si>
  <si>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</si>
  <si>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</si>
  <si>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</si>
  <si>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</si>
  <si>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</si>
  <si>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</si>
  <si>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</si>
  <si>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</si>
  <si>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</si>
  <si>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</si>
  <si>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</si>
  <si>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</si>
  <si>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</si>
  <si>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</si>
  <si>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</si>
  <si>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</si>
  <si>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</si>
  <si>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</si>
  <si>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</si>
  <si>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</si>
  <si>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</si>
  <si>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</si>
  <si>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</si>
  <si>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</si>
  <si>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</si>
  <si>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</si>
  <si>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</si>
  <si>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</si>
  <si>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</si>
  <si>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</si>
  <si>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</si>
  <si>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</si>
  <si>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</si>
  <si>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</si>
  <si>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</si>
  <si>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</si>
  <si>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</si>
  <si>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</si>
  <si>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</si>
  <si>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</si>
  <si>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</si>
  <si>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</si>
  <si>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</si>
  <si>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</si>
  <si>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</si>
  <si>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</si>
  <si>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</si>
  <si>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</si>
  <si>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</si>
  <si>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</si>
  <si>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</si>
  <si>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</si>
  <si>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</si>
  <si>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</si>
  <si>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</si>
  <si>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</si>
  <si>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</si>
  <si>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</si>
  <si>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</si>
  <si>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</si>
  <si>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</si>
  <si>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</si>
  <si>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</si>
  <si>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</si>
  <si>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</si>
  <si>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</si>
  <si>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</si>
  <si>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</si>
  <si>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</si>
  <si>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</si>
  <si>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</si>
  <si>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</si>
  <si>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</si>
  <si>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</si>
  <si>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</si>
  <si>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</si>
  <si>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</si>
  <si>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</si>
  <si>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</si>
  <si>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</si>
  <si>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</si>
  <si>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</si>
  <si>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</si>
  <si>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</si>
  <si>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</si>
  <si>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</si>
  <si>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</si>
  <si>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</si>
  <si>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</si>
  <si>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</si>
  <si>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</si>
  <si>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</si>
  <si>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</si>
  <si>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</si>
  <si>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</si>
  <si>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</si>
  <si>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</si>
  <si>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</si>
  <si>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</si>
  <si>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</si>
  <si>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</si>
  <si>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</si>
  <si>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</si>
  <si>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</si>
  <si>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</si>
  <si>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</si>
  <si>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</si>
  <si>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</si>
  <si>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</si>
  <si>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</si>
  <si>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</si>
  <si>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</si>
  <si>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</si>
  <si>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</si>
  <si>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</si>
  <si>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</si>
  <si>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</si>
  <si>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</si>
  <si>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</si>
  <si>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</si>
  <si>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</si>
  <si>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</si>
  <si>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</si>
  <si>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</si>
  <si>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</si>
  <si>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</si>
  <si>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</si>
  <si>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</si>
  <si>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</si>
  <si>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</si>
  <si>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</si>
  <si>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</si>
  <si>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</si>
  <si>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</si>
  <si>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</si>
  <si>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</si>
  <si>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</si>
  <si>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</si>
  <si>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</si>
  <si>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</si>
  <si>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</si>
  <si>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</si>
  <si>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</si>
  <si>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</si>
  <si>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</si>
  <si>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</si>
  <si>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</si>
  <si>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</si>
  <si>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</si>
  <si>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</si>
  <si>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</si>
  <si>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</si>
  <si>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</si>
  <si>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</si>
  <si>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</si>
  <si>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</si>
  <si>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</si>
  <si>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</si>
  <si>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</si>
  <si>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</si>
  <si>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</si>
  <si>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</si>
  <si>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</si>
  <si>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</si>
  <si>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</si>
  <si>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</si>
  <si>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</si>
  <si>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</si>
  <si>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</si>
  <si>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</si>
  <si>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</si>
  <si>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</si>
  <si>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</si>
  <si>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</si>
  <si>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</si>
  <si>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</si>
  <si>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</si>
  <si>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</si>
  <si>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</si>
  <si>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</si>
  <si>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</si>
  <si>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</si>
  <si>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</si>
  <si>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</si>
  <si>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</si>
  <si>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</si>
  <si>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</si>
  <si>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</si>
  <si>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</si>
  <si>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</si>
  <si>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</si>
  <si>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</si>
  <si>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</si>
  <si>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</si>
  <si>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</si>
  <si>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</si>
  <si>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</si>
  <si>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</si>
  <si>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</si>
  <si>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</si>
  <si>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</si>
  <si>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</si>
  <si>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</si>
  <si>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</si>
  <si>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</si>
  <si>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</si>
  <si>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</si>
  <si>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</si>
  <si>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</si>
  <si>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</si>
  <si>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</si>
  <si>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</si>
  <si>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</si>
  <si>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</si>
  <si>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</si>
  <si>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</si>
  <si>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</si>
  <si>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</si>
  <si>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</si>
  <si>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</si>
  <si>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</si>
  <si>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</si>
  <si>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</si>
  <si>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</si>
  <si>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</si>
  <si>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</si>
  <si>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</si>
  <si>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</si>
  <si>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</si>
  <si>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</si>
  <si>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</si>
  <si>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</si>
  <si>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</si>
  <si>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</si>
  <si>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</si>
  <si>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</si>
  <si>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</si>
  <si>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</si>
  <si>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</si>
  <si>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</si>
  <si>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</si>
  <si>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</si>
  <si>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</si>
  <si>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</si>
  <si>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</si>
  <si>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</si>
  <si>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</si>
  <si>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</si>
  <si>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</si>
  <si>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</si>
  <si>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</si>
  <si>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</si>
  <si>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</si>
  <si>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</si>
  <si>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</si>
  <si>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</si>
  <si>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</si>
  <si>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</si>
  <si>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</si>
  <si>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</si>
  <si>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</si>
  <si>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</si>
  <si>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</si>
  <si>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</si>
  <si>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</si>
  <si>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</si>
  <si>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</si>
  <si>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</si>
  <si>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</si>
  <si>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</si>
  <si>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</si>
  <si>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</si>
  <si>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</si>
  <si>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</si>
  <si>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</si>
  <si>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</si>
  <si>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</si>
  <si>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</si>
  <si>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</si>
  <si>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</si>
  <si>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</si>
  <si>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</si>
  <si>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</si>
  <si>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</si>
  <si>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</si>
  <si>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</si>
  <si>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</si>
  <si>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</si>
  <si>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</si>
  <si>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</si>
  <si>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</si>
  <si>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</si>
  <si>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</si>
  <si>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</si>
  <si>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</si>
  <si>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</si>
  <si>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</si>
  <si>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</si>
  <si>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</si>
  <si>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</si>
  <si>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</si>
  <si>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</si>
  <si>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</si>
  <si>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</si>
  <si>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</si>
  <si>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</si>
  <si>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</si>
  <si>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</si>
  <si>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</si>
  <si>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</si>
  <si>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</si>
  <si>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</si>
  <si>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</si>
  <si>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</si>
  <si>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</si>
  <si>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</si>
  <si>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</si>
  <si>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</si>
  <si>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</si>
  <si>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</si>
  <si>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</si>
  <si>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</si>
  <si>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</si>
  <si>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</si>
  <si>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</si>
  <si>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</si>
  <si>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</si>
  <si>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</si>
  <si>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</si>
  <si>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</si>
  <si>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</si>
  <si>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</si>
  <si>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</si>
  <si>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</si>
  <si>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</si>
  <si>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</si>
  <si>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</si>
  <si>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</si>
  <si>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</si>
  <si>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</si>
  <si>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</si>
  <si>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</si>
  <si>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</si>
  <si>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</si>
  <si>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</si>
  <si>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</si>
  <si>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</si>
  <si>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</si>
  <si>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</si>
  <si>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</si>
  <si>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</si>
  <si>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</si>
  <si>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</si>
  <si>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</si>
  <si>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</si>
  <si>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</si>
  <si>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</si>
  <si>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</si>
  <si>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</si>
  <si>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</si>
  <si>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</si>
  <si>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</si>
  <si>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</si>
  <si>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</si>
  <si>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</si>
  <si>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</si>
  <si>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</si>
  <si>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</si>
  <si>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</si>
  <si>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</si>
  <si>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</si>
  <si>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</si>
  <si>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</si>
  <si>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</si>
  <si>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</si>
  <si>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</si>
  <si>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</si>
  <si>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</si>
  <si>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</si>
  <si>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</si>
  <si>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</si>
  <si>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</si>
  <si>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</si>
  <si>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</si>
  <si>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</si>
  <si>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</si>
  <si>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</si>
  <si>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</si>
  <si>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</si>
  <si>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</si>
  <si>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</si>
  <si>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</si>
  <si>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</si>
  <si>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</si>
  <si>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</si>
  <si>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</si>
  <si>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</si>
  <si>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</si>
  <si>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</si>
  <si>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</si>
  <si>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</si>
  <si>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</si>
  <si>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</si>
  <si>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</si>
  <si>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</si>
  <si>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</si>
  <si>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</si>
  <si>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</si>
  <si>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</si>
  <si>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</si>
  <si>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</si>
  <si>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</si>
  <si>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</si>
  <si>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</si>
  <si>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</si>
  <si>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</si>
  <si>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</si>
  <si>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</si>
  <si>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</si>
  <si>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</si>
  <si>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</si>
  <si>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</si>
  <si>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</si>
  <si>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</si>
  <si>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</si>
  <si>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</si>
  <si>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</si>
  <si>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</si>
  <si>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</si>
  <si>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</si>
  <si>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</si>
  <si>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</si>
  <si>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</si>
  <si>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</si>
  <si>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</si>
  <si>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</si>
  <si>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</si>
  <si>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</si>
  <si>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</si>
  <si>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</si>
  <si>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</si>
  <si>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</si>
  <si>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</si>
  <si>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</si>
  <si>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</si>
  <si>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</si>
  <si>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</si>
  <si>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</si>
  <si>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</si>
  <si>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</si>
  <si>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</si>
  <si>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</si>
  <si>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</si>
  <si>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</si>
  <si>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</si>
  <si>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</si>
  <si>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</si>
  <si>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</si>
  <si>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</si>
  <si>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</si>
  <si>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</si>
  <si>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</si>
  <si>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</si>
  <si>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</si>
  <si>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</si>
  <si>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</si>
  <si>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</si>
  <si>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</si>
  <si>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</si>
  <si>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</si>
  <si>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</si>
  <si>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</si>
  <si>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</si>
  <si>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</si>
  <si>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</si>
  <si>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</si>
  <si>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</si>
  <si>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</si>
  <si>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</si>
  <si>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</si>
  <si>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</si>
  <si>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</si>
  <si>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</si>
  <si>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</si>
  <si>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</si>
  <si>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</si>
  <si>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</si>
  <si>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</si>
  <si>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</si>
  <si>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</si>
  <si>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</si>
  <si>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</si>
  <si>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</si>
  <si>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</si>
  <si>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</si>
  <si>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</si>
  <si>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</si>
  <si>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</si>
  <si>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</si>
  <si>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</si>
  <si>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</si>
  <si>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</si>
  <si>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</si>
  <si>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</si>
  <si>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</si>
  <si>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</si>
  <si>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</si>
  <si>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</si>
  <si>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</si>
  <si>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</si>
  <si>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</si>
  <si>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</si>
  <si>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</si>
  <si>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</si>
  <si>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</si>
  <si>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</si>
  <si>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</si>
  <si>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</si>
  <si>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</si>
  <si>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</si>
  <si>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</si>
  <si>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</si>
  <si>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</si>
  <si>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</si>
  <si>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</si>
  <si>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</si>
  <si>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</si>
  <si>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</si>
  <si>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</si>
  <si>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</si>
  <si>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</si>
  <si>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</si>
  <si>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</si>
  <si>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</si>
  <si>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</si>
  <si>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</si>
  <si>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</si>
  <si>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</si>
  <si>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</si>
  <si>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</si>
  <si>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</si>
  <si>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</si>
  <si>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</si>
  <si>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</si>
  <si>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</si>
  <si>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</si>
  <si>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</si>
  <si>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</si>
  <si>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</si>
  <si>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</si>
  <si>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</si>
  <si>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</si>
  <si>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</si>
  <si>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</si>
  <si>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</si>
  <si>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</si>
  <si>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</si>
  <si>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</si>
  <si>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</si>
  <si>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</si>
  <si>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</si>
  <si>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</si>
  <si>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</si>
  <si>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</si>
  <si>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</si>
  <si>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</si>
  <si>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</si>
  <si>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</si>
  <si>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</si>
  <si>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</si>
  <si>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</si>
  <si>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</si>
  <si>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</si>
  <si>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</si>
  <si>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</si>
  <si>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</si>
  <si>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</si>
  <si>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</si>
  <si>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</si>
  <si>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</si>
  <si>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</si>
  <si>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</si>
  <si>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</si>
  <si>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</si>
  <si>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</si>
  <si>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</si>
  <si>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</si>
  <si>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</si>
  <si>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</si>
  <si>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</si>
  <si>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</si>
  <si>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</si>
  <si>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</si>
  <si>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</si>
  <si>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</si>
  <si>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</si>
  <si>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</si>
  <si>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</si>
  <si>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</si>
  <si>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</si>
  <si>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</si>
  <si>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</si>
  <si>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</si>
  <si>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</si>
  <si>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</si>
  <si>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</si>
  <si>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</si>
  <si>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</si>
  <si>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</si>
  <si>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</si>
  <si>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</si>
  <si>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</si>
  <si>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</si>
  <si>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</si>
  <si>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</si>
  <si>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</si>
  <si>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</si>
  <si>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</si>
  <si>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</si>
  <si>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</si>
  <si>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</si>
  <si>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</si>
  <si>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</si>
  <si>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</si>
  <si>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</si>
  <si>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</si>
  <si>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</si>
  <si>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</si>
  <si>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</si>
  <si>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</si>
  <si>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</si>
  <si>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</si>
  <si>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</si>
  <si>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</si>
  <si>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</si>
  <si>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</si>
  <si>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</si>
  <si>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</si>
  <si>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</si>
  <si>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</si>
  <si>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</si>
  <si>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</si>
  <si>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</si>
  <si>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</si>
  <si>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</si>
  <si>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</si>
  <si>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</si>
  <si>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</si>
  <si>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</si>
  <si>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</si>
  <si>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</si>
  <si>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</si>
  <si>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</si>
  <si>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</si>
  <si>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</si>
  <si>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</si>
  <si>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</si>
  <si>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</si>
  <si>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</si>
  <si>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</si>
  <si>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</si>
  <si>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</si>
  <si>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</si>
  <si>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</si>
  <si>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</si>
  <si>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</si>
  <si>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</si>
  <si>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</si>
  <si>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</si>
  <si>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</si>
  <si>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</si>
  <si>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</si>
  <si>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</si>
  <si>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</si>
  <si>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</si>
  <si>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</si>
  <si>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</si>
  <si>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</si>
  <si>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</si>
  <si>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</si>
  <si>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</si>
  <si>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</si>
  <si>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</si>
  <si>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</si>
  <si>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</si>
  <si>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</si>
  <si>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</si>
  <si>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</si>
  <si>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</si>
  <si>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</si>
  <si>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</si>
  <si>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</si>
  <si>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</si>
  <si>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</si>
  <si>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</si>
  <si>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</si>
  <si>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</si>
  <si>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</si>
  <si>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</si>
  <si>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</si>
  <si>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</si>
  <si>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</si>
  <si>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</si>
  <si>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</si>
  <si>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</si>
  <si>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</si>
  <si>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</si>
  <si>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</si>
  <si>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</si>
  <si>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</si>
  <si>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</si>
  <si>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</si>
  <si>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</si>
  <si>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</si>
  <si>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</si>
  <si>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</si>
  <si>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</si>
  <si>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</si>
  <si>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</si>
  <si>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</si>
  <si>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</si>
  <si>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</si>
  <si>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</si>
  <si>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</si>
  <si>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</si>
  <si>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</si>
  <si>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</si>
  <si>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</si>
  <si>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</si>
  <si>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</si>
  <si>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</si>
  <si>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</si>
  <si>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</si>
  <si>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</si>
  <si>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</si>
  <si>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</si>
  <si>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</si>
  <si>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</si>
  <si>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</si>
  <si>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</si>
  <si>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</si>
  <si>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</si>
  <si>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</si>
  <si>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</si>
  <si>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</si>
  <si>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</si>
  <si>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</si>
  <si>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</si>
  <si>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</si>
  <si>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</si>
  <si>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</si>
  <si>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</si>
  <si>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</si>
  <si>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</si>
  <si>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</si>
  <si>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</si>
  <si>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</si>
  <si>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</si>
  <si>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</si>
  <si>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</si>
  <si>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</si>
  <si>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</si>
  <si>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</si>
  <si>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</si>
  <si>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</si>
  <si>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</si>
  <si>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</si>
  <si>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</si>
  <si>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</si>
  <si>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</si>
  <si>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</si>
  <si>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</si>
  <si>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</si>
  <si>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</si>
  <si>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</si>
  <si>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</si>
  <si>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</si>
  <si>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</si>
  <si>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</si>
  <si>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</si>
  <si>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</si>
  <si>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</si>
  <si>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</si>
  <si>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</si>
  <si>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</si>
  <si>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</si>
  <si>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</si>
  <si>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</si>
  <si>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</si>
  <si>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</si>
  <si>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</si>
  <si>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</si>
  <si>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</si>
  <si>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</si>
  <si>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</si>
  <si>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</si>
  <si>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</si>
  <si>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</si>
  <si>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</si>
  <si>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</si>
  <si>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</si>
  <si>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</si>
  <si>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</si>
  <si>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</si>
  <si>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</si>
  <si>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</si>
  <si>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</si>
  <si>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</si>
  <si>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</si>
  <si>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</si>
  <si>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</si>
  <si>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</si>
  <si>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</si>
  <si>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</si>
  <si>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</si>
  <si>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</si>
  <si>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</si>
  <si>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</si>
  <si>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</si>
  <si>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</si>
  <si>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</si>
  <si>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</si>
  <si>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</si>
  <si>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</si>
  <si>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</si>
  <si>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</si>
  <si>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</si>
  <si>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</si>
  <si>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</si>
  <si>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</si>
  <si>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</si>
  <si>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</si>
  <si>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</si>
  <si>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</si>
  <si>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</si>
  <si>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</si>
  <si>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</si>
  <si>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</si>
  <si>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</si>
  <si>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</si>
  <si>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</si>
  <si>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</si>
  <si>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</si>
  <si>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</si>
  <si>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</si>
  <si>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</si>
  <si>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</si>
  <si>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</si>
  <si>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</si>
  <si>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</si>
  <si>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</si>
  <si>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</si>
  <si>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</si>
  <si>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</si>
  <si>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</si>
  <si>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</si>
  <si>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</si>
  <si>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</si>
  <si>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</si>
  <si>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</si>
  <si>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</si>
  <si>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</si>
  <si>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</si>
  <si>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</si>
  <si>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</si>
  <si>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</si>
  <si>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</si>
  <si>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</si>
  <si>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</si>
  <si>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</si>
  <si>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</si>
  <si>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</si>
  <si>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</si>
  <si>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</si>
  <si>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</si>
  <si>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</si>
  <si>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</si>
  <si>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</si>
  <si>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</si>
  <si>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</si>
  <si>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</si>
  <si>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</si>
  <si>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</si>
  <si>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</si>
  <si>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</si>
  <si>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</si>
  <si>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</si>
  <si>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</si>
  <si>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</si>
  <si>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</si>
  <si>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</si>
  <si>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</si>
  <si>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</si>
  <si>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</si>
  <si>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</si>
  <si>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</si>
  <si>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</si>
  <si>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</si>
  <si>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</si>
  <si>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</si>
  <si>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</si>
  <si>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</si>
  <si>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</si>
  <si>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</si>
  <si>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</si>
  <si>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</si>
  <si>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</si>
  <si>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</si>
  <si>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</si>
  <si>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</si>
  <si>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</si>
  <si>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</si>
  <si>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</si>
  <si>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</si>
  <si>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</si>
  <si>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</si>
  <si>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</si>
  <si>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</si>
  <si>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</si>
  <si>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</si>
  <si>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</si>
  <si>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</si>
  <si>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</si>
  <si>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</si>
  <si>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</si>
  <si>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</si>
  <si>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</si>
  <si>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</si>
  <si>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</si>
  <si>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</si>
  <si>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</si>
  <si>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</si>
  <si>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</si>
  <si>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</si>
  <si>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</si>
  <si>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</si>
  <si>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</si>
  <si>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</si>
  <si>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</si>
  <si>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</si>
  <si>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</si>
  <si>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</si>
  <si>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</si>
  <si>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</si>
  <si>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</si>
  <si>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</si>
  <si>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</si>
  <si>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</si>
  <si>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</si>
  <si>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</si>
  <si>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</si>
  <si>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</si>
  <si>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</si>
  <si>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</si>
  <si>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</si>
  <si>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</si>
  <si>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</si>
  <si>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</si>
  <si>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</si>
  <si>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</si>
  <si>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</si>
  <si>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</si>
  <si>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</si>
  <si>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</si>
  <si>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</si>
  <si>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</si>
  <si>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</si>
  <si>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</si>
  <si>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</si>
  <si>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</si>
  <si>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</si>
  <si>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</si>
  <si>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</si>
  <si>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</si>
  <si>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</si>
  <si>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</si>
  <si>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</si>
  <si>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</si>
  <si>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</si>
  <si>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</si>
  <si>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</si>
  <si>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</si>
  <si>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</si>
  <si>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</si>
  <si>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</si>
  <si>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</si>
  <si>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</si>
  <si>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</si>
  <si>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</si>
  <si>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</si>
  <si>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</si>
  <si>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</si>
  <si>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</si>
  <si>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</si>
  <si>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</si>
  <si>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</si>
  <si>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</si>
  <si>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</si>
  <si>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</si>
  <si>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</si>
  <si>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</si>
  <si>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</si>
  <si>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</si>
  <si>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</si>
  <si>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</si>
  <si>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</si>
  <si>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</si>
  <si>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</si>
  <si>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</si>
  <si>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</si>
  <si>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</si>
  <si>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</si>
  <si>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</si>
  <si>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</si>
  <si>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</si>
  <si>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</si>
  <si>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</si>
  <si>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</si>
  <si>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</si>
  <si>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</si>
  <si>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</si>
  <si>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</si>
  <si>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</si>
  <si>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</si>
  <si>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</si>
  <si>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</si>
  <si>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</si>
  <si>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</si>
  <si>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</si>
  <si>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</si>
  <si>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</si>
  <si>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</si>
  <si>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</si>
  <si>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</si>
  <si>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</si>
  <si>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</si>
  <si>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</si>
  <si>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</si>
  <si>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</si>
  <si>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</si>
  <si>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</si>
  <si>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</si>
  <si>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</si>
  <si>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</si>
  <si>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</si>
  <si>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</si>
  <si>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</si>
  <si>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</si>
  <si>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</si>
  <si>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</si>
  <si>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</si>
  <si>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</si>
  <si>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</si>
  <si>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</si>
  <si>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</si>
  <si>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</si>
  <si>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</si>
  <si>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</si>
  <si>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</si>
  <si>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</si>
  <si>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</si>
  <si>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</si>
  <si>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</si>
  <si>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</si>
  <si>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</si>
  <si>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</si>
  <si>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</si>
  <si>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</si>
  <si>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</si>
  <si>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</si>
  <si>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</si>
  <si>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</si>
  <si>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</si>
  <si>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</si>
  <si>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</si>
  <si>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</si>
  <si>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</si>
  <si>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</si>
  <si>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</si>
  <si>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</si>
  <si>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</si>
  <si>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</si>
  <si>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</si>
  <si>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</si>
  <si>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</si>
  <si>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</si>
  <si>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</si>
  <si>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</si>
  <si>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</si>
  <si>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</si>
  <si>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</si>
  <si>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</si>
  <si>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</si>
  <si>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</si>
  <si>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</si>
  <si>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</si>
  <si>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</si>
  <si>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</si>
  <si>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</si>
  <si>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</si>
  <si>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</si>
  <si>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</si>
  <si>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</si>
  <si>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</si>
  <si>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</si>
  <si>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</si>
  <si>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</si>
  <si>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</si>
  <si>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</si>
  <si>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</si>
  <si>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</si>
  <si>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</si>
  <si>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</si>
  <si>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</si>
  <si>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</si>
  <si>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</si>
  <si>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</si>
  <si>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</si>
  <si>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</si>
  <si>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</si>
  <si>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</si>
  <si>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</si>
  <si>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</si>
  <si>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</si>
  <si>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</si>
  <si>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</si>
  <si>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</si>
  <si>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</si>
  <si>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</si>
  <si>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</si>
  <si>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</si>
  <si>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</si>
  <si>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</si>
  <si>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</si>
  <si>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</si>
  <si>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</si>
  <si>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</si>
  <si>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</si>
  <si>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</si>
  <si>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</si>
  <si>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</si>
  <si>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</si>
  <si>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</si>
  <si>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</si>
  <si>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</si>
  <si>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</si>
  <si>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</si>
  <si>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</si>
  <si>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</si>
  <si>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</si>
  <si>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</si>
  <si>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</si>
  <si>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</si>
  <si>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</si>
  <si>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</si>
  <si>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</si>
  <si>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</si>
  <si>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</si>
  <si>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</si>
  <si>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</si>
  <si>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</si>
  <si>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</si>
  <si>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</si>
  <si>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</si>
  <si>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</si>
  <si>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</si>
  <si>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</si>
  <si>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</si>
  <si>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</si>
  <si>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</si>
  <si>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</si>
  <si>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</si>
  <si>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</si>
  <si>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</si>
  <si>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</si>
  <si>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</si>
  <si>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</si>
  <si>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</si>
  <si>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</si>
  <si>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</si>
  <si>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</si>
  <si>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</si>
  <si>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</si>
  <si>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</si>
  <si>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</si>
  <si>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</si>
  <si>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</si>
  <si>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</si>
  <si>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</si>
  <si>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</si>
  <si>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</si>
  <si>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</si>
  <si>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</si>
  <si>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</si>
  <si>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</si>
  <si>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</si>
  <si>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</si>
  <si>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</si>
  <si>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</si>
  <si>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</si>
  <si>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</si>
  <si>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</si>
  <si>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</si>
  <si>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</si>
  <si>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</si>
  <si>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</si>
  <si>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</si>
  <si>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</si>
  <si>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</si>
  <si>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</si>
  <si>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</si>
  <si>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</si>
  <si>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</si>
  <si>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</si>
  <si>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</si>
  <si>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</si>
  <si>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</si>
  <si>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</si>
  <si>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</si>
  <si>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</si>
  <si>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</si>
  <si>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</si>
  <si>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</si>
  <si>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</si>
  <si>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</si>
  <si>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</si>
  <si>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</si>
  <si>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</si>
  <si>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</si>
  <si>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</si>
  <si>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</si>
  <si>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</si>
  <si>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</si>
  <si>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</si>
  <si>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</si>
  <si>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</si>
  <si>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</si>
  <si>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</si>
  <si>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</si>
  <si>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</si>
  <si>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</si>
  <si>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</si>
  <si>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</si>
  <si>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</si>
  <si>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</si>
  <si>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</si>
  <si>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</si>
  <si>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</si>
  <si>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</si>
  <si>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</si>
  <si>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</si>
  <si>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</si>
  <si>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</si>
  <si>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</si>
  <si>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</si>
  <si>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</si>
  <si>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</si>
  <si>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</si>
  <si>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</si>
  <si>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</si>
  <si>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</si>
  <si>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</si>
  <si>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</si>
  <si>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</si>
  <si>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</si>
  <si>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</si>
  <si>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</si>
  <si>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</si>
  <si>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</si>
  <si>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</si>
  <si>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</si>
  <si>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</si>
  <si>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</si>
  <si>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</si>
  <si>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</si>
  <si>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</si>
  <si>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</si>
  <si>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</si>
  <si>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</si>
  <si>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</si>
  <si>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</si>
  <si>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</si>
  <si>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</si>
  <si>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</si>
  <si>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</si>
  <si>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</si>
  <si>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</si>
  <si>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</si>
  <si>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</si>
  <si>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</si>
  <si>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</si>
  <si>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</si>
  <si>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</si>
  <si>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</si>
  <si>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</si>
  <si>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</si>
  <si>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</si>
  <si>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</si>
  <si>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</si>
  <si>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</si>
  <si>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</si>
  <si>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</si>
  <si>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</si>
  <si>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</si>
  <si>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</si>
  <si>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</si>
  <si>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</si>
  <si>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</si>
  <si>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</si>
  <si>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</si>
  <si>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</si>
  <si>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</si>
  <si>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</si>
  <si>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</si>
  <si>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</si>
  <si>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</si>
  <si>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</si>
  <si>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</si>
  <si>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</si>
  <si>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</si>
  <si>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</si>
  <si>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</si>
  <si>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</si>
  <si>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</si>
  <si>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</si>
  <si>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</si>
  <si>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</si>
  <si>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</si>
  <si>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</si>
  <si>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</si>
  <si>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</si>
  <si>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</si>
  <si>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</si>
  <si>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</si>
  <si>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</si>
  <si>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</si>
  <si>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</si>
  <si>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</si>
  <si>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</si>
  <si>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</si>
  <si>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</si>
  <si>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</si>
  <si>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</si>
  <si>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</si>
  <si>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</si>
  <si>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</si>
  <si>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</si>
  <si>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</si>
  <si>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</si>
  <si>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</si>
  <si>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</si>
  <si>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</si>
  <si>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</si>
  <si>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</si>
  <si>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</si>
  <si>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</si>
  <si>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</si>
  <si>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</si>
  <si>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</si>
  <si>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</si>
  <si>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</si>
  <si>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</si>
  <si>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</si>
  <si>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</si>
  <si>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</si>
  <si>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</si>
  <si>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</si>
  <si>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</si>
  <si>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</si>
  <si>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</si>
  <si>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</si>
  <si>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</si>
  <si>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</si>
  <si>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</si>
  <si>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</si>
  <si>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</si>
  <si>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</si>
  <si>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</si>
  <si>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</si>
  <si>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</si>
  <si>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</si>
  <si>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</si>
  <si>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</si>
  <si>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</si>
  <si>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</si>
  <si>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</si>
  <si>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</si>
  <si>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</si>
  <si>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</si>
  <si>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</si>
  <si>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</si>
  <si>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</si>
  <si>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</si>
  <si>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</si>
  <si>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</si>
  <si>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</si>
  <si>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</si>
  <si>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</si>
  <si>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</si>
  <si>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</si>
  <si>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</si>
  <si>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</si>
  <si>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</si>
  <si>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</si>
  <si>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</si>
  <si>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</si>
  <si>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</si>
  <si>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</si>
  <si>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</si>
  <si>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</si>
  <si>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</si>
  <si>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</si>
  <si>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</si>
  <si>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</si>
  <si>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</si>
  <si>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</si>
  <si>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</si>
  <si>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</si>
  <si>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</si>
  <si>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</si>
  <si>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</si>
  <si>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</si>
  <si>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</si>
  <si>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</si>
  <si>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</si>
  <si>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</si>
  <si>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</si>
  <si>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</si>
  <si>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</si>
  <si>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</si>
  <si>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</si>
  <si>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</si>
  <si>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</si>
  <si>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</si>
  <si>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</si>
  <si>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</si>
  <si>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</si>
  <si>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</si>
  <si>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</si>
  <si>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</si>
  <si>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</si>
  <si>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</si>
  <si>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</si>
  <si>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</si>
  <si>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</si>
  <si>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</si>
  <si>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</si>
  <si>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</si>
  <si>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</si>
  <si>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</si>
  <si>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</si>
  <si>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</si>
  <si>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</si>
  <si>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</si>
  <si>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</si>
  <si>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</si>
  <si>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</si>
  <si>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</si>
  <si>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</si>
  <si>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</si>
  <si>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</si>
  <si>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</si>
  <si>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</si>
  <si>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</si>
  <si>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</si>
  <si>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</si>
  <si>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</si>
  <si>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</si>
  <si>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</si>
  <si>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</si>
  <si>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</si>
  <si>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</si>
  <si>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</si>
  <si>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</si>
  <si>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</si>
  <si>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</si>
  <si>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</si>
  <si>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</si>
  <si>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</si>
  <si>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</si>
  <si>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</si>
  <si>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</si>
  <si>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</si>
  <si>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</si>
  <si>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</si>
  <si>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</si>
  <si>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</si>
  <si>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</si>
  <si>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</si>
  <si>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</si>
  <si>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</si>
  <si>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</si>
  <si>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</si>
  <si>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</si>
  <si>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</si>
  <si>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</si>
  <si>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</si>
  <si>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</si>
  <si>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</si>
  <si>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</si>
  <si>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</si>
  <si>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</si>
  <si>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</si>
  <si>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</si>
  <si>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</si>
  <si>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</si>
  <si>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</si>
  <si>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</si>
  <si>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</si>
  <si>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</si>
  <si>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</si>
  <si>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</si>
  <si>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</si>
  <si>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</si>
  <si>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</si>
  <si>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</si>
  <si>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</si>
  <si>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</si>
  <si>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</si>
  <si>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</si>
  <si>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</si>
  <si>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</si>
  <si>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</si>
  <si>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</si>
  <si>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</si>
  <si>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</si>
  <si>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</si>
  <si>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</si>
  <si>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</si>
  <si>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</si>
  <si>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</si>
  <si>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</si>
  <si>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</si>
  <si>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</si>
  <si>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</si>
  <si>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</si>
  <si>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</si>
  <si>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</si>
  <si>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</si>
  <si>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</si>
  <si>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</si>
  <si>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</si>
  <si>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</si>
  <si>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</si>
  <si>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</si>
  <si>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</si>
  <si>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</si>
  <si>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</si>
  <si>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</si>
  <si>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</si>
  <si>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</si>
  <si>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</si>
  <si>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</si>
  <si>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</si>
  <si>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</si>
  <si>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</si>
  <si>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</si>
  <si>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</si>
  <si>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</si>
  <si>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</si>
  <si>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</si>
  <si>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</si>
  <si>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</si>
  <si>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</si>
  <si>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</si>
  <si>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</si>
  <si>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</si>
  <si>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</si>
  <si>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</si>
  <si>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</si>
  <si>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</si>
  <si>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</si>
  <si>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</si>
  <si>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</si>
  <si>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</si>
  <si>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</si>
  <si>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</si>
  <si>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</si>
  <si>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</si>
  <si>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</si>
  <si>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</si>
  <si>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</si>
  <si>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</si>
  <si>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</si>
  <si>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</si>
  <si>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</si>
  <si>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</si>
  <si>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</si>
  <si>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</si>
  <si>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</si>
  <si>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</si>
  <si>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</si>
  <si>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</si>
  <si>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</si>
  <si>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</si>
  <si>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</si>
  <si>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</si>
  <si>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</si>
  <si>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</si>
  <si>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</si>
  <si>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</si>
  <si>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</si>
  <si>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</si>
  <si>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</si>
  <si>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</si>
  <si>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</si>
  <si>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</si>
  <si>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</si>
  <si>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</si>
  <si>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</si>
  <si>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</si>
  <si>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</si>
  <si>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</si>
  <si>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</si>
  <si>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</si>
  <si>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</si>
  <si>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</si>
  <si>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</si>
  <si>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</si>
  <si>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</si>
  <si>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</si>
  <si>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</si>
  <si>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</si>
  <si>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</si>
  <si>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</si>
  <si>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</si>
  <si>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</si>
  <si>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</si>
  <si>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</si>
  <si>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</si>
  <si>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</si>
  <si>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</si>
  <si>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</si>
  <si>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</si>
  <si>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</si>
  <si>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</si>
  <si>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</si>
  <si>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</si>
  <si>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</si>
  <si>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</si>
  <si>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</si>
  <si>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</si>
  <si>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</si>
  <si>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</si>
  <si>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</si>
  <si>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</si>
  <si>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</si>
  <si>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</si>
  <si>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</si>
  <si>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</si>
  <si>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</si>
  <si>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</si>
  <si>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</si>
  <si>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</si>
  <si>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</si>
  <si>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</si>
  <si>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</si>
  <si>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</si>
  <si>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</si>
  <si>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</si>
  <si>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</si>
  <si>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</si>
  <si>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</si>
  <si>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</si>
  <si>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</si>
  <si>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</si>
  <si>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</si>
  <si>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</si>
  <si>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</si>
  <si>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</si>
  <si>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</si>
  <si>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</si>
  <si>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</si>
  <si>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</si>
  <si>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</si>
  <si>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</si>
  <si>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</si>
  <si>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</si>
  <si>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</si>
  <si>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</si>
  <si>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</si>
  <si>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</si>
  <si>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</si>
  <si>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</si>
  <si>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</si>
  <si>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</si>
  <si>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</si>
  <si>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</si>
  <si>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</si>
  <si>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</si>
  <si>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</si>
  <si>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</si>
  <si>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</si>
  <si>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</si>
  <si>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</si>
  <si>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</si>
  <si>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</si>
  <si>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</si>
  <si>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</si>
  <si>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</si>
  <si>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</si>
  <si>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</si>
  <si>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</si>
  <si>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</si>
  <si>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</si>
  <si>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</si>
  <si>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</si>
  <si>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</si>
  <si>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</si>
  <si>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</si>
  <si>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</si>
  <si>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</si>
  <si>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</si>
  <si>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</si>
  <si>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</si>
  <si>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</si>
  <si>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</si>
  <si>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</si>
  <si>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</si>
  <si>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</si>
  <si>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</si>
  <si>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</si>
  <si>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</si>
  <si>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</si>
  <si>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</si>
  <si>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</si>
  <si>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</si>
  <si>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</si>
  <si>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</si>
  <si>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</si>
  <si>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</si>
  <si>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</si>
  <si>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</si>
  <si>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</si>
  <si>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</si>
  <si>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</si>
  <si>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</si>
  <si>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</si>
  <si>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</si>
  <si>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</si>
  <si>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</si>
  <si>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</si>
  <si>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</si>
  <si>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</si>
  <si>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</si>
  <si>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</si>
  <si>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</si>
  <si>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</si>
  <si>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</si>
  <si>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</si>
  <si>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</si>
  <si>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</si>
  <si>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</si>
  <si>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</si>
  <si>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</si>
  <si>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</si>
  <si>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</si>
  <si>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</si>
  <si>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</si>
  <si>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</si>
  <si>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</si>
  <si>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</si>
  <si>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</si>
  <si>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</si>
  <si>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</si>
  <si>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</si>
  <si>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</si>
  <si>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</si>
  <si>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</si>
  <si>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</si>
  <si>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</si>
  <si>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</si>
  <si>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</si>
  <si>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</si>
  <si>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</si>
  <si>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</si>
  <si>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</si>
  <si>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</si>
  <si>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</si>
  <si>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</si>
  <si>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</si>
  <si>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</si>
  <si>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</si>
  <si>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</si>
  <si>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</si>
  <si>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</si>
  <si>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</si>
  <si>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</si>
  <si>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</si>
  <si>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</si>
  <si>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</si>
  <si>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</si>
  <si>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</si>
  <si>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</si>
  <si>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</si>
  <si>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</si>
  <si>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</si>
  <si>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</si>
  <si>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</si>
  <si>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</si>
  <si>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</si>
  <si>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</si>
  <si>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</si>
  <si>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</si>
  <si>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</si>
  <si>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</si>
  <si>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</si>
  <si>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</si>
  <si>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</si>
  <si>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</si>
  <si>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</si>
  <si>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</si>
  <si>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</si>
  <si>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</si>
  <si>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</si>
  <si>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</si>
  <si>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</si>
  <si>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</si>
  <si>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</si>
  <si>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</si>
  <si>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</si>
  <si>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</si>
  <si>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</si>
  <si>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</si>
  <si>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</si>
  <si>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</si>
  <si>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</si>
  <si>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</si>
  <si>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</si>
  <si>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</si>
  <si>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</si>
  <si>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</si>
  <si>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</si>
  <si>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</si>
  <si>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</si>
  <si>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</si>
  <si>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</si>
  <si>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</si>
  <si>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</si>
  <si>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</si>
  <si>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</si>
  <si>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</si>
  <si>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</si>
  <si>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</si>
  <si>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</si>
  <si>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</si>
  <si>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</si>
  <si>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</si>
  <si>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</si>
  <si>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</si>
  <si>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</si>
  <si>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</si>
  <si>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</si>
  <si>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</si>
  <si>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</si>
  <si>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</si>
  <si>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</si>
  <si>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</si>
  <si>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</si>
  <si>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</si>
  <si>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</si>
  <si>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</si>
  <si>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</si>
  <si>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</si>
  <si>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</si>
  <si>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</si>
  <si>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</si>
  <si>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</si>
  <si>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</si>
  <si>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</si>
  <si>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</si>
  <si>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</si>
  <si>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</si>
  <si>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</si>
  <si>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</si>
  <si>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</si>
  <si>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</si>
  <si>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</si>
  <si>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</si>
  <si>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</si>
  <si>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</si>
  <si>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</si>
  <si>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</si>
  <si>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</si>
  <si>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</si>
  <si>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</si>
  <si>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</si>
  <si>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</si>
  <si>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</si>
  <si>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</si>
  <si>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</si>
  <si>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</si>
  <si>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</si>
  <si>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</si>
  <si>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</si>
  <si>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</si>
  <si>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</si>
  <si>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</si>
  <si>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</si>
  <si>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</si>
  <si>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</si>
  <si>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</si>
  <si>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</si>
  <si>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</si>
  <si>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</si>
  <si>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</si>
  <si>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</si>
  <si>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</si>
  <si>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</si>
  <si>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</si>
  <si>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</si>
  <si>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</si>
  <si>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</si>
  <si>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</si>
  <si>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</si>
  <si>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</si>
  <si>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</si>
  <si>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</si>
  <si>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</si>
  <si>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</si>
  <si>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</si>
  <si>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</si>
  <si>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</si>
  <si>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</si>
  <si>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</si>
  <si>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</si>
  <si>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</si>
  <si>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</si>
  <si>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</si>
  <si>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</si>
  <si>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</si>
  <si>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</si>
  <si>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</si>
  <si>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</si>
  <si>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</si>
  <si>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</si>
  <si>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</si>
  <si>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</si>
  <si>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</si>
  <si>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</si>
  <si>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</si>
  <si>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</si>
  <si>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</si>
  <si>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</si>
  <si>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</si>
  <si>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</si>
  <si>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</si>
  <si>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</si>
  <si>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</si>
  <si>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</si>
  <si>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</si>
  <si>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</si>
  <si>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</si>
  <si>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</si>
  <si>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</si>
  <si>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</si>
  <si>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</si>
  <si>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</si>
  <si>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</si>
  <si>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</si>
  <si>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</si>
  <si>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</si>
  <si>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</si>
  <si>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</si>
  <si>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</si>
  <si>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</si>
  <si>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</si>
  <si>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</si>
  <si>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</si>
  <si>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</si>
  <si>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</si>
  <si>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</si>
  <si>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</si>
  <si>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</si>
  <si>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</si>
  <si>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</si>
  <si>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</si>
  <si>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</si>
  <si>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</si>
  <si>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</si>
  <si>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</si>
  <si>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</si>
  <si>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</si>
  <si>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</si>
  <si>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</si>
  <si>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</si>
  <si>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</si>
  <si>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</si>
  <si>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</si>
  <si>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</si>
  <si>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</si>
  <si>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</si>
  <si>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</si>
  <si>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</si>
  <si>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</si>
  <si>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</si>
  <si>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</si>
  <si>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</si>
  <si>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</si>
  <si>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</si>
  <si>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</si>
  <si>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</si>
  <si>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</si>
  <si>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</si>
  <si>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</si>
  <si>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</si>
  <si>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</si>
  <si>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</si>
  <si>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</si>
  <si>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</si>
  <si>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</si>
  <si>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</si>
  <si>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</si>
  <si>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</si>
  <si>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</si>
  <si>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</si>
  <si>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</si>
  <si>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</si>
  <si>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</si>
  <si>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</si>
  <si>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</si>
  <si>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</si>
  <si>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</si>
  <si>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</si>
  <si>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</si>
  <si>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</si>
  <si>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</si>
  <si>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</si>
  <si>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</si>
  <si>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</si>
  <si>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</si>
  <si>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</si>
  <si>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</si>
  <si>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</si>
  <si>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</si>
  <si>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</si>
  <si>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</si>
  <si>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</si>
  <si>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</si>
  <si>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</si>
  <si>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</si>
  <si>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</si>
  <si>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</si>
  <si>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</si>
  <si>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</si>
  <si>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</si>
  <si>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</si>
  <si>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</si>
  <si>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</si>
  <si>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</si>
  <si>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</si>
  <si>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</si>
  <si>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</si>
  <si>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</si>
  <si>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</si>
  <si>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</si>
  <si>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</si>
  <si>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</si>
  <si>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</si>
  <si>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</si>
  <si>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</si>
  <si>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</si>
  <si>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</si>
  <si>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</si>
  <si>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</si>
  <si>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</si>
  <si>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</si>
  <si>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</si>
  <si>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</si>
  <si>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</si>
  <si>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</si>
  <si>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</si>
  <si>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</si>
  <si>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</si>
  <si>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</si>
  <si>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</si>
  <si>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</si>
  <si>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</si>
  <si>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</si>
  <si>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</si>
  <si>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</si>
  <si>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</si>
  <si>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</si>
  <si>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</si>
  <si>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</si>
  <si>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</si>
  <si>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</si>
  <si>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</si>
  <si>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</si>
  <si>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</si>
  <si>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</si>
  <si>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</si>
  <si>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</si>
  <si>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</si>
  <si>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</si>
  <si>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</si>
  <si>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</si>
  <si>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</si>
  <si>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</si>
  <si>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</si>
  <si>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</si>
  <si>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</si>
  <si>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</si>
  <si>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</si>
  <si>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</si>
  <si>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</si>
  <si>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</si>
  <si>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</si>
  <si>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</si>
  <si>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</si>
  <si>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</si>
  <si>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</si>
  <si>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</si>
  <si>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</si>
  <si>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</si>
  <si>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</si>
  <si>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</si>
  <si>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</si>
  <si>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</si>
  <si>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</si>
  <si>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</si>
  <si>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</si>
  <si>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</si>
  <si>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</si>
  <si>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</si>
  <si>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</si>
  <si>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</si>
  <si>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</si>
  <si>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</si>
  <si>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</si>
  <si>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</si>
  <si>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</si>
  <si>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</si>
  <si>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</si>
  <si>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</si>
  <si>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</si>
  <si>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</si>
  <si>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</si>
  <si>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</si>
  <si>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</si>
  <si>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</si>
  <si>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</si>
  <si>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</si>
  <si>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</si>
  <si>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</si>
  <si>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</si>
  <si>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</si>
  <si>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</si>
  <si>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</si>
  <si>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</si>
  <si>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</si>
  <si>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</si>
  <si>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</si>
  <si>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</si>
  <si>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</si>
  <si>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</si>
  <si>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</si>
  <si>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</si>
  <si>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</si>
  <si>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</si>
  <si>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</si>
  <si>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</si>
  <si>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</si>
  <si>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</si>
  <si>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</si>
  <si>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</si>
  <si>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</si>
  <si>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</si>
  <si>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</si>
  <si>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</si>
  <si>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</si>
  <si>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</si>
  <si>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</si>
  <si>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</si>
  <si>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</si>
  <si>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</si>
  <si>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</si>
  <si>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</si>
  <si>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</si>
  <si>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</si>
  <si>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</si>
  <si>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</si>
  <si>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</si>
  <si>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</si>
  <si>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</si>
  <si>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</si>
  <si>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</si>
  <si>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</si>
  <si>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</si>
  <si>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</si>
  <si>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</si>
  <si>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</si>
  <si>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</si>
  <si>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</si>
  <si>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</si>
  <si>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</si>
  <si>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</si>
  <si>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</si>
  <si>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</si>
  <si>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</si>
  <si>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</si>
  <si>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</si>
  <si>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</si>
  <si>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</si>
  <si>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</si>
  <si>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</si>
  <si>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</si>
  <si>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</si>
  <si>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</si>
  <si>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</si>
  <si>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</si>
  <si>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</si>
  <si>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</si>
  <si>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</si>
  <si>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</si>
  <si>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</si>
  <si>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</si>
  <si>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</si>
  <si>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</si>
  <si>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</si>
  <si>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</si>
  <si>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</si>
  <si>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</si>
  <si>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</si>
  <si>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</si>
  <si>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</si>
  <si>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</si>
  <si>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</si>
  <si>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</si>
  <si>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</si>
  <si>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</si>
  <si>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</si>
  <si>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</si>
  <si>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</si>
  <si>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</si>
  <si>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</si>
  <si>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</si>
  <si>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</si>
  <si>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</si>
  <si>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</si>
  <si>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</si>
  <si>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</si>
  <si>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</si>
  <si>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</si>
  <si>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</si>
  <si>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</si>
  <si>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</si>
  <si>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</si>
  <si>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</si>
  <si>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</si>
  <si>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</si>
  <si>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</si>
  <si>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</si>
  <si>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</si>
  <si>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</si>
  <si>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</si>
  <si>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</si>
  <si>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</si>
  <si>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</si>
  <si>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</si>
  <si>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</si>
  <si>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</si>
  <si>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</si>
  <si>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</si>
  <si>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</si>
  <si>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</si>
  <si>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</si>
  <si>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</si>
  <si>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</si>
  <si>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</si>
  <si>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</si>
  <si>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</si>
  <si>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</si>
  <si>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</si>
  <si>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</si>
  <si>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</si>
  <si>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</si>
  <si>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</si>
  <si>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</si>
  <si>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</si>
  <si>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</si>
  <si>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</si>
  <si>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</si>
  <si>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</si>
  <si>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</si>
  <si>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</si>
  <si>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</si>
  <si>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</si>
  <si>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</si>
  <si>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</si>
  <si>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</si>
  <si>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</si>
  <si>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</si>
  <si>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</si>
  <si>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</si>
  <si>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</si>
  <si>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</si>
  <si>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</si>
  <si>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</si>
  <si>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</si>
  <si>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</si>
  <si>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</si>
  <si>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</si>
  <si>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</si>
  <si>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</si>
  <si>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</si>
  <si>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</si>
  <si>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</si>
  <si>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</si>
  <si>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</si>
  <si>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</si>
  <si>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</si>
  <si>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</si>
  <si>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</si>
  <si>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</si>
  <si>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</si>
  <si>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</si>
  <si>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</si>
  <si>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</si>
  <si>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</si>
  <si>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</si>
  <si>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</si>
  <si>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</si>
  <si>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</si>
  <si>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</si>
  <si>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</si>
  <si>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</si>
  <si>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</si>
  <si>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</si>
  <si>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</si>
  <si>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</si>
  <si>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</si>
  <si>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</si>
  <si>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</si>
  <si>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</si>
  <si>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</si>
  <si>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</si>
  <si>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</si>
  <si>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</si>
  <si>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</si>
  <si>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</si>
  <si>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</si>
  <si>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</si>
  <si>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</si>
  <si>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</si>
  <si>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</si>
  <si>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</si>
  <si>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</si>
  <si>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</si>
  <si>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</si>
  <si>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</si>
  <si>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</si>
  <si>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</si>
  <si>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</si>
  <si>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</si>
  <si>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</si>
  <si>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</si>
  <si>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</si>
  <si>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</si>
  <si>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</si>
  <si>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</si>
  <si>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</si>
  <si>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</si>
  <si>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</si>
  <si>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</si>
  <si>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</si>
  <si>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</si>
  <si>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</si>
  <si>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</si>
  <si>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</si>
  <si>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</si>
  <si>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</si>
  <si>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</si>
  <si>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</si>
  <si>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</si>
  <si>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</si>
  <si>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</si>
  <si>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</si>
  <si>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</si>
  <si>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</si>
  <si>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</si>
  <si>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</si>
  <si>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</si>
  <si>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</si>
  <si>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</si>
  <si>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</si>
  <si>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</si>
  <si>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</si>
  <si>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</si>
  <si>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</si>
  <si>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</si>
  <si>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</si>
  <si>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</si>
  <si>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</si>
  <si>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</si>
  <si>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</si>
  <si>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</si>
  <si>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</si>
  <si>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</si>
  <si>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</si>
  <si>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</si>
  <si>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</si>
  <si>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</si>
  <si>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</si>
  <si>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</si>
  <si>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</si>
  <si>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</si>
  <si>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</si>
  <si>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</si>
  <si>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</si>
  <si>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</si>
  <si>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</si>
  <si>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</si>
  <si>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</si>
  <si>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</si>
  <si>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</si>
  <si>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</si>
  <si>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</si>
  <si>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</si>
  <si>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</si>
  <si>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</si>
  <si>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</si>
  <si>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</si>
  <si>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</si>
  <si>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</si>
  <si>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</si>
  <si>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</si>
  <si>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</si>
  <si>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</si>
  <si>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</si>
  <si>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</si>
  <si>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</si>
  <si>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</si>
  <si>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</si>
  <si>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</si>
  <si>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</si>
  <si>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</si>
  <si>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</si>
  <si>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</si>
  <si>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</si>
  <si>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</si>
  <si>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</si>
  <si>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</si>
  <si>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</si>
  <si>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</si>
  <si>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</si>
  <si>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</si>
  <si>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</si>
  <si>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</si>
  <si>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</si>
  <si>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</si>
  <si>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</si>
  <si>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</si>
  <si>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</si>
  <si>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</si>
  <si>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</si>
  <si>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</si>
  <si>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</si>
  <si>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</si>
  <si>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</si>
  <si>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</si>
  <si>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</si>
  <si>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</si>
  <si>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</si>
  <si>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</si>
  <si>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</si>
  <si>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</si>
  <si>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</si>
  <si>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</si>
  <si>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</si>
  <si>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</si>
  <si>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</si>
  <si>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</si>
  <si>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</si>
  <si>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</si>
  <si>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</si>
  <si>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</si>
  <si>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</si>
  <si>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</si>
  <si>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</si>
  <si>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</si>
  <si>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</si>
  <si>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</si>
  <si>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</si>
  <si>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</si>
  <si>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</si>
  <si>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</si>
  <si>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</si>
  <si>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</si>
  <si>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</si>
  <si>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</si>
  <si>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</si>
  <si>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</si>
  <si>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</si>
  <si>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</si>
  <si>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</si>
  <si>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</si>
  <si>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</si>
  <si>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</si>
  <si>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</si>
  <si>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</si>
  <si>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</si>
  <si>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</si>
  <si>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</si>
  <si>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</si>
  <si>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</si>
  <si>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</si>
  <si>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</si>
  <si>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</si>
  <si>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</si>
  <si>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</si>
  <si>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</si>
  <si>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</si>
  <si>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</si>
  <si>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</si>
  <si>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</si>
  <si>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</si>
  <si>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</si>
  <si>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</si>
  <si>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</si>
  <si>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</si>
  <si>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</si>
  <si>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</si>
  <si>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</si>
  <si>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</si>
  <si>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</si>
  <si>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</si>
  <si>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</si>
  <si>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</si>
  <si>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</si>
  <si>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</si>
  <si>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</si>
  <si>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</si>
  <si>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</si>
  <si>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</si>
  <si>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</si>
  <si>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</si>
  <si>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</si>
  <si>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</si>
  <si>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</si>
  <si>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</si>
  <si>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</si>
  <si>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</si>
  <si>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</si>
  <si>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</si>
  <si>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</si>
  <si>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</si>
  <si>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</si>
  <si>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</si>
  <si>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</si>
  <si>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</si>
  <si>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</si>
  <si>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</si>
  <si>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</si>
  <si>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</si>
  <si>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</si>
  <si>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</si>
  <si>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</si>
  <si>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</si>
  <si>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</si>
  <si>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</si>
  <si>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</si>
  <si>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</si>
  <si>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</si>
  <si>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</si>
  <si>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</si>
  <si>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</si>
  <si>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</si>
  <si>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</si>
  <si>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</si>
  <si>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</si>
  <si>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</si>
  <si>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</si>
  <si>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</si>
  <si>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</si>
  <si>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</si>
  <si>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</si>
  <si>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</si>
  <si>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</si>
  <si>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</si>
  <si>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</si>
  <si>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</si>
  <si>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</si>
  <si>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</si>
  <si>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</si>
  <si>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</si>
  <si>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</si>
  <si>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</si>
  <si>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</si>
  <si>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</si>
  <si>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</si>
  <si>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</si>
  <si>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</si>
  <si>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</si>
  <si>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</si>
  <si>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</si>
  <si>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</si>
  <si>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</si>
  <si>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</si>
  <si>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</si>
  <si>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</si>
  <si>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</si>
  <si>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</si>
  <si>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</si>
  <si>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</si>
  <si>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</si>
  <si>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</si>
  <si>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</si>
  <si>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</si>
  <si>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</si>
  <si>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</si>
  <si>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</si>
  <si>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</si>
  <si>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</si>
  <si>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</si>
  <si>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</si>
  <si>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</si>
  <si>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</si>
  <si>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</si>
  <si>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</si>
  <si>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</si>
  <si>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</si>
  <si>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</si>
  <si>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</si>
  <si>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</si>
  <si>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</si>
  <si>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</si>
  <si>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</si>
  <si>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</si>
  <si>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</si>
  <si>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</si>
  <si>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</si>
  <si>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</si>
  <si>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</si>
  <si>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</si>
  <si>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</si>
  <si>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</si>
  <si>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</si>
  <si>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</si>
  <si>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</si>
  <si>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</si>
  <si>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</si>
  <si>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</si>
  <si>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</si>
  <si>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</si>
  <si>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</si>
  <si>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</si>
  <si>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</si>
  <si>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</si>
  <si>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</si>
  <si>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</si>
  <si>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</si>
  <si>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</si>
  <si>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</si>
  <si>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</si>
  <si>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</si>
  <si>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</si>
  <si>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</si>
  <si>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</si>
  <si>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</si>
  <si>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</si>
  <si>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</si>
  <si>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</si>
  <si>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</si>
  <si>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</si>
  <si>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</si>
  <si>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</si>
  <si>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</si>
  <si>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</si>
  <si>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</si>
  <si>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</si>
  <si>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</si>
  <si>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</si>
  <si>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</si>
  <si>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</si>
  <si>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</si>
  <si>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</si>
  <si>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</si>
  <si>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</si>
  <si>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</si>
  <si>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</si>
  <si>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</si>
  <si>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</si>
  <si>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</si>
  <si>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</si>
  <si>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</si>
  <si>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</si>
  <si>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</si>
  <si>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</si>
  <si>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</si>
  <si>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</si>
  <si>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</si>
  <si>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</si>
  <si>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</si>
  <si>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</si>
  <si>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</si>
  <si>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</si>
  <si>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</si>
  <si>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</si>
  <si>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</si>
  <si>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</si>
  <si>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</si>
  <si>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</si>
  <si>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</si>
  <si>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</si>
  <si>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</si>
  <si>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</si>
  <si>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</si>
  <si>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</si>
  <si>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</si>
  <si>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</si>
  <si>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</si>
  <si>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</si>
  <si>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</si>
  <si>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</si>
  <si>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</si>
  <si>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</si>
  <si>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</si>
  <si>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</si>
  <si>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</si>
  <si>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</si>
  <si>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</si>
  <si>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</si>
  <si>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</si>
  <si>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</si>
  <si>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</si>
  <si>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</si>
  <si>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</si>
  <si>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</si>
  <si>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</si>
  <si>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</si>
  <si>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</si>
  <si>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</si>
  <si>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</si>
  <si>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</si>
  <si>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</si>
  <si>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</si>
  <si>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</si>
  <si>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</si>
  <si>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</si>
  <si>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</si>
  <si>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</si>
  <si>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</si>
  <si>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</si>
  <si>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</si>
  <si>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</si>
  <si>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</si>
  <si>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</si>
  <si>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</si>
  <si>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</si>
  <si>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</si>
  <si>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</si>
  <si>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</si>
  <si>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</si>
  <si>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</si>
  <si>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</si>
  <si>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</si>
  <si>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</si>
  <si>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</si>
  <si>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</si>
  <si>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</si>
  <si>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</si>
  <si>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</si>
  <si>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</si>
  <si>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</si>
  <si>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</si>
  <si>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</si>
  <si>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</si>
  <si>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</si>
  <si>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</si>
  <si>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</si>
  <si>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</si>
  <si>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</si>
  <si>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</si>
  <si>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</si>
  <si>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</si>
  <si>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</si>
  <si>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</si>
  <si>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</si>
  <si>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</si>
  <si>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</si>
  <si>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</si>
  <si>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</si>
  <si>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</si>
  <si>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</si>
  <si>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</si>
  <si>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</si>
  <si>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</si>
  <si>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</si>
  <si>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</si>
  <si>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</si>
  <si>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</si>
  <si>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</si>
  <si>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</si>
  <si>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</si>
  <si>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</si>
  <si>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</si>
  <si>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</si>
  <si>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</si>
  <si>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</si>
  <si>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</si>
  <si>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</si>
  <si>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</si>
  <si>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</si>
  <si>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</si>
  <si>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</si>
  <si>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</si>
  <si>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</si>
  <si>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</si>
  <si>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</si>
  <si>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</si>
  <si>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</si>
  <si>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</si>
  <si>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</si>
  <si>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</si>
  <si>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</si>
  <si>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</si>
  <si>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</si>
  <si>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</si>
  <si>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</si>
  <si>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</si>
  <si>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</si>
  <si>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</si>
  <si>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</si>
  <si>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</si>
  <si>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</si>
  <si>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</si>
  <si>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</si>
  <si>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</si>
  <si>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</si>
  <si>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</si>
  <si>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</si>
  <si>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</si>
  <si>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</si>
  <si>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</si>
  <si>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</si>
  <si>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</si>
  <si>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</si>
  <si>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</si>
  <si>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</si>
  <si>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</si>
  <si>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</si>
  <si>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</si>
  <si>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</si>
  <si>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</si>
  <si>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</si>
  <si>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</si>
  <si>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</si>
  <si>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</si>
  <si>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</si>
  <si>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</si>
  <si>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</si>
  <si>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</si>
  <si>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</si>
  <si>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</si>
  <si>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</si>
  <si>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</si>
  <si>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</si>
  <si>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</si>
  <si>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</si>
  <si>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</si>
  <si>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</si>
  <si>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</si>
  <si>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</si>
  <si>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</si>
  <si>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</si>
  <si>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</si>
  <si>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</si>
  <si>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</si>
  <si>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</si>
  <si>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</si>
  <si>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</si>
  <si>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</si>
  <si>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</si>
  <si>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</si>
  <si>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</si>
  <si>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</si>
  <si>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</si>
  <si>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</si>
  <si>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</si>
  <si>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</si>
  <si>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</si>
  <si>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</si>
  <si>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</si>
  <si>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</si>
  <si>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</si>
  <si>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</si>
  <si>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</si>
  <si>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</si>
  <si>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</si>
  <si>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</si>
  <si>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</si>
  <si>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</si>
  <si>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</si>
  <si>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</si>
  <si>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</si>
  <si>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</si>
  <si>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</si>
  <si>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</si>
  <si>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</si>
  <si>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</si>
  <si>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</si>
  <si>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</si>
  <si>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</si>
  <si>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</si>
  <si>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</si>
  <si>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</si>
  <si>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</si>
  <si>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</si>
  <si>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</si>
  <si>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</si>
  <si>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</si>
  <si>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</si>
  <si>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</si>
  <si>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</si>
  <si>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</si>
  <si>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</si>
  <si>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</si>
  <si>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</si>
  <si>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</si>
  <si>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</si>
  <si>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</si>
  <si>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</si>
  <si>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</si>
  <si>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</si>
  <si>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</si>
  <si>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</si>
  <si>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</si>
  <si>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</si>
  <si>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</si>
  <si>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</si>
  <si>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</si>
  <si>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</si>
  <si>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</si>
  <si>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</si>
  <si>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</si>
  <si>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</si>
  <si>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</si>
  <si>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</si>
  <si>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</si>
  <si>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</si>
  <si>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</si>
  <si>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</si>
  <si>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</si>
  <si>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</si>
  <si>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</si>
  <si>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</si>
  <si>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</si>
  <si>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</si>
  <si>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</si>
  <si>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</si>
  <si>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</si>
  <si>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</si>
  <si>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</si>
  <si>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</si>
  <si>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</si>
  <si>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</si>
  <si>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</si>
  <si>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</si>
  <si>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</si>
  <si>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</si>
  <si>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</si>
  <si>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</si>
  <si>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</si>
  <si>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</si>
  <si>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</si>
  <si>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</si>
  <si>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</si>
  <si>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</si>
  <si>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</si>
  <si>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</si>
  <si>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</si>
  <si>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</si>
  <si>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</si>
  <si>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</si>
  <si>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</si>
  <si>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</si>
  <si>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</si>
  <si>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</si>
  <si>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</si>
  <si>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</si>
  <si>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</si>
  <si>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</si>
  <si>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</si>
  <si>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</si>
  <si>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</si>
  <si>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</si>
  <si>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</si>
  <si>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</si>
  <si>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</si>
  <si>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</si>
  <si>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</si>
  <si>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</si>
  <si>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</si>
  <si>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</si>
  <si>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</si>
  <si>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</si>
  <si>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</si>
  <si>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</si>
  <si>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</si>
  <si>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</si>
  <si>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</si>
  <si>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</si>
  <si>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</si>
  <si>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</si>
  <si>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</si>
  <si>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</si>
  <si>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</si>
  <si>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</si>
  <si>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</si>
  <si>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</si>
  <si>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</si>
  <si>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</si>
  <si>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</si>
  <si>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</si>
  <si>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</si>
  <si>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</si>
  <si>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</si>
  <si>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</si>
  <si>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</si>
  <si>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</si>
  <si>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</si>
  <si>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</si>
  <si>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</si>
  <si>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</si>
  <si>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</si>
  <si>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</si>
  <si>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</si>
  <si>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</si>
  <si>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</si>
  <si>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</si>
  <si>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</si>
  <si>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</si>
  <si>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</si>
  <si>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</si>
  <si>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</si>
  <si>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</si>
  <si>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</si>
  <si>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</si>
  <si>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</si>
  <si>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</si>
  <si>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</si>
  <si>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</si>
  <si>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</si>
  <si>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</si>
  <si>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</si>
  <si>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</si>
  <si>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</si>
  <si>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</si>
  <si>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</si>
  <si>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</si>
  <si>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</si>
  <si>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</si>
  <si>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</si>
  <si>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</si>
  <si>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</si>
  <si>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</si>
  <si>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</si>
  <si>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</si>
  <si>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</si>
  <si>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</si>
  <si>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</si>
  <si>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</si>
  <si>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</si>
  <si>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</si>
  <si>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</si>
  <si>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</si>
  <si>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</si>
  <si>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</si>
  <si>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</si>
  <si>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</si>
  <si>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</si>
  <si>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</si>
  <si>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</si>
  <si>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</si>
  <si>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</si>
  <si>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</si>
  <si>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</si>
  <si>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</si>
  <si>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</si>
  <si>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</si>
  <si>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</si>
  <si>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</si>
  <si>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</si>
  <si>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</si>
  <si>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</si>
  <si>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</si>
  <si>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</si>
  <si>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</si>
  <si>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</si>
  <si>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</si>
  <si>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</si>
  <si>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</si>
  <si>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</si>
  <si>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</si>
  <si>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</si>
  <si>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</si>
  <si>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</si>
  <si>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</si>
  <si>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</si>
  <si>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</si>
  <si>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</si>
  <si>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</si>
  <si>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</si>
  <si>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</si>
  <si>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</si>
  <si>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</si>
  <si>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</si>
  <si>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</si>
  <si>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</si>
  <si>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</si>
  <si>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</si>
  <si>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</si>
  <si>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</si>
  <si>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</si>
  <si>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</si>
  <si>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</si>
  <si>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</si>
  <si>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</si>
  <si>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</si>
  <si>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</si>
  <si>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</si>
  <si>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</si>
  <si>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</si>
  <si>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</si>
  <si>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</si>
  <si>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</si>
  <si>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</si>
  <si>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</si>
  <si>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</si>
  <si>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</si>
  <si>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</si>
  <si>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</si>
  <si>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</si>
  <si>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</si>
  <si>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</si>
  <si>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</si>
  <si>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</si>
  <si>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</si>
  <si>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</si>
  <si>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</si>
  <si>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</si>
  <si>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</si>
  <si>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</si>
  <si>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</si>
  <si>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</si>
  <si>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</si>
  <si>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</si>
  <si>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</si>
  <si>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</si>
  <si>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</si>
  <si>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</si>
  <si>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</si>
  <si>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</si>
  <si>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</si>
  <si>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</si>
  <si>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</si>
  <si>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</si>
  <si>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</si>
  <si>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</si>
  <si>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</si>
  <si>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</si>
  <si>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</si>
  <si>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</si>
  <si>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</si>
  <si>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</si>
  <si>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</si>
  <si>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</si>
  <si>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</si>
  <si>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</si>
  <si>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</si>
  <si>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</si>
  <si>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</si>
  <si>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</si>
  <si>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</si>
  <si>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</si>
  <si>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</si>
  <si>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</si>
  <si>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</si>
  <si>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</si>
  <si>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</si>
  <si>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</si>
  <si>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</si>
  <si>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</si>
  <si>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</si>
  <si>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</si>
  <si>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</si>
  <si>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</si>
  <si>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</si>
  <si>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</si>
  <si>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</si>
  <si>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</si>
  <si>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</si>
  <si>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</si>
  <si>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</si>
  <si>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</si>
  <si>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</si>
  <si>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</si>
  <si>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</si>
  <si>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</si>
  <si>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</si>
  <si>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</si>
  <si>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</si>
  <si>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</si>
  <si>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</si>
  <si>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</si>
  <si>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</si>
  <si>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</si>
  <si>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</si>
  <si>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</si>
  <si>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</si>
  <si>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</si>
  <si>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</si>
  <si>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</si>
  <si>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</si>
  <si>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</si>
  <si>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</si>
  <si>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</si>
  <si>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</si>
  <si>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</si>
  <si>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</si>
  <si>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</si>
  <si>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</si>
  <si>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</si>
  <si>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</si>
  <si>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</si>
  <si>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</si>
  <si>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</si>
  <si>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</si>
  <si>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</si>
  <si>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</si>
  <si>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</si>
  <si>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</si>
  <si>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</si>
  <si>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</si>
  <si>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</si>
  <si>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</si>
  <si>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</si>
  <si>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</si>
  <si>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</si>
  <si>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</si>
  <si>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</si>
  <si>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</si>
  <si>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</si>
  <si>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</si>
  <si>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</si>
  <si>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</si>
  <si>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</si>
  <si>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</si>
  <si>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</si>
  <si>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</si>
  <si>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</si>
  <si>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</si>
  <si>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</si>
  <si>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</si>
  <si>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</si>
  <si>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</si>
  <si>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</si>
  <si>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</si>
  <si>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</si>
  <si>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</si>
  <si>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</si>
  <si>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</si>
  <si>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</si>
  <si>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</si>
  <si>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</si>
  <si>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</si>
  <si>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</si>
  <si>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</si>
  <si>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</si>
  <si>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</si>
  <si>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</si>
  <si>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</si>
  <si>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</si>
  <si>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</si>
  <si>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</si>
  <si>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</si>
  <si>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</si>
  <si>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</si>
  <si>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</si>
  <si>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</si>
  <si>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</si>
  <si>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</si>
  <si>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</si>
  <si>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</si>
  <si>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</si>
  <si>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</si>
  <si>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</si>
  <si>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</si>
  <si>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</si>
  <si>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</si>
  <si>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</si>
  <si>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</si>
  <si>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</si>
  <si>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</si>
  <si>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</si>
  <si>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</si>
  <si>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</si>
  <si>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</si>
  <si>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</si>
  <si>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</si>
  <si>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</si>
  <si>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</si>
  <si>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</si>
  <si>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</si>
  <si>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</si>
  <si>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</si>
  <si>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</si>
  <si>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</si>
  <si>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</si>
  <si>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</si>
  <si>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</si>
  <si>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</si>
  <si>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</si>
  <si>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</si>
  <si>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</si>
  <si>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</si>
  <si>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</si>
  <si>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</si>
  <si>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</si>
  <si>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</si>
  <si>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</si>
  <si>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</si>
  <si>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</si>
  <si>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</si>
  <si>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</si>
  <si>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</si>
  <si>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</si>
  <si>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</si>
  <si>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</si>
  <si>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</si>
  <si>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</si>
  <si>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</si>
  <si>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</si>
  <si>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</si>
  <si>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</si>
  <si>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</si>
  <si>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</si>
  <si>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</si>
  <si>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</si>
  <si>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</si>
  <si>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</si>
  <si>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</si>
  <si>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</si>
  <si>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</si>
  <si>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</si>
  <si>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</si>
  <si>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</si>
  <si>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</si>
  <si>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</si>
  <si>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</si>
  <si>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</si>
  <si>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</si>
  <si>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</si>
  <si>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</si>
  <si>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</si>
  <si>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</si>
  <si>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</si>
  <si>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</si>
  <si>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</si>
  <si>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</si>
  <si>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</si>
  <si>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</si>
  <si>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</si>
  <si>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</si>
  <si>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</si>
  <si>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</si>
  <si>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</si>
  <si>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</si>
  <si>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</si>
  <si>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</si>
  <si>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</si>
  <si>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</si>
  <si>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</si>
  <si>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</si>
  <si>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</si>
  <si>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</si>
  <si>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</si>
  <si>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</si>
  <si>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</si>
  <si>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</si>
  <si>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</si>
  <si>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</si>
  <si>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</si>
  <si>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</si>
  <si>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</si>
  <si>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</si>
  <si>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</si>
  <si>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</si>
  <si>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</si>
  <si>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</si>
  <si>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</si>
  <si>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</si>
  <si>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</si>
  <si>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</si>
  <si>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</si>
  <si>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</si>
  <si>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</si>
  <si>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</si>
  <si>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</si>
  <si>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</si>
  <si>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</si>
  <si>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</si>
  <si>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</si>
  <si>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</si>
  <si>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</si>
  <si>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</si>
  <si>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</si>
  <si>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</si>
  <si>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</si>
  <si>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</si>
  <si>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</si>
  <si>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</si>
  <si>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</si>
  <si>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</si>
  <si>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</si>
  <si>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</si>
  <si>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</si>
  <si>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</si>
  <si>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</si>
  <si>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</si>
  <si>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</si>
  <si>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</si>
  <si>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</si>
  <si>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</si>
  <si>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</si>
  <si>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</si>
  <si>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</si>
  <si>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</si>
  <si>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</si>
  <si>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</si>
  <si>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</si>
  <si>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</si>
  <si>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</si>
  <si>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</si>
  <si>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</si>
  <si>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</si>
  <si>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</si>
  <si>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</si>
  <si>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</si>
  <si>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</si>
  <si>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</si>
  <si>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</si>
  <si>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</si>
  <si>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</si>
  <si>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</si>
  <si>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</si>
  <si>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</si>
  <si>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</si>
  <si>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</si>
  <si>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</si>
  <si>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</si>
  <si>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</si>
  <si>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</si>
  <si>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</si>
  <si>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</si>
  <si>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</si>
  <si>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</si>
  <si>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</si>
  <si>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</si>
  <si>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</si>
  <si>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</si>
  <si>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</si>
  <si>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</si>
  <si>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</si>
  <si>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</si>
  <si>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</si>
  <si>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</si>
  <si>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</si>
  <si>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</si>
  <si>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</si>
  <si>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</si>
  <si>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</si>
  <si>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</si>
  <si>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</si>
  <si>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</si>
  <si>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</si>
  <si>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</si>
  <si>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</si>
  <si>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</si>
  <si>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</si>
  <si>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</si>
  <si>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</si>
  <si>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</si>
  <si>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</si>
  <si>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</si>
  <si>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</si>
  <si>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</si>
  <si>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</si>
  <si>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</si>
  <si>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</si>
  <si>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</si>
  <si>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</si>
  <si>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</si>
  <si>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</si>
  <si>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</si>
  <si>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</si>
  <si>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</si>
  <si>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</si>
  <si>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</si>
  <si>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</si>
  <si>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</si>
  <si>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</si>
  <si>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</si>
  <si>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</si>
  <si>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</si>
  <si>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</si>
  <si>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</si>
  <si>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</si>
  <si>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</si>
  <si>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</si>
  <si>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</si>
  <si>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</si>
  <si>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</si>
  <si>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</si>
  <si>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</si>
  <si>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</si>
  <si>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</si>
  <si>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</si>
  <si>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</si>
  <si>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</si>
  <si>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</si>
  <si>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</si>
  <si>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</si>
  <si>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</si>
  <si>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</si>
  <si>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</si>
  <si>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</si>
  <si>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</si>
  <si>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</si>
  <si>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</si>
  <si>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</si>
  <si>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</si>
  <si>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</si>
  <si>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</si>
  <si>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</si>
  <si>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</si>
  <si>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</si>
  <si>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</si>
  <si>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</si>
  <si>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</si>
  <si>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</si>
  <si>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</si>
  <si>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</si>
  <si>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</si>
  <si>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</si>
  <si>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</si>
  <si>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</si>
  <si>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</si>
  <si>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</si>
  <si>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</si>
  <si>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</si>
  <si>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</si>
  <si>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</si>
  <si>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</si>
  <si>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</si>
  <si>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</si>
  <si>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</si>
  <si>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</si>
  <si>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</si>
  <si>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</si>
  <si>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</si>
  <si>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</si>
  <si>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</si>
  <si>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</si>
  <si>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</si>
  <si>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</si>
  <si>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</si>
  <si>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</si>
  <si>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</si>
  <si>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</si>
  <si>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</si>
  <si>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</si>
  <si>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</si>
  <si>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</si>
  <si>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</si>
  <si>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</si>
  <si>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</si>
  <si>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</si>
  <si>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</si>
  <si>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</si>
  <si>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</si>
  <si>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</si>
  <si>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</si>
  <si>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</si>
  <si>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</si>
  <si>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</si>
  <si>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</si>
  <si>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</si>
  <si>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</si>
  <si>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</si>
  <si>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</si>
  <si>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</si>
  <si>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</si>
  <si>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</si>
  <si>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</si>
  <si>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</si>
  <si>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</si>
  <si>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</si>
  <si>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</si>
  <si>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</si>
  <si>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</si>
  <si>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</si>
  <si>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</si>
  <si>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</si>
  <si>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</si>
  <si>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</si>
  <si>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</si>
  <si>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</si>
  <si>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</si>
  <si>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</si>
  <si>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</si>
  <si>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</si>
  <si>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</si>
  <si>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</si>
  <si>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</si>
  <si>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</si>
  <si>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</si>
  <si>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</si>
  <si>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</si>
  <si>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</si>
  <si>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</si>
  <si>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</si>
  <si>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</si>
  <si>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</si>
  <si>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</si>
  <si>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</si>
  <si>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</si>
  <si>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</si>
  <si>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</si>
  <si>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</si>
  <si>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</si>
  <si>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</si>
  <si>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</si>
  <si>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</si>
  <si>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</si>
  <si>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</si>
  <si>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</si>
  <si>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</si>
  <si>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</si>
  <si>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</si>
  <si>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</si>
  <si>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</si>
  <si>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</si>
  <si>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</si>
  <si>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</si>
  <si>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</si>
  <si>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</si>
  <si>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</si>
  <si>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</si>
  <si>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</si>
  <si>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</si>
  <si>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</si>
  <si>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</si>
  <si>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</si>
  <si>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</si>
  <si>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</si>
  <si>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</si>
  <si>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</si>
  <si>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</si>
  <si>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</si>
  <si>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</si>
  <si>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</si>
  <si>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</si>
  <si>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</si>
  <si>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</si>
  <si>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</si>
  <si>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</si>
  <si>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</si>
  <si>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</si>
  <si>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</si>
  <si>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</si>
  <si>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</si>
  <si>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</si>
  <si>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</si>
  <si>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</si>
  <si>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</si>
  <si>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</si>
  <si>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</si>
  <si>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</si>
  <si>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</si>
  <si>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</si>
  <si>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</si>
  <si>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</si>
  <si>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</si>
  <si>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</si>
  <si>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</si>
  <si>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</si>
  <si>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</si>
  <si>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</si>
  <si>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</si>
  <si>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</si>
  <si>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</si>
  <si>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</si>
  <si>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</si>
  <si>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</si>
  <si>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</si>
  <si>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</si>
  <si>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</si>
  <si>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</si>
  <si>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</si>
  <si>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</si>
  <si>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</si>
  <si>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</si>
  <si>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</si>
  <si>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</si>
  <si>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</si>
  <si>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</si>
  <si>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</si>
  <si>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</si>
  <si>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</si>
  <si>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</si>
  <si>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</si>
  <si>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</si>
  <si>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</si>
  <si>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</si>
  <si>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</si>
  <si>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</si>
  <si>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</si>
  <si>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</si>
  <si>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</si>
  <si>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</si>
  <si>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</si>
  <si>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</si>
  <si>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</si>
  <si>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</si>
  <si>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</si>
  <si>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</si>
  <si>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</si>
  <si>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</si>
  <si>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</si>
  <si>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</si>
  <si>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</si>
  <si>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</si>
  <si>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</si>
  <si>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</si>
  <si>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</si>
  <si>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</si>
  <si>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</si>
  <si>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</si>
  <si>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</si>
  <si>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</si>
  <si>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</si>
  <si>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</si>
  <si>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</si>
  <si>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</si>
  <si>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</si>
  <si>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</si>
  <si>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</si>
  <si>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</si>
  <si>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</si>
  <si>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</si>
  <si>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</si>
  <si>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</si>
  <si>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</si>
  <si>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</si>
  <si>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</si>
  <si>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</si>
  <si>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</si>
  <si>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</si>
  <si>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</si>
  <si>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</si>
  <si>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</si>
  <si>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</si>
  <si>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</si>
  <si>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</si>
  <si>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</si>
  <si>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</si>
  <si>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</si>
  <si>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</si>
  <si>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</si>
  <si>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</si>
  <si>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</si>
  <si>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</si>
  <si>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</si>
  <si>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</si>
  <si>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</si>
  <si>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</si>
  <si>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</si>
  <si>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</si>
  <si>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</si>
  <si>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</si>
  <si>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</si>
  <si>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</si>
  <si>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</si>
  <si>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</si>
  <si>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</si>
  <si>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</si>
  <si>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</si>
  <si>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</si>
  <si>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</si>
  <si>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</si>
  <si>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</si>
  <si>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</si>
  <si>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</si>
  <si>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</si>
  <si>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</si>
  <si>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</si>
  <si>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</si>
  <si>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</si>
  <si>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</si>
  <si>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</si>
  <si>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</si>
  <si>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</si>
  <si>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</si>
  <si>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</si>
  <si>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</si>
  <si>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</si>
  <si>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</si>
  <si>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</si>
  <si>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</si>
  <si>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</si>
  <si>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</si>
  <si>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</si>
  <si>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</si>
  <si>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</si>
  <si>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</si>
  <si>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</si>
  <si>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</si>
  <si>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</si>
  <si>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</si>
  <si>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</si>
  <si>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</si>
  <si>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</si>
  <si>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</si>
  <si>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</si>
  <si>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</si>
  <si>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</si>
  <si>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</si>
  <si>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</si>
  <si>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</si>
  <si>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</si>
  <si>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</si>
  <si>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</si>
  <si>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</si>
  <si>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</si>
  <si>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</si>
  <si>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</si>
  <si>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</si>
  <si>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</si>
  <si>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</si>
  <si>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</si>
  <si>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</si>
  <si>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</si>
  <si>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</si>
  <si>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</si>
  <si>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</si>
  <si>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</si>
  <si>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</si>
  <si>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</si>
  <si>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</si>
  <si>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</si>
  <si>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</si>
  <si>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</si>
  <si>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</si>
  <si>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</si>
  <si>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</si>
  <si>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</si>
  <si>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</si>
  <si>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</si>
  <si>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</si>
  <si>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</si>
  <si>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</si>
  <si>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</si>
  <si>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</si>
  <si>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</si>
  <si>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</si>
  <si>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</si>
  <si>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</si>
  <si>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</si>
  <si>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</si>
  <si>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</si>
  <si>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</si>
  <si>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</si>
  <si>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</si>
  <si>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</si>
  <si>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</si>
  <si>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</si>
  <si>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</si>
  <si>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</si>
  <si>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</si>
  <si>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</si>
  <si>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</si>
  <si>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</si>
  <si>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</si>
  <si>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</si>
  <si>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</si>
  <si>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</si>
  <si>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</si>
  <si>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</si>
  <si>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</si>
  <si>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</si>
  <si>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</si>
  <si>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</si>
  <si>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</si>
  <si>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</si>
  <si>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</si>
  <si>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</si>
  <si>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</si>
  <si>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</si>
  <si>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</si>
  <si>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</si>
  <si>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</si>
  <si>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</si>
  <si>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</si>
  <si>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</si>
  <si>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</si>
  <si>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</si>
  <si>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</si>
  <si>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</si>
  <si>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</si>
  <si>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</si>
  <si>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</si>
  <si>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</si>
  <si>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</si>
  <si>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</si>
  <si>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</si>
  <si>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</si>
  <si>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</si>
  <si>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</si>
  <si>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</si>
  <si>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</si>
  <si>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</si>
  <si>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</si>
  <si>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</si>
  <si>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</si>
  <si>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</si>
  <si>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</si>
  <si>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</si>
  <si>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</si>
  <si>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</si>
  <si>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</si>
  <si>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</si>
  <si>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</si>
  <si>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</si>
  <si>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</si>
  <si>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</si>
  <si>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</si>
  <si>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</si>
  <si>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</si>
  <si>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</si>
  <si>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</si>
  <si>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</si>
  <si>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</si>
  <si>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</si>
  <si>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</si>
  <si>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</si>
  <si>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</si>
  <si>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</si>
  <si>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</si>
  <si>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</si>
  <si>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</si>
  <si>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</si>
  <si>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</si>
  <si>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</si>
  <si>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</si>
  <si>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</si>
  <si>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</si>
  <si>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</si>
  <si>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</si>
  <si>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</si>
  <si>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</si>
  <si>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</si>
  <si>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</si>
  <si>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</si>
  <si>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</si>
  <si>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</si>
  <si>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</si>
  <si>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</si>
  <si>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</si>
  <si>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</si>
  <si>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</si>
  <si>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</si>
  <si>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</si>
  <si>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</si>
  <si>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</si>
  <si>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</si>
  <si>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</si>
  <si>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</si>
  <si>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</si>
  <si>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</si>
  <si>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</si>
  <si>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</si>
  <si>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</si>
  <si>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</si>
  <si>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</si>
  <si>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</si>
  <si>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</si>
  <si>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</si>
  <si>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</si>
  <si>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</si>
  <si>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</si>
  <si>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</si>
  <si>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</si>
  <si>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</si>
  <si>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</si>
  <si>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</si>
  <si>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</si>
  <si>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</si>
  <si>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</si>
  <si>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</si>
  <si>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</si>
  <si>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</si>
  <si>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</si>
  <si>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</si>
  <si>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</si>
  <si>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</si>
  <si>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</si>
  <si>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</si>
  <si>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</si>
  <si>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</si>
  <si>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</si>
  <si>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</si>
  <si>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</si>
  <si>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</si>
  <si>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</si>
  <si>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</si>
  <si>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</si>
  <si>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</si>
  <si>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</si>
  <si>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</si>
  <si>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</si>
  <si>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</si>
  <si>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</si>
  <si>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</si>
  <si>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</si>
  <si>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</si>
  <si>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</si>
  <si>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</si>
  <si>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</si>
  <si>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</si>
  <si>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</si>
  <si>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</si>
  <si>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</si>
  <si>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</si>
  <si>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</si>
  <si>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</si>
  <si>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</si>
  <si>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</si>
  <si>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</si>
  <si>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</si>
  <si>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</si>
  <si>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</si>
  <si>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</si>
  <si>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</si>
  <si>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</si>
  <si>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</si>
  <si>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</si>
  <si>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</si>
  <si>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</si>
  <si>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</si>
  <si>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</si>
  <si>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</si>
  <si>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</si>
  <si>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</si>
  <si>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</si>
  <si>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</si>
  <si>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</si>
  <si>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</si>
  <si>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</si>
  <si>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</si>
  <si>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</si>
  <si>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</si>
  <si>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</si>
  <si>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</si>
  <si>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</si>
  <si>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</si>
  <si>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</si>
  <si>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</si>
  <si>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</si>
  <si>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</si>
  <si>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</si>
  <si>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</si>
  <si>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</si>
  <si>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</si>
  <si>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</si>
  <si>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</si>
  <si>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</si>
  <si>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</si>
  <si>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</si>
  <si>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</si>
  <si>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</si>
  <si>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</si>
  <si>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</si>
  <si>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</si>
  <si>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</si>
  <si>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</si>
  <si>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</si>
  <si>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</si>
  <si>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</si>
  <si>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</si>
  <si>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</si>
  <si>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</si>
  <si>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</si>
  <si>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</si>
  <si>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</si>
  <si>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</si>
  <si>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</si>
  <si>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</si>
  <si>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</si>
  <si>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</si>
  <si>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</si>
  <si>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</si>
  <si>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</si>
  <si>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</si>
  <si>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</si>
  <si>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</si>
  <si>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</si>
  <si>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</si>
  <si>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</si>
  <si>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</si>
  <si>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</si>
  <si>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</si>
  <si>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</si>
  <si>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</si>
  <si>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</si>
  <si>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</si>
  <si>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</si>
  <si>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</si>
  <si>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</si>
  <si>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</si>
  <si>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</si>
  <si>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</si>
  <si>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</si>
  <si>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</si>
  <si>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</si>
  <si>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</si>
  <si>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</si>
  <si>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</si>
  <si>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</si>
  <si>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</si>
  <si>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</si>
  <si>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</si>
  <si>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</si>
  <si>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</si>
  <si>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</si>
  <si>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</si>
  <si>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</si>
  <si>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</si>
  <si>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</si>
  <si>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</si>
  <si>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</si>
  <si>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</si>
  <si>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</si>
  <si>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</si>
  <si>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</si>
  <si>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</si>
  <si>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</si>
  <si>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</si>
  <si>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</si>
  <si>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</si>
  <si>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</si>
  <si>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</si>
  <si>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</si>
  <si>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</si>
  <si>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</si>
  <si>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</si>
  <si>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</si>
  <si>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</si>
  <si>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</si>
  <si>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</si>
  <si>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</si>
  <si>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</si>
  <si>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</si>
  <si>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</si>
  <si>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</si>
  <si>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</si>
  <si>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</si>
  <si>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</si>
  <si>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</si>
  <si>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</si>
  <si>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</si>
  <si>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</si>
  <si>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</si>
  <si>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</si>
  <si>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</si>
  <si>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</si>
  <si>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</si>
  <si>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</si>
  <si>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</si>
  <si>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</si>
  <si>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</si>
  <si>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</si>
  <si>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</si>
  <si>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</si>
  <si>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</si>
  <si>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</si>
  <si>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</si>
  <si>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</si>
  <si>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</si>
  <si>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</si>
  <si>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</si>
  <si>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</si>
  <si>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</si>
  <si>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</si>
  <si>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</si>
  <si>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</si>
  <si>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</si>
  <si>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</si>
  <si>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</si>
  <si>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</si>
  <si>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</si>
  <si>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</si>
  <si>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</si>
  <si>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</si>
  <si>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</si>
  <si>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</si>
  <si>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</si>
  <si>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</si>
  <si>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</si>
  <si>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</si>
  <si>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</si>
  <si>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</si>
  <si>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</si>
  <si>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</si>
  <si>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</si>
  <si>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</si>
  <si>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</si>
  <si>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</si>
  <si>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</si>
  <si>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</si>
  <si>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</si>
  <si>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</si>
  <si>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</si>
  <si>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</si>
  <si>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</si>
  <si>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</si>
  <si>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</si>
  <si>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</si>
  <si>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</si>
  <si>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</si>
  <si>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</si>
  <si>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</si>
  <si>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</si>
  <si>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</si>
  <si>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</si>
  <si>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</si>
  <si>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</si>
  <si>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</si>
  <si>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</si>
  <si>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</si>
  <si>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</si>
  <si>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</si>
  <si>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</si>
  <si>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</si>
  <si>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</si>
  <si>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</si>
  <si>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</si>
  <si>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</si>
  <si>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</si>
  <si>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</si>
  <si>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</si>
  <si>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</si>
  <si>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</si>
  <si>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</si>
  <si>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</si>
  <si>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</si>
  <si>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</si>
  <si>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</si>
  <si>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</si>
  <si>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</si>
  <si>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</si>
  <si>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</si>
  <si>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</si>
  <si>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</si>
  <si>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</si>
  <si>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</si>
  <si>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</si>
  <si>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</si>
  <si>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</si>
  <si>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</si>
  <si>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</si>
  <si>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</si>
  <si>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</si>
  <si>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</si>
  <si>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</si>
  <si>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</si>
  <si>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</si>
  <si>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</si>
  <si>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</si>
  <si>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</si>
  <si>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</si>
  <si>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</si>
  <si>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</si>
  <si>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</si>
  <si>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</si>
  <si>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</si>
  <si>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</si>
  <si>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</si>
  <si>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</si>
  <si>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</si>
  <si>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</si>
  <si>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</si>
  <si>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</si>
  <si>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</si>
  <si>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</si>
  <si>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</si>
  <si>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</si>
  <si>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</si>
  <si>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</si>
  <si>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</si>
  <si>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</si>
  <si>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</si>
  <si>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</si>
  <si>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</si>
  <si>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</si>
  <si>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</si>
  <si>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</si>
  <si>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</si>
  <si>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</si>
  <si>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</si>
  <si>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</si>
  <si>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</si>
  <si>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</si>
  <si>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</si>
  <si>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</si>
  <si>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</si>
  <si>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</si>
  <si>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</si>
  <si>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</si>
  <si>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</si>
  <si>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</si>
  <si>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</si>
  <si>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</si>
  <si>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</si>
  <si>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</si>
  <si>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</si>
  <si>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</si>
  <si>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</si>
  <si>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</si>
  <si>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</si>
  <si>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</si>
  <si>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</si>
  <si>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</si>
  <si>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</si>
  <si>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</si>
  <si>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</si>
  <si>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</si>
  <si>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</si>
  <si>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</si>
  <si>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</si>
  <si>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</si>
  <si>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</si>
  <si>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</si>
  <si>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</si>
  <si>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</si>
  <si>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</si>
  <si>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</si>
  <si>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</si>
  <si>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</si>
  <si>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</si>
  <si>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</si>
  <si>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</si>
  <si>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</si>
  <si>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</si>
  <si>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</si>
  <si>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</si>
  <si>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</si>
  <si>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</si>
  <si>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</si>
  <si>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</si>
  <si>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</si>
  <si>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</si>
  <si>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</si>
  <si>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</si>
  <si>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</si>
  <si>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</si>
  <si>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</si>
  <si>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</si>
  <si>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</si>
  <si>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</si>
  <si>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</si>
  <si>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</si>
  <si>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</si>
  <si>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</si>
  <si>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</si>
  <si>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</si>
  <si>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</si>
  <si>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</si>
  <si>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</si>
  <si>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</si>
  <si>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</si>
  <si>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</si>
  <si>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</si>
  <si>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</si>
  <si>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</si>
  <si>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</si>
  <si>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</si>
  <si>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</si>
  <si>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</si>
  <si>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</si>
  <si>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</si>
  <si>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</si>
  <si>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</si>
  <si>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</si>
  <si>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</si>
  <si>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</si>
  <si>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</si>
  <si>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</si>
  <si>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</si>
  <si>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</si>
  <si>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</si>
  <si>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</si>
  <si>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</si>
  <si>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</si>
  <si>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</si>
  <si>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</si>
  <si>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</si>
  <si>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</si>
  <si>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</si>
  <si>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</si>
  <si>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</si>
  <si>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</si>
  <si>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</si>
  <si>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</si>
  <si>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</si>
  <si>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</si>
  <si>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</si>
  <si>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</si>
  <si>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</si>
  <si>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</si>
  <si>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</si>
  <si>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</si>
  <si>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</si>
  <si>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</si>
  <si>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</si>
  <si>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</si>
  <si>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</si>
  <si>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</si>
  <si>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</si>
  <si>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</si>
  <si>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</si>
  <si>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</si>
  <si>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</si>
  <si>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</si>
  <si>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</si>
  <si>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</si>
  <si>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</si>
  <si>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</si>
  <si>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</si>
  <si>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</si>
  <si>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</si>
  <si>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</si>
  <si>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</si>
  <si>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</si>
  <si>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</si>
  <si>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</si>
  <si>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</si>
  <si>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</si>
  <si>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</si>
  <si>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</si>
  <si>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</si>
  <si>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</si>
  <si>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</si>
  <si>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</si>
  <si>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</si>
  <si>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</si>
  <si>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</si>
  <si>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</si>
  <si>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</si>
  <si>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</si>
  <si>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</si>
  <si>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</si>
  <si>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</si>
  <si>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</si>
  <si>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</si>
  <si>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</si>
  <si>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</si>
  <si>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</si>
  <si>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</si>
  <si>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</si>
  <si>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</si>
  <si>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</si>
  <si>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</si>
  <si>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</si>
  <si>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</si>
  <si>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</si>
  <si>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</si>
  <si>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</si>
  <si>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</si>
  <si>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</si>
  <si>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</si>
  <si>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</si>
  <si>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</si>
  <si>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</si>
  <si>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</si>
  <si>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</si>
  <si>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</si>
  <si>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</si>
  <si>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</si>
  <si>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</si>
  <si>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</si>
  <si>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</si>
  <si>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</si>
  <si>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</si>
  <si>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</si>
  <si>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</si>
  <si>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</si>
  <si>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</si>
  <si>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</si>
  <si>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</si>
  <si>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</si>
  <si>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</si>
  <si>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</si>
  <si>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</si>
  <si>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</si>
  <si>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</si>
  <si>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</si>
  <si>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</si>
  <si>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</si>
  <si>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</si>
  <si>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</si>
  <si>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</si>
  <si>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</si>
  <si>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</si>
  <si>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</si>
  <si>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</si>
  <si>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</si>
  <si>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</si>
  <si>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</si>
  <si>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</si>
  <si>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</si>
  <si>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</si>
  <si>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</si>
  <si>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</si>
  <si>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</si>
  <si>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</si>
  <si>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</si>
  <si>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</si>
  <si>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</si>
  <si>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</si>
  <si>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</si>
  <si>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</si>
  <si>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</si>
  <si>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</si>
  <si>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</si>
  <si>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</si>
  <si>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</si>
  <si>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</si>
  <si>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</si>
  <si>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</si>
  <si>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</si>
  <si>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</si>
  <si>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</si>
  <si>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</si>
  <si>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</si>
  <si>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</si>
  <si>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</si>
  <si>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</si>
  <si>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</si>
  <si>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</si>
  <si>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</si>
  <si>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</si>
  <si>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</si>
  <si>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</si>
  <si>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</si>
  <si>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</si>
  <si>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</si>
  <si>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</si>
  <si>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</si>
  <si>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</si>
  <si>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</si>
  <si>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</si>
  <si>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</si>
  <si>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</si>
  <si>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</si>
  <si>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</si>
  <si>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</si>
  <si>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</si>
  <si>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</si>
  <si>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</si>
  <si>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</si>
  <si>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</si>
  <si>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</si>
  <si>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</si>
  <si>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</si>
  <si>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</si>
  <si>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</si>
  <si>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</si>
  <si>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</si>
  <si>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</si>
  <si>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</si>
  <si>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</si>
  <si>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</si>
  <si>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</si>
  <si>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</si>
  <si>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</si>
  <si>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</si>
  <si>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</si>
  <si>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</si>
  <si>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</si>
  <si>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</si>
  <si>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</si>
  <si>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</si>
  <si>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</si>
  <si>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</si>
  <si>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</si>
  <si>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</si>
  <si>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</si>
  <si>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</si>
  <si>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</si>
  <si>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</si>
  <si>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</si>
  <si>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</si>
  <si>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</si>
  <si>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</si>
  <si>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</si>
  <si>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</si>
  <si>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</si>
  <si>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</si>
  <si>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</si>
  <si>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</si>
  <si>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</si>
  <si>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</si>
  <si>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</si>
  <si>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</si>
  <si>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</si>
  <si>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</si>
  <si>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</si>
  <si>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</si>
  <si>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</si>
  <si>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</si>
  <si>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</si>
  <si>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</si>
  <si>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</si>
  <si>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</si>
  <si>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</si>
  <si>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</si>
  <si>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</si>
  <si>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</si>
  <si>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</si>
  <si>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</si>
  <si>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</si>
  <si>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</si>
  <si>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</si>
  <si>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</si>
  <si>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</si>
  <si>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</si>
  <si>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</si>
  <si>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</si>
  <si>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</si>
  <si>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</si>
  <si>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</si>
  <si>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</si>
  <si>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</si>
  <si>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</si>
  <si>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</si>
  <si>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</si>
  <si>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</si>
  <si>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</si>
  <si>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</si>
  <si>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</si>
  <si>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</si>
  <si>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</si>
  <si>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</si>
  <si>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</si>
  <si>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</si>
  <si>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</si>
  <si>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</si>
  <si>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</si>
  <si>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</si>
  <si>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</si>
  <si>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</si>
  <si>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</si>
  <si>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</si>
  <si>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</si>
  <si>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</si>
  <si>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</si>
  <si>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</si>
  <si>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</si>
  <si>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</si>
  <si>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</si>
  <si>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</si>
  <si>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</si>
  <si>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</si>
  <si>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</si>
  <si>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</si>
  <si>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</si>
  <si>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</si>
  <si>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</si>
  <si>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</si>
  <si>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</si>
  <si>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</si>
  <si>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</si>
  <si>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</si>
  <si>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</si>
  <si>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</si>
  <si>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</si>
  <si>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</si>
  <si>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</si>
  <si>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</si>
  <si>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</si>
  <si>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</si>
  <si>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</si>
  <si>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</si>
  <si>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</si>
  <si>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</si>
  <si>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</si>
  <si>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</si>
  <si>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</si>
  <si>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</si>
  <si>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</si>
  <si>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</si>
  <si>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</si>
  <si>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</si>
  <si>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</si>
  <si>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</si>
  <si>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</si>
  <si>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</si>
  <si>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</si>
  <si>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</si>
  <si>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</si>
  <si>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</si>
  <si>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</si>
  <si>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</si>
  <si>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</si>
  <si>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</si>
  <si>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</si>
  <si>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</si>
  <si>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</si>
  <si>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</si>
  <si>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</si>
  <si>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</si>
  <si>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</si>
  <si>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</si>
  <si>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</si>
  <si>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</si>
  <si>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</si>
  <si>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</si>
  <si>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</si>
  <si>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</si>
  <si>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</si>
  <si>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</si>
  <si>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</si>
  <si>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</si>
  <si>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</si>
  <si>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</si>
  <si>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</si>
  <si>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</si>
  <si>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</si>
  <si>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</si>
  <si>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</si>
  <si>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</si>
  <si>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</si>
  <si>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</si>
  <si>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</si>
  <si>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</si>
  <si>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</si>
  <si>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</si>
  <si>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</si>
  <si>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</si>
  <si>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</si>
  <si>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</si>
  <si>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</si>
  <si>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</si>
  <si>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</si>
  <si>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</si>
  <si>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</si>
  <si>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</si>
  <si>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</si>
  <si>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</si>
  <si>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</si>
  <si>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</si>
  <si>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</si>
  <si>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</si>
  <si>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</si>
  <si>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</si>
  <si>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</si>
  <si>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</si>
  <si>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</si>
  <si>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</si>
  <si>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</si>
  <si>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</si>
  <si>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</si>
  <si>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</si>
  <si>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</si>
  <si>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</si>
  <si>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</si>
  <si>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</si>
  <si>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</si>
  <si>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</si>
  <si>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</si>
  <si>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</si>
  <si>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</si>
  <si>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</si>
  <si>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</si>
  <si>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</si>
  <si>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</si>
  <si>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</si>
  <si>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</si>
  <si>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</si>
  <si>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</si>
  <si>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</si>
  <si>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</si>
  <si>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</si>
  <si>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</si>
  <si>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</si>
  <si>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</si>
  <si>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</si>
  <si>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</si>
  <si>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</si>
  <si>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</si>
  <si>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</si>
  <si>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</si>
  <si>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</si>
  <si>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</si>
  <si>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</si>
  <si>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</si>
  <si>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</si>
  <si>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</si>
  <si>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</si>
  <si>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</si>
  <si>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</si>
  <si>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</si>
  <si>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</si>
  <si>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</si>
  <si>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</si>
  <si>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</si>
  <si>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</si>
  <si>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</si>
  <si>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</si>
  <si>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</si>
  <si>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</si>
  <si>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</si>
  <si>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</si>
  <si>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</si>
  <si>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</si>
  <si>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</si>
  <si>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</si>
  <si>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</si>
  <si>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</si>
  <si>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</si>
  <si>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</si>
  <si>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</si>
  <si>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</si>
  <si>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</si>
  <si>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</si>
  <si>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</si>
  <si>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</si>
  <si>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</si>
  <si>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</si>
  <si>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</si>
  <si>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</si>
  <si>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</si>
  <si>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</si>
  <si>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</si>
  <si>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</si>
  <si>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</si>
  <si>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</si>
  <si>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</si>
  <si>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</si>
  <si>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</si>
  <si>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</si>
  <si>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</si>
  <si>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</si>
  <si>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</si>
  <si>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</si>
  <si>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</si>
  <si>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</si>
  <si>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</si>
  <si>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</si>
  <si>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</si>
  <si>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</si>
  <si>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</si>
  <si>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</si>
  <si>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</si>
  <si>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</si>
  <si>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</si>
  <si>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</si>
  <si>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</si>
  <si>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</si>
  <si>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</si>
  <si>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</si>
  <si>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</si>
  <si>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</si>
  <si>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</si>
  <si>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</si>
  <si>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</si>
  <si>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</si>
  <si>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</si>
  <si>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</si>
  <si>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</si>
  <si>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</si>
  <si>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</si>
  <si>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</si>
  <si>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</si>
  <si>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</si>
  <si>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</si>
  <si>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</si>
  <si>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</si>
  <si>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</si>
  <si>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</si>
  <si>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</si>
  <si>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</si>
  <si>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</si>
  <si>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</si>
  <si>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</si>
  <si>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</si>
  <si>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</si>
  <si>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</si>
  <si>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</si>
  <si>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</si>
  <si>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</si>
  <si>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</si>
  <si>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</si>
  <si>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</si>
  <si>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</si>
  <si>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</si>
  <si>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</si>
  <si>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</si>
  <si>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</si>
  <si>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</si>
  <si>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</si>
  <si>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</si>
  <si>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</si>
  <si>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</si>
  <si>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</si>
  <si>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</si>
  <si>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</si>
  <si>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</si>
  <si>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</si>
  <si>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</si>
  <si>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</si>
  <si>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</si>
  <si>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</si>
  <si>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</si>
  <si>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</si>
  <si>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</si>
  <si>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</si>
  <si>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</si>
  <si>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</si>
  <si>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</si>
  <si>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</si>
  <si>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</si>
  <si>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</si>
  <si>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</si>
  <si>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</si>
  <si>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</si>
  <si>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</si>
  <si>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</si>
  <si>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</si>
  <si>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</si>
  <si>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</si>
  <si>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</si>
  <si>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</si>
  <si>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</si>
  <si>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</si>
  <si>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</si>
  <si>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</si>
  <si>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</si>
  <si>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</si>
  <si>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</si>
  <si>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</si>
  <si>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</si>
  <si>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</si>
  <si>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</si>
  <si>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</si>
  <si>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</si>
  <si>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</si>
  <si>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</si>
  <si>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</si>
  <si>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</si>
  <si>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</si>
  <si>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</si>
  <si>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</si>
  <si>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</si>
  <si>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</si>
  <si>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</si>
  <si>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</si>
  <si>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</si>
  <si>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</si>
  <si>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</si>
  <si>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</si>
  <si>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</si>
  <si>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</si>
  <si>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</si>
  <si>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</si>
  <si>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</si>
  <si>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</si>
  <si>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</si>
  <si>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</si>
  <si>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</si>
  <si>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</si>
  <si>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</si>
  <si>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</si>
  <si>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</si>
  <si>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</si>
  <si>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</si>
  <si>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</si>
  <si>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</si>
  <si>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</si>
  <si>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</si>
  <si>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</si>
  <si>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</si>
  <si>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</si>
  <si>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</si>
  <si>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</si>
  <si>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</si>
  <si>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</si>
  <si>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</si>
  <si>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</si>
  <si>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</si>
  <si>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</si>
  <si>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</si>
  <si>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</si>
  <si>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</si>
  <si>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</si>
  <si>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</si>
  <si>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</si>
  <si>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</si>
  <si>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</si>
  <si>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</si>
  <si>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</si>
  <si>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</si>
  <si>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</si>
  <si>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</si>
  <si>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</si>
  <si>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</si>
  <si>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</si>
  <si>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</si>
  <si>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</si>
  <si>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</si>
  <si>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</si>
  <si>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</si>
  <si>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</si>
  <si>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</si>
  <si>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</si>
  <si>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</si>
  <si>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</si>
  <si>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</si>
  <si>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</si>
  <si>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</si>
  <si>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</si>
  <si>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</si>
  <si>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</si>
  <si>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</si>
  <si>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</si>
  <si>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</si>
  <si>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</si>
  <si>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</si>
  <si>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</si>
  <si>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</si>
  <si>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</si>
  <si>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</si>
  <si>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</si>
  <si>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</si>
  <si>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</si>
  <si>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</si>
  <si>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</si>
  <si>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</si>
  <si>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</si>
  <si>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</si>
  <si>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</si>
  <si>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</si>
  <si>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</si>
  <si>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</si>
  <si>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</si>
  <si>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</si>
  <si>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</si>
  <si>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</si>
  <si>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</si>
  <si>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</si>
  <si>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</si>
  <si>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</si>
  <si>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</si>
  <si>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</si>
  <si>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</si>
  <si>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</si>
  <si>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</si>
  <si>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</si>
  <si>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</si>
  <si>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</si>
  <si>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</si>
  <si>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</si>
  <si>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</si>
  <si>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</si>
  <si>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</si>
  <si>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</si>
  <si>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</si>
  <si>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</si>
  <si>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</si>
  <si>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</si>
  <si>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</si>
  <si>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</si>
  <si>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</si>
  <si>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</si>
  <si>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</si>
  <si>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</si>
  <si>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</si>
  <si>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</si>
  <si>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</si>
  <si>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</si>
  <si>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</si>
  <si>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</si>
  <si>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</si>
  <si>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</si>
  <si>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</si>
  <si>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</si>
  <si>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</si>
  <si>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</si>
  <si>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</si>
  <si>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</si>
  <si>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</si>
  <si>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</si>
  <si>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</si>
  <si>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</si>
  <si>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</si>
  <si>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</si>
  <si>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</si>
  <si>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</si>
  <si>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</si>
  <si>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</si>
  <si>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</si>
  <si>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</si>
  <si>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</si>
  <si>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</si>
  <si>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</si>
  <si>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</si>
  <si>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</si>
  <si>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</si>
  <si>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</si>
  <si>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</si>
  <si>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</si>
  <si>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</si>
  <si>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</si>
  <si>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</si>
  <si>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</si>
  <si>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</si>
  <si>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</si>
  <si>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</si>
  <si>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</si>
  <si>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</si>
  <si>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</si>
  <si>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</si>
  <si>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</si>
  <si>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</si>
  <si>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</si>
  <si>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</si>
  <si>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</si>
  <si>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</si>
  <si>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</si>
  <si>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</si>
  <si>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</si>
  <si>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</si>
  <si>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</si>
  <si>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</si>
  <si>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</si>
  <si>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</si>
  <si>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</si>
  <si>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</si>
  <si>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</si>
  <si>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</si>
  <si>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</si>
  <si>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</si>
  <si>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</si>
  <si>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</si>
  <si>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</si>
  <si>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</si>
  <si>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</si>
  <si>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</si>
  <si>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</si>
  <si>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</si>
  <si>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</si>
  <si>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</si>
  <si>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</si>
  <si>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</si>
  <si>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</si>
  <si>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</si>
  <si>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</si>
  <si>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</si>
  <si>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</si>
  <si>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</si>
  <si>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</si>
  <si>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</si>
  <si>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</si>
  <si>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</si>
  <si>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</si>
  <si>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</si>
  <si>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</si>
  <si>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</si>
  <si>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</si>
  <si>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</si>
  <si>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</si>
  <si>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</si>
  <si>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</si>
  <si>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</si>
  <si>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</si>
  <si>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</si>
  <si>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</si>
  <si>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</si>
  <si>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</si>
  <si>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</si>
  <si>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</si>
  <si>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</si>
  <si>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</si>
  <si>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</si>
  <si>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</si>
  <si>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</si>
  <si>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</si>
  <si>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</si>
  <si>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</si>
  <si>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</si>
  <si>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</si>
  <si>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</si>
  <si>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</si>
  <si>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</si>
  <si>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</si>
  <si>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</si>
  <si>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</si>
  <si>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</si>
  <si>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</si>
  <si>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</si>
  <si>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</si>
  <si>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</si>
  <si>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</si>
  <si>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</si>
  <si>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</si>
  <si>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</si>
  <si>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</si>
  <si>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</si>
  <si>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</si>
  <si>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</si>
  <si>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</si>
  <si>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</si>
  <si>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</si>
  <si>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</si>
  <si>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</si>
  <si>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</si>
  <si>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</si>
  <si>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</si>
  <si>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</si>
  <si>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</si>
  <si>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</si>
  <si>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</si>
  <si>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</si>
  <si>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</si>
  <si>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</si>
  <si>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</si>
  <si>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</si>
  <si>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</si>
  <si>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</si>
  <si>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</si>
  <si>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</si>
  <si>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</si>
  <si>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</si>
  <si>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</si>
  <si>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</si>
  <si>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</si>
  <si>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</si>
  <si>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</si>
  <si>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</si>
  <si>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</si>
  <si>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</si>
  <si>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</si>
  <si>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</si>
  <si>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</si>
  <si>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</si>
  <si>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</si>
  <si>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</si>
  <si>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</si>
  <si>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</si>
  <si>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</si>
  <si>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</si>
  <si>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</si>
  <si>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</si>
  <si>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</si>
  <si>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</si>
  <si>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</si>
  <si>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</si>
  <si>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</si>
  <si>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</si>
  <si>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</si>
  <si>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</si>
  <si>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</si>
  <si>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</si>
  <si>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</si>
  <si>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</si>
  <si>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</si>
  <si>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</si>
  <si>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</si>
  <si>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</si>
  <si>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</si>
  <si>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</si>
  <si>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</si>
  <si>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</si>
  <si>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</si>
  <si>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</si>
  <si>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</si>
  <si>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</si>
  <si>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</si>
  <si>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</si>
  <si>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</si>
  <si>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</si>
  <si>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</si>
  <si>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</si>
  <si>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</si>
  <si>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</si>
  <si>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</si>
  <si>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</si>
  <si>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</si>
  <si>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</si>
  <si>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</si>
  <si>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</si>
  <si>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</si>
  <si>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</si>
  <si>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</si>
  <si>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</si>
  <si>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</si>
  <si>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</si>
  <si>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</si>
  <si>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</si>
  <si>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</si>
  <si>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</si>
  <si>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</si>
  <si>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</si>
  <si>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</si>
  <si>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</si>
  <si>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</si>
  <si>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</si>
  <si>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</si>
  <si>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</si>
  <si>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</si>
  <si>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</si>
  <si>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</si>
  <si>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</si>
  <si>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</si>
  <si>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</si>
  <si>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</si>
  <si>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</si>
  <si>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</si>
  <si>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</si>
  <si>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</si>
  <si>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</si>
  <si>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</si>
  <si>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</si>
  <si>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</si>
  <si>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</si>
  <si>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</si>
  <si>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</si>
  <si>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</si>
  <si>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</si>
  <si>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</si>
  <si>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</si>
  <si>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</si>
  <si>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</si>
  <si>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</si>
  <si>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</si>
  <si>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</si>
  <si>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</si>
  <si>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</si>
  <si>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</si>
  <si>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</si>
  <si>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</si>
  <si>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</si>
  <si>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</si>
  <si>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</si>
  <si>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</si>
  <si>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</si>
  <si>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</si>
  <si>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</si>
  <si>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</si>
  <si>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</si>
  <si>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</si>
  <si>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</si>
  <si>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</si>
  <si>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</si>
  <si>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</si>
  <si>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</si>
  <si>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</si>
  <si>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</si>
  <si>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</si>
  <si>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</si>
  <si>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</si>
  <si>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</si>
  <si>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</si>
  <si>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</si>
  <si>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</si>
  <si>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</si>
  <si>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</si>
  <si>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</si>
  <si>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</si>
  <si>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</si>
  <si>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</si>
  <si>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</si>
  <si>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</si>
  <si>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</si>
  <si>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</si>
  <si>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</si>
  <si>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</si>
  <si>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</si>
  <si>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</si>
  <si>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</si>
  <si>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</si>
  <si>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</si>
  <si>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</si>
  <si>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</si>
  <si>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</si>
  <si>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</si>
  <si>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</si>
  <si>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</si>
  <si>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</si>
  <si>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</si>
  <si>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</si>
  <si>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</si>
  <si>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</si>
  <si>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</si>
  <si>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</si>
  <si>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</si>
  <si>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</si>
  <si>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</si>
  <si>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</si>
  <si>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</si>
  <si>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</si>
  <si>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</si>
  <si>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</si>
  <si>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</si>
  <si>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</si>
  <si>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</si>
  <si>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</si>
  <si>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</si>
  <si>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</si>
  <si>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</si>
  <si>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</si>
  <si>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</si>
  <si>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</si>
  <si>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</si>
  <si>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</si>
  <si>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</si>
  <si>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</si>
  <si>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</si>
  <si>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</si>
  <si>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</si>
  <si>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</si>
  <si>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</si>
  <si>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</si>
  <si>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</si>
  <si>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</si>
  <si>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</si>
  <si>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</si>
  <si>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</si>
  <si>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</si>
  <si>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</si>
  <si>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</si>
  <si>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</si>
  <si>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</si>
  <si>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</si>
  <si>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</si>
  <si>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</si>
  <si>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</si>
  <si>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</si>
  <si>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</si>
  <si>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</si>
  <si>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</si>
  <si>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</si>
  <si>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</si>
  <si>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</si>
  <si>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</si>
  <si>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</si>
  <si>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</si>
  <si>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</si>
  <si>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</si>
  <si>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</si>
  <si>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</si>
  <si>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</si>
  <si>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</si>
  <si>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</si>
  <si>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</si>
  <si>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</si>
  <si>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</si>
  <si>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</si>
  <si>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</si>
  <si>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</si>
  <si>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</si>
  <si>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</si>
  <si>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</si>
  <si>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</si>
  <si>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</si>
  <si>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</si>
  <si>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</si>
  <si>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</si>
  <si>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</si>
  <si>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</si>
  <si>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</si>
  <si>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</si>
  <si>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</si>
  <si>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</si>
  <si>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</si>
  <si>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</si>
  <si>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</si>
  <si>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</si>
  <si>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</si>
  <si>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</si>
  <si>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</si>
  <si>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</si>
  <si>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</si>
  <si>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</si>
  <si>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</si>
  <si>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</si>
  <si>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</si>
  <si>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</si>
  <si>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</si>
  <si>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</si>
  <si>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</si>
  <si>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</si>
  <si>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</si>
  <si>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</si>
  <si>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</si>
  <si>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</si>
  <si>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</si>
  <si>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</si>
  <si>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</si>
  <si>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</si>
  <si>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</si>
  <si>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</si>
  <si>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</si>
  <si>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</si>
  <si>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</si>
  <si>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</si>
  <si>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</si>
  <si>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</si>
  <si>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</si>
  <si>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</si>
  <si>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</si>
  <si>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</si>
  <si>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</si>
  <si>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</si>
  <si>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</si>
  <si>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</si>
  <si>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</si>
  <si>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</si>
  <si>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</si>
  <si>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</si>
  <si>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</si>
  <si>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</si>
  <si>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</si>
  <si>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</si>
  <si>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</si>
  <si>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</si>
  <si>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</si>
  <si>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</si>
  <si>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</si>
  <si>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</si>
  <si>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</si>
  <si>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</si>
  <si>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</si>
  <si>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</si>
  <si>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</si>
  <si>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</si>
  <si>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</si>
  <si>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</si>
  <si>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</si>
  <si>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</si>
  <si>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</si>
  <si>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</si>
  <si>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</si>
  <si>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</si>
  <si>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</si>
  <si>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</si>
  <si>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</si>
  <si>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</si>
  <si>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</si>
  <si>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</si>
  <si>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</si>
  <si>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</si>
  <si>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</si>
  <si>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</si>
  <si>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</si>
  <si>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</si>
  <si>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</si>
  <si>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</si>
  <si>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</si>
  <si>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</si>
  <si>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</si>
  <si>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</si>
  <si>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</si>
  <si>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</si>
  <si>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</si>
  <si>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</si>
  <si>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</si>
  <si>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</si>
  <si>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</si>
  <si>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</si>
  <si>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</si>
  <si>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</si>
  <si>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</si>
  <si>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</si>
  <si>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</si>
  <si>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</si>
  <si>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</si>
  <si>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</si>
  <si>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</si>
  <si>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</si>
  <si>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</si>
  <si>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</si>
  <si>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</si>
  <si>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</si>
  <si>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</si>
  <si>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</si>
  <si>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</si>
  <si>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</si>
  <si>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</si>
  <si>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</si>
  <si>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</si>
  <si>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</si>
  <si>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</si>
  <si>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</si>
  <si>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</si>
  <si>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</si>
  <si>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</si>
  <si>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</si>
  <si>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</si>
  <si>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</si>
  <si>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</si>
  <si>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</si>
  <si>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</si>
  <si>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</si>
  <si>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</si>
  <si>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</si>
  <si>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</si>
  <si>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</si>
  <si>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</si>
  <si>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</si>
  <si>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</si>
  <si>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</si>
  <si>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</si>
  <si>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</si>
  <si>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</si>
  <si>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</si>
  <si>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</si>
  <si>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</si>
  <si>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</si>
  <si>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</si>
  <si>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</si>
  <si>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</si>
  <si>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</si>
  <si>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</si>
  <si>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</si>
  <si>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</si>
  <si>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</si>
  <si>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</si>
  <si>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</si>
  <si>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</si>
  <si>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</si>
  <si>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</si>
  <si>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</si>
  <si>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</si>
  <si>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</si>
  <si>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</si>
  <si>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</si>
  <si>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</si>
  <si>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</si>
  <si>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</si>
  <si>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</si>
  <si>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</si>
  <si>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</si>
  <si>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</si>
  <si>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</si>
  <si>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</si>
  <si>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</si>
  <si>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</si>
  <si>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</si>
  <si>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</si>
  <si>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</si>
  <si>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</si>
  <si>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</si>
  <si>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</si>
  <si>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</si>
  <si>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</si>
  <si>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</si>
  <si>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</si>
  <si>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</si>
  <si>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</si>
  <si>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</si>
  <si>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</si>
  <si>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</si>
  <si>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</si>
  <si>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</si>
  <si>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</si>
  <si>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</si>
  <si>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</si>
  <si>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</si>
  <si>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</si>
  <si>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</si>
  <si>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</si>
  <si>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</si>
  <si>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</si>
  <si>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</si>
  <si>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</si>
  <si>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</si>
  <si>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</si>
  <si>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</si>
  <si>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</si>
  <si>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</si>
  <si>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</si>
  <si>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</si>
  <si>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</si>
  <si>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</si>
  <si>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</si>
  <si>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</si>
  <si>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</si>
  <si>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</si>
  <si>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</si>
  <si>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</si>
  <si>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</si>
  <si>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</si>
  <si>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</si>
  <si>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</si>
  <si>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</si>
  <si>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</si>
  <si>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</si>
  <si>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</si>
  <si>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</si>
  <si>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</si>
  <si>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</si>
  <si>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</si>
  <si>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</si>
  <si>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</si>
  <si>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</si>
  <si>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</si>
  <si>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</si>
  <si>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</si>
  <si>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</si>
  <si>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</si>
  <si>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</si>
  <si>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</si>
  <si>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</si>
  <si>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</si>
  <si>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</si>
  <si>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</si>
  <si>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</si>
  <si>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</si>
  <si>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</si>
  <si>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</si>
  <si>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</si>
  <si>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</si>
  <si>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</si>
  <si>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</si>
  <si>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</si>
  <si>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</si>
  <si>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</si>
  <si>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</si>
  <si>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</si>
  <si>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</si>
  <si>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</si>
  <si>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</si>
  <si>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</si>
  <si>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</si>
  <si>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</si>
  <si>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</si>
  <si>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</si>
  <si>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</si>
  <si>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</si>
  <si>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</si>
  <si>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</si>
  <si>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</si>
  <si>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</si>
  <si>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</si>
  <si>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</si>
  <si>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</si>
  <si>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</si>
  <si>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</si>
  <si>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</si>
  <si>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</si>
  <si>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</si>
  <si>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</si>
  <si>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</si>
  <si>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</si>
  <si>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</si>
  <si>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</si>
  <si>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</si>
  <si>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</si>
  <si>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</si>
  <si>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</si>
  <si>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</si>
  <si>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</si>
  <si>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</si>
  <si>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</si>
  <si>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</si>
  <si>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</si>
  <si>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</si>
  <si>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</si>
  <si>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</si>
  <si>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</si>
  <si>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</si>
  <si>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</si>
  <si>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</si>
  <si>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</si>
  <si>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</si>
  <si>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</si>
  <si>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</si>
  <si>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</si>
  <si>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</si>
  <si>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</si>
  <si>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</si>
  <si>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</si>
  <si>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</si>
  <si>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</si>
  <si>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</si>
  <si>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</si>
  <si>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</si>
  <si>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</si>
  <si>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</si>
  <si>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</si>
  <si>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</si>
  <si>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</si>
  <si>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</si>
  <si>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</si>
  <si>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</si>
  <si>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</si>
  <si>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</si>
  <si>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</si>
  <si>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</si>
  <si>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</si>
  <si>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</si>
  <si>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</si>
  <si>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</si>
  <si>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</si>
  <si>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</si>
  <si>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</si>
  <si>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</si>
  <si>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</si>
  <si>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</si>
  <si>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</si>
  <si>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</si>
  <si>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</si>
  <si>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</si>
  <si>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</si>
  <si>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</si>
  <si>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</si>
  <si>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</si>
  <si>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</si>
  <si>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</si>
  <si>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</si>
  <si>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</si>
  <si>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</si>
  <si>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</si>
  <si>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</si>
  <si>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</si>
  <si>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</si>
  <si>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</si>
  <si>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</si>
  <si>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</si>
  <si>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</si>
  <si>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</si>
  <si>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</si>
  <si>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</si>
  <si>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</si>
  <si>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</si>
  <si>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</si>
  <si>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</si>
  <si>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</si>
  <si>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</si>
  <si>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</si>
  <si>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</si>
  <si>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</si>
  <si>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</si>
  <si>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</si>
  <si>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</si>
  <si>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</si>
  <si>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</si>
  <si>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</si>
  <si>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</si>
  <si>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</si>
  <si>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</si>
  <si>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</si>
  <si>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</si>
  <si>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</si>
  <si>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</si>
  <si>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</si>
  <si>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</si>
  <si>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</si>
  <si>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</si>
  <si>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</si>
  <si>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</si>
  <si>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</si>
  <si>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</si>
  <si>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</si>
  <si>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</si>
  <si>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</si>
  <si>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</si>
  <si>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</si>
  <si>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</si>
  <si>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</si>
  <si>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</si>
  <si>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</si>
  <si>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</si>
  <si>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</si>
  <si>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</si>
  <si>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</si>
  <si>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</si>
  <si>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</si>
  <si>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</si>
  <si>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</si>
  <si>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</si>
  <si>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</si>
  <si>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</si>
  <si>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</si>
  <si>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</si>
  <si>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</si>
  <si>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</si>
  <si>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</si>
  <si>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</si>
  <si>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</si>
  <si>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</si>
  <si>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</si>
  <si>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</si>
  <si>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</si>
  <si>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</si>
  <si>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</si>
  <si>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</si>
  <si>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</si>
  <si>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</si>
  <si>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</si>
  <si>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</si>
  <si>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</si>
  <si>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</si>
  <si>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</si>
  <si>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</si>
  <si>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</si>
  <si>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</si>
  <si>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</si>
  <si>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</si>
  <si>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</si>
  <si>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</si>
  <si>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</si>
  <si>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</si>
  <si>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</si>
  <si>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</si>
  <si>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</si>
  <si>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</si>
  <si>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</si>
  <si>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</si>
  <si>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</si>
  <si>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</si>
  <si>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</si>
  <si>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</si>
  <si>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</si>
  <si>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</si>
  <si>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</si>
  <si>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</si>
  <si>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</si>
  <si>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</si>
  <si>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</si>
  <si>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</si>
  <si>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</si>
  <si>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</si>
  <si>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</si>
  <si>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</si>
  <si>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</si>
  <si>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</si>
  <si>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</si>
  <si>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</si>
  <si>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</si>
  <si>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</si>
  <si>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</si>
  <si>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</si>
  <si>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</si>
  <si>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</si>
  <si>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</si>
  <si>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</si>
  <si>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</si>
  <si>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</si>
  <si>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</si>
  <si>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</si>
  <si>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</si>
  <si>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</si>
  <si>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</si>
  <si>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</si>
  <si>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</si>
  <si>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</si>
  <si>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</si>
  <si>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</si>
  <si>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</si>
  <si>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</si>
  <si>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</si>
  <si>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</si>
  <si>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</si>
  <si>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</si>
  <si>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</si>
  <si>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</si>
  <si>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</si>
  <si>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</si>
  <si>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</si>
  <si>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</si>
  <si>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</si>
  <si>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</si>
  <si>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</si>
  <si>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</si>
  <si>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</si>
  <si>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</si>
  <si>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</si>
  <si>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</si>
  <si>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</si>
  <si>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</si>
  <si>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</si>
  <si>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</si>
  <si>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</si>
  <si>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</si>
  <si>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</si>
  <si>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</si>
  <si>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</si>
  <si>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</si>
  <si>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</si>
  <si>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</si>
  <si>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</si>
  <si>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</si>
  <si>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</si>
  <si>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</si>
  <si>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</si>
  <si>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</si>
  <si>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</si>
  <si>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</si>
  <si>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</si>
  <si>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</si>
  <si>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</si>
  <si>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</si>
  <si>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</si>
  <si>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</si>
  <si>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</si>
  <si>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</si>
  <si>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</si>
  <si>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</si>
  <si>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</si>
  <si>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</si>
  <si>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</si>
  <si>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</si>
  <si>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</si>
  <si>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</si>
  <si>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</si>
  <si>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</si>
  <si>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</si>
  <si>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</si>
  <si>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</si>
  <si>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</si>
  <si>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</si>
  <si>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</si>
  <si>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</si>
  <si>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</si>
  <si>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</si>
  <si>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</si>
  <si>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</si>
  <si>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</si>
  <si>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</si>
  <si>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</si>
  <si>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</si>
  <si>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</si>
  <si>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</si>
  <si>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</si>
  <si>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</si>
  <si>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</si>
  <si>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</si>
  <si>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</si>
  <si>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</si>
  <si>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</si>
  <si>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</si>
  <si>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</si>
  <si>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</si>
  <si>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</si>
  <si>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</si>
  <si>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</si>
  <si>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</si>
  <si>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</si>
  <si>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</si>
  <si>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</si>
  <si>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</si>
  <si>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</si>
  <si>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</si>
  <si>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</si>
  <si>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</si>
  <si>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</si>
  <si>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</si>
  <si>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</si>
  <si>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</si>
  <si>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</si>
  <si>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</si>
  <si>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</si>
  <si>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</si>
  <si>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</si>
  <si>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</si>
  <si>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</si>
  <si>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</si>
  <si>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</si>
  <si>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</si>
  <si>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</si>
  <si>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</si>
  <si>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</si>
  <si>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</si>
  <si>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</si>
  <si>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</si>
  <si>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</si>
  <si>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</si>
  <si>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</si>
  <si>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</si>
  <si>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</si>
  <si>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</si>
  <si>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</si>
  <si>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</si>
  <si>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</si>
  <si>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</si>
  <si>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</si>
  <si>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</si>
  <si>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</si>
  <si>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</si>
  <si>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</si>
  <si>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</si>
  <si>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</si>
  <si>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</si>
  <si>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</si>
  <si>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</si>
  <si>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</si>
  <si>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</si>
  <si>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</si>
  <si>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</si>
  <si>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</si>
  <si>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</si>
  <si>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</si>
  <si>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</si>
  <si>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</si>
  <si>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</si>
  <si>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</si>
  <si>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</si>
  <si>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</si>
  <si>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</si>
  <si>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</si>
  <si>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</si>
  <si>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</si>
  <si>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</si>
  <si>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</si>
  <si>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</si>
  <si>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</si>
  <si>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</si>
  <si>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</si>
  <si>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</si>
  <si>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</si>
  <si>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</si>
  <si>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</si>
  <si>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</si>
  <si>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</si>
  <si>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</si>
  <si>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</si>
  <si>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</si>
  <si>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</si>
  <si>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</si>
  <si>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</si>
  <si>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</si>
  <si>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</si>
  <si>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</si>
  <si>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</si>
  <si>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</si>
  <si>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</si>
  <si>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</si>
  <si>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</si>
  <si>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</si>
  <si>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</si>
  <si>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</si>
  <si>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</si>
  <si>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</si>
  <si>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</si>
  <si>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</si>
  <si>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</si>
  <si>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</si>
  <si>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</si>
  <si>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</si>
  <si>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</si>
  <si>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</si>
  <si>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</si>
  <si>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</si>
  <si>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</si>
  <si>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</si>
  <si>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</si>
  <si>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</si>
  <si>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</si>
  <si>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</si>
  <si>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</si>
  <si>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</si>
  <si>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</si>
  <si>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</si>
  <si>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</si>
  <si>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</si>
  <si>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</si>
  <si>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</si>
  <si>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</si>
  <si>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</si>
  <si>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</si>
  <si>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</si>
  <si>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</si>
  <si>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</si>
  <si>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</si>
  <si>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</si>
  <si>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</si>
  <si>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</si>
  <si>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</si>
  <si>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</si>
  <si>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</si>
  <si>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</si>
  <si>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</si>
  <si>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</si>
  <si>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</si>
  <si>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</si>
  <si>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</si>
  <si>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</si>
  <si>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</si>
  <si>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</si>
  <si>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</si>
  <si>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</si>
  <si>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</si>
  <si>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</si>
  <si>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</si>
  <si>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</si>
  <si>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</si>
  <si>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</si>
  <si>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</si>
  <si>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</si>
  <si>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</si>
  <si>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</si>
  <si>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</si>
  <si>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</si>
  <si>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</si>
  <si>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</si>
  <si>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</si>
  <si>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</si>
  <si>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</si>
  <si>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</si>
  <si>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</si>
  <si>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</si>
  <si>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</si>
  <si>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</si>
  <si>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</si>
  <si>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</si>
  <si>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</si>
  <si>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</si>
  <si>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</si>
  <si>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</si>
  <si>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</si>
  <si>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</si>
  <si>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</si>
  <si>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</si>
  <si>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</si>
  <si>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</si>
  <si>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</si>
  <si>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</si>
  <si>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</si>
  <si>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</si>
  <si>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</si>
  <si>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</si>
  <si>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</si>
  <si>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</si>
  <si>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</si>
  <si>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</si>
  <si>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</si>
  <si>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</si>
  <si>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</si>
  <si>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</si>
  <si>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</si>
  <si>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</si>
  <si>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</si>
  <si>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</si>
  <si>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</si>
  <si>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</si>
  <si>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</si>
  <si>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</si>
  <si>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</si>
  <si>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</si>
  <si>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</si>
  <si>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</si>
  <si>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</si>
  <si>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</si>
  <si>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</si>
  <si>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</si>
  <si>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</si>
  <si>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</si>
  <si>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</si>
  <si>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</si>
  <si>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</si>
  <si>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</si>
  <si>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</si>
  <si>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</si>
  <si>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</si>
  <si>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</si>
  <si>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</si>
  <si>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</si>
  <si>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</si>
  <si>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</si>
  <si>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</si>
  <si>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</si>
  <si>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</si>
  <si>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</si>
  <si>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</si>
  <si>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</si>
  <si>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</si>
  <si>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</si>
  <si>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</si>
  <si>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</si>
  <si>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</si>
  <si>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</si>
  <si>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</si>
  <si>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</si>
  <si>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</si>
  <si>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</si>
  <si>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</si>
  <si>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</si>
  <si>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</si>
  <si>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</si>
  <si>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</si>
  <si>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</si>
  <si>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</si>
  <si>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</si>
  <si>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</si>
  <si>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</si>
  <si>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</si>
  <si>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</si>
  <si>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</si>
  <si>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</si>
  <si>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</si>
  <si>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</si>
  <si>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</si>
  <si>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</si>
  <si>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</si>
  <si>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</si>
  <si>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</si>
  <si>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</si>
  <si>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</si>
  <si>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</si>
  <si>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</si>
  <si>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</si>
  <si>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</si>
  <si>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</si>
  <si>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</si>
  <si>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</si>
  <si>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</si>
  <si>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</si>
  <si>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</si>
  <si>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</si>
  <si>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</si>
  <si>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</si>
  <si>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</si>
  <si>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</si>
  <si>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</si>
  <si>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</si>
  <si>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</si>
  <si>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</si>
  <si>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</si>
  <si>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</si>
  <si>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</si>
  <si>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</si>
  <si>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</si>
  <si>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</si>
  <si>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</si>
  <si>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</si>
  <si>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</si>
  <si>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</si>
  <si>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</si>
  <si>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</si>
  <si>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</si>
  <si>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</si>
  <si>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</si>
  <si>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</si>
  <si>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</si>
  <si>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</si>
  <si>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</si>
  <si>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</si>
  <si>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</si>
  <si>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</si>
  <si>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</si>
  <si>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</si>
  <si>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</si>
  <si>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</si>
  <si>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</si>
  <si>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</si>
  <si>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</si>
  <si>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</si>
  <si>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</si>
  <si>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</si>
  <si>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</si>
  <si>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</si>
  <si>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</si>
  <si>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</si>
  <si>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</si>
  <si>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</si>
  <si>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</si>
  <si>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</si>
  <si>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</si>
  <si>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</si>
  <si>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</si>
  <si>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</si>
  <si>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</si>
  <si>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</si>
  <si>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</si>
  <si>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</si>
  <si>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</si>
  <si>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</si>
  <si>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</si>
  <si>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</si>
  <si>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</si>
  <si>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</si>
  <si>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</si>
  <si>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</si>
  <si>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</si>
  <si>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</si>
  <si>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</si>
  <si>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</si>
  <si>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</si>
  <si>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</si>
  <si>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</si>
  <si>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</si>
  <si>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</si>
  <si>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</si>
  <si>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</si>
  <si>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</si>
  <si>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</si>
  <si>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</si>
  <si>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</si>
  <si>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</si>
  <si>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</si>
  <si>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</si>
  <si>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</si>
  <si>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</si>
  <si>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</si>
  <si>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</si>
  <si>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</si>
  <si>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</si>
  <si>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</si>
  <si>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</si>
  <si>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</si>
  <si>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</si>
  <si>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</si>
  <si>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</si>
  <si>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</si>
  <si>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</si>
  <si>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</si>
  <si>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</si>
  <si>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</si>
  <si>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</si>
  <si>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</si>
  <si>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</si>
  <si>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</si>
  <si>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</si>
  <si>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</si>
  <si>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</si>
  <si>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</si>
  <si>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</si>
  <si>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</si>
  <si>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</si>
  <si>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</si>
  <si>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</si>
  <si>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</si>
  <si>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</si>
  <si>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</si>
  <si>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</si>
  <si>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</si>
  <si>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</si>
  <si>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</si>
  <si>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</si>
  <si>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</si>
  <si>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</si>
  <si>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</si>
  <si>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</si>
  <si>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</si>
  <si>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</si>
  <si>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</si>
  <si>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</si>
  <si>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</si>
  <si>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</si>
  <si>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</si>
  <si>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</si>
  <si>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</si>
  <si>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</si>
  <si>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</si>
  <si>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</si>
  <si>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</si>
  <si>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</si>
  <si>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</si>
  <si>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</si>
  <si>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</si>
  <si>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</si>
  <si>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</si>
  <si>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</si>
  <si>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</si>
  <si>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</si>
  <si>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</si>
  <si>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</si>
  <si>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</si>
  <si>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</si>
  <si>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</si>
  <si>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</si>
  <si>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</si>
  <si>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</si>
  <si>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</si>
  <si>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</si>
  <si>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</si>
  <si>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</si>
  <si>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</si>
  <si>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</si>
  <si>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</si>
  <si>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</si>
  <si>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</si>
  <si>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</si>
  <si>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</si>
  <si>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</si>
  <si>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</si>
  <si>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</si>
  <si>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</si>
  <si>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</si>
  <si>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</si>
  <si>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</si>
  <si>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</si>
  <si>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</si>
  <si>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</si>
  <si>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</si>
  <si>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</si>
  <si>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</si>
  <si>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</si>
  <si>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</si>
  <si>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</si>
  <si>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</si>
  <si>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</si>
  <si>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</si>
  <si>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</si>
  <si>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</si>
  <si>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</si>
  <si>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</si>
  <si>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</si>
  <si>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</si>
  <si>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</si>
  <si>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</si>
  <si>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</si>
  <si>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</si>
  <si>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</si>
  <si>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</si>
  <si>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</si>
  <si>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</si>
  <si>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</si>
  <si>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</si>
  <si>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</si>
  <si>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</si>
  <si>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</si>
  <si>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</si>
  <si>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</si>
  <si>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</si>
  <si>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</si>
  <si>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</si>
  <si>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</si>
  <si>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</si>
  <si>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</si>
  <si>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</si>
  <si>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</si>
  <si>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</si>
  <si>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</si>
  <si>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</si>
  <si>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</si>
  <si>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</si>
  <si>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</si>
  <si>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</si>
  <si>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</si>
  <si>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</si>
  <si>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</si>
  <si>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</si>
  <si>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</si>
  <si>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</si>
  <si>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</si>
  <si>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</si>
  <si>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</si>
  <si>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</si>
  <si>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</si>
  <si>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</si>
  <si>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</si>
  <si>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</si>
  <si>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</si>
  <si>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</si>
  <si>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</si>
  <si>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</si>
  <si>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</si>
  <si>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</si>
  <si>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</si>
  <si>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</si>
  <si>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</si>
  <si>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</si>
  <si>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</si>
  <si>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</si>
  <si>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</si>
  <si>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</si>
  <si>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</si>
  <si>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</si>
  <si>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</si>
  <si>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</si>
  <si>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</si>
  <si>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</si>
  <si>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</si>
  <si>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</si>
  <si>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</si>
  <si>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</si>
  <si>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</si>
  <si>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</si>
  <si>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</si>
  <si>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</si>
  <si>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</si>
  <si>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</si>
  <si>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</si>
  <si>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</si>
  <si>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</si>
  <si>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</si>
  <si>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</si>
  <si>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</si>
  <si>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</si>
  <si>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</si>
  <si>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</si>
  <si>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</si>
  <si>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</si>
  <si>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</si>
  <si>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</si>
  <si>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</si>
  <si>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</si>
  <si>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</si>
  <si>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</si>
  <si>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</si>
  <si>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</si>
  <si>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</si>
  <si>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</si>
  <si>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</si>
  <si>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</si>
  <si>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</si>
  <si>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</si>
  <si>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</si>
  <si>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</si>
  <si>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</si>
  <si>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</si>
  <si>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</si>
  <si>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</si>
  <si>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</si>
  <si>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</si>
  <si>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</si>
  <si>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</si>
  <si>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</si>
  <si>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</si>
  <si>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</si>
  <si>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</si>
  <si>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</si>
  <si>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</si>
  <si>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</si>
  <si>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</si>
  <si>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</si>
  <si>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</si>
  <si>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</si>
  <si>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</si>
  <si>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</si>
  <si>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</si>
  <si>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</si>
  <si>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</si>
  <si>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</si>
  <si>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</si>
  <si>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</si>
  <si>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</si>
  <si>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</si>
  <si>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</si>
  <si>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</si>
  <si>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</si>
  <si>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</si>
  <si>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</si>
  <si>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</si>
  <si>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</si>
  <si>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</si>
  <si>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</si>
  <si>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</si>
  <si>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</si>
  <si>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</si>
  <si>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</si>
  <si>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</si>
  <si>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</si>
  <si>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</si>
  <si>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</si>
  <si>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</si>
  <si>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</si>
  <si>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</si>
  <si>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</si>
  <si>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</si>
  <si>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</si>
  <si>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</si>
  <si>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</si>
  <si>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</si>
  <si>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</si>
  <si>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</si>
  <si>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</si>
  <si>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</si>
  <si>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</si>
  <si>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</si>
  <si>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</si>
  <si>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</si>
  <si>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</si>
  <si>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</si>
  <si>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</si>
  <si>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</si>
  <si>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</si>
  <si>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</si>
  <si>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</si>
  <si>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</si>
  <si>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</si>
  <si>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</si>
  <si>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</si>
  <si>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</si>
  <si>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</si>
  <si>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</si>
  <si>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</si>
  <si>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</si>
  <si>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</si>
  <si>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</si>
  <si>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</si>
  <si>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</si>
  <si>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</si>
  <si>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</si>
  <si>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</si>
  <si>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</si>
  <si>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</si>
  <si>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</si>
  <si>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</si>
  <si>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</si>
  <si>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</si>
  <si>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</si>
  <si>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</si>
  <si>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</si>
  <si>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</si>
  <si>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</si>
  <si>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</si>
  <si>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</si>
  <si>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</si>
  <si>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</si>
  <si>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</si>
  <si>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</si>
  <si>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</si>
  <si>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</si>
  <si>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</si>
  <si>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</si>
  <si>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</si>
  <si>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</si>
  <si>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</si>
  <si>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</si>
  <si>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</si>
  <si>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</si>
  <si>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</si>
  <si>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</si>
  <si>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</si>
  <si>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</si>
  <si>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</si>
  <si>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</si>
  <si>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</si>
  <si>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</si>
  <si>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</si>
  <si>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</si>
  <si>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</si>
  <si>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</si>
  <si>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</si>
  <si>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</si>
  <si>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</si>
  <si>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</si>
  <si>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</si>
  <si>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</si>
  <si>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</si>
  <si>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</si>
  <si>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</si>
  <si>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</si>
  <si>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</si>
  <si>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</si>
  <si>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</si>
  <si>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</si>
  <si>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</si>
  <si>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</si>
  <si>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</si>
  <si>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</si>
  <si>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</si>
  <si>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</si>
  <si>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</si>
  <si>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</si>
  <si>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</si>
  <si>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</si>
  <si>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</si>
  <si>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</si>
  <si>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</si>
  <si>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</si>
  <si>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</si>
  <si>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</si>
  <si>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</si>
  <si>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</si>
  <si>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</si>
  <si>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</si>
  <si>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</si>
  <si>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</si>
  <si>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</si>
  <si>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</si>
  <si>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</si>
  <si>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</si>
  <si>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</si>
  <si>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</si>
  <si>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</si>
  <si>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</si>
  <si>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</si>
  <si>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</si>
  <si>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</si>
  <si>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</si>
  <si>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</si>
  <si>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</si>
  <si>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</si>
  <si>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</si>
  <si>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</si>
  <si>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</si>
  <si>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</si>
  <si>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</si>
  <si>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</si>
  <si>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</si>
  <si>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</si>
  <si>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</si>
  <si>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</si>
  <si>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</si>
  <si>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</si>
  <si>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</si>
  <si>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</si>
  <si>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</si>
  <si>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</si>
  <si>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</si>
  <si>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</si>
  <si>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</si>
  <si>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</si>
  <si>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</si>
  <si>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</si>
  <si>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</si>
  <si>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</si>
  <si>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</si>
  <si>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</si>
  <si>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</si>
  <si>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</si>
  <si>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</si>
  <si>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</si>
  <si>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</si>
  <si>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</si>
  <si>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</si>
  <si>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</si>
  <si>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</si>
  <si>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</si>
  <si>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</si>
  <si>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</si>
  <si>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</si>
  <si>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</si>
  <si>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</si>
  <si>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</si>
  <si>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</si>
  <si>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</si>
  <si>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</si>
  <si>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</si>
  <si>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</si>
  <si>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</si>
  <si>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</si>
  <si>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</si>
  <si>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</si>
  <si>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</si>
  <si>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</si>
  <si>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</si>
  <si>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</si>
  <si>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</si>
  <si>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</si>
  <si>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</si>
  <si>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</si>
  <si>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</si>
  <si>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</si>
  <si>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</si>
  <si>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</si>
  <si>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</si>
  <si>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</si>
  <si>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</si>
  <si>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</si>
  <si>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</si>
  <si>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</si>
  <si>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</si>
  <si>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</si>
  <si>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</si>
  <si>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</si>
  <si>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</si>
  <si>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</si>
  <si>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</si>
  <si>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</si>
  <si>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</si>
  <si>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</si>
  <si>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</si>
  <si>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</si>
  <si>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</si>
  <si>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</si>
  <si>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</si>
  <si>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</si>
  <si>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</si>
  <si>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</si>
  <si>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</si>
  <si>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</si>
  <si>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</si>
  <si>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</si>
  <si>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</si>
  <si>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</si>
  <si>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</si>
  <si>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</si>
  <si>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</si>
  <si>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</si>
  <si>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</si>
  <si>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</si>
  <si>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</si>
  <si>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</si>
  <si>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</si>
  <si>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</si>
  <si>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</si>
  <si>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</si>
  <si>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</si>
  <si>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</si>
  <si>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</si>
  <si>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</si>
  <si>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</si>
  <si>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</si>
  <si>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</si>
  <si>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</si>
  <si>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</si>
  <si>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</si>
  <si>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</si>
  <si>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</si>
  <si>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</si>
  <si>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</si>
  <si>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</si>
  <si>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</si>
  <si>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</si>
  <si>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</si>
  <si>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</si>
  <si>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</si>
  <si>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</si>
  <si>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</si>
  <si>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</si>
  <si>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</si>
  <si>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</si>
  <si>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</si>
  <si>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</si>
  <si>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</si>
  <si>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</si>
  <si>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</si>
  <si>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</si>
  <si>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</si>
  <si>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</si>
  <si>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</si>
  <si>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</si>
  <si>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</si>
  <si>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</si>
  <si>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</si>
  <si>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</si>
  <si>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</si>
  <si>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</si>
  <si>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</si>
  <si>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</si>
  <si>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</si>
  <si>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</si>
  <si>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</si>
  <si>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</si>
  <si>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</si>
  <si>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</si>
  <si>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</si>
  <si>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</si>
  <si>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</si>
  <si>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</si>
  <si>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</si>
  <si>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</si>
  <si>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</si>
  <si>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</si>
  <si>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</si>
  <si>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</si>
  <si>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</si>
  <si>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</si>
  <si>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</si>
  <si>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</si>
  <si>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</si>
  <si>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</si>
  <si>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</si>
  <si>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</si>
  <si>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</si>
  <si>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</si>
  <si>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</si>
  <si>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</si>
  <si>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</si>
  <si>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</si>
  <si>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</si>
  <si>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</si>
  <si>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</si>
  <si>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</si>
  <si>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</si>
  <si>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</si>
  <si>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</si>
  <si>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</si>
  <si>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</si>
  <si>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</si>
  <si>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</si>
  <si>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</si>
  <si>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</si>
  <si>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</si>
  <si>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</si>
  <si>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</si>
  <si>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</si>
  <si>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</si>
  <si>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</si>
  <si>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</si>
  <si>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</si>
  <si>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</si>
  <si>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</si>
  <si>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</si>
  <si>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</si>
  <si>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</si>
  <si>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</si>
  <si>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</si>
  <si>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</si>
  <si>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</si>
  <si>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</si>
  <si>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</si>
  <si>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</si>
  <si>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</si>
  <si>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</si>
  <si>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</si>
  <si>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</si>
  <si>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</si>
  <si>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</si>
  <si>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</si>
  <si>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</si>
  <si>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</si>
  <si>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</si>
  <si>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</si>
  <si>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</si>
  <si>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</si>
  <si>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</si>
  <si>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</si>
  <si>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</si>
  <si>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</si>
  <si>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</si>
  <si>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</si>
  <si>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</si>
  <si>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</si>
  <si>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</si>
  <si>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</si>
  <si>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</si>
  <si>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</si>
  <si>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</si>
  <si>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</si>
  <si>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</si>
  <si>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</si>
  <si>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</si>
  <si>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</si>
  <si>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</si>
  <si>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</si>
  <si>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</si>
  <si>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</si>
  <si>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</si>
  <si>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</si>
  <si>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</si>
  <si>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</si>
  <si>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</si>
  <si>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</si>
  <si>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</si>
  <si>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</si>
  <si>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</si>
  <si>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</si>
  <si>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</si>
  <si>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</si>
  <si>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</si>
  <si>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</si>
  <si>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</si>
  <si>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</si>
  <si>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</si>
  <si>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</si>
  <si>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</si>
  <si>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</si>
  <si>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</si>
  <si>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</si>
  <si>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</si>
  <si>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</si>
  <si>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</si>
  <si>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</si>
  <si>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</si>
  <si>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</si>
  <si>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</si>
  <si>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</si>
  <si>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</si>
  <si>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</si>
  <si>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</si>
  <si>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</si>
  <si>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</si>
  <si>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</si>
  <si>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</si>
  <si>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</si>
  <si>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</si>
  <si>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</si>
  <si>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</si>
  <si>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</si>
  <si>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</si>
  <si>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</si>
  <si>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</si>
  <si>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</si>
  <si>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</si>
  <si>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</si>
  <si>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</si>
  <si>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</si>
  <si>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</si>
  <si>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</si>
  <si>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</si>
  <si>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</si>
  <si>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</si>
  <si>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</si>
  <si>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</si>
  <si>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</si>
  <si>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</si>
  <si>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</si>
  <si>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</si>
  <si>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</si>
  <si>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</si>
  <si>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</si>
  <si>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</si>
  <si>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</si>
  <si>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</si>
  <si>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</si>
  <si>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</si>
  <si>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</si>
  <si>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</si>
  <si>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</si>
  <si>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</si>
  <si>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</si>
  <si>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</si>
  <si>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</si>
  <si>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</si>
  <si>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</si>
  <si>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</si>
  <si>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</si>
  <si>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</si>
  <si>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</si>
  <si>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</si>
  <si>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</si>
  <si>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</si>
  <si>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</si>
  <si>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</si>
  <si>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</si>
  <si>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</si>
  <si>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</si>
  <si>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</si>
  <si>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</si>
  <si>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</si>
  <si>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</si>
  <si>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</si>
  <si>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</si>
  <si>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</si>
  <si>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</si>
  <si>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</si>
  <si>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</si>
  <si>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</si>
  <si>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</si>
  <si>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</si>
  <si>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</si>
  <si>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</si>
  <si>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</si>
  <si>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</si>
  <si>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</si>
  <si>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</si>
  <si>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</si>
  <si>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</si>
  <si>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</si>
  <si>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</si>
  <si>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</si>
  <si>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</si>
  <si>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</si>
  <si>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</si>
  <si>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</si>
  <si>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</si>
  <si>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</si>
  <si>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</si>
  <si>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</si>
  <si>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</si>
  <si>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</si>
  <si>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</si>
  <si>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</si>
  <si>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</si>
  <si>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</si>
  <si>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</si>
  <si>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</si>
  <si>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</si>
  <si>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</si>
  <si>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</si>
  <si>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</si>
  <si>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</si>
  <si>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</si>
  <si>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</si>
  <si>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</si>
  <si>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</si>
  <si>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</si>
  <si>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</si>
  <si>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</si>
  <si>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</si>
  <si>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</si>
  <si>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</si>
  <si>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</si>
  <si>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</si>
  <si>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</si>
  <si>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</si>
  <si>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</si>
  <si>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</si>
  <si>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</si>
  <si>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</si>
  <si>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</si>
  <si>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</si>
  <si>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</si>
  <si>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</si>
  <si>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</si>
  <si>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</si>
  <si>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</si>
  <si>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</si>
  <si>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</si>
  <si>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</si>
  <si>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</si>
  <si>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</si>
  <si>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</si>
  <si>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</si>
  <si>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</si>
  <si>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</si>
  <si>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</si>
  <si>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</si>
  <si>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</si>
  <si>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</si>
  <si>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</si>
  <si>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</si>
  <si>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</si>
  <si>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</si>
  <si>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</si>
  <si>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</si>
  <si>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</si>
  <si>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</si>
  <si>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</si>
  <si>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</si>
  <si>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</si>
  <si>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</si>
  <si>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</si>
  <si>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</si>
  <si>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</si>
  <si>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</si>
  <si>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</si>
  <si>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</si>
  <si>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</si>
  <si>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</si>
  <si>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</si>
  <si>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</si>
  <si>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</si>
  <si>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</si>
  <si>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</si>
  <si>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</si>
  <si>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</si>
  <si>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</si>
  <si>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</si>
  <si>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</si>
  <si>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</si>
  <si>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</si>
  <si>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</si>
  <si>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</si>
  <si>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</si>
  <si>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</si>
  <si>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</si>
  <si>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</si>
  <si>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</si>
  <si>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</si>
  <si>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</si>
  <si>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</si>
  <si>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</si>
  <si>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</si>
  <si>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</si>
  <si>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</si>
  <si>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</si>
  <si>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</si>
  <si>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</si>
  <si>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</si>
  <si>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</si>
  <si>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</si>
  <si>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</si>
  <si>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</si>
  <si>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</si>
  <si>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</si>
  <si>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</si>
  <si>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</si>
  <si>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</si>
  <si>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</si>
  <si>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</si>
  <si>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</si>
  <si>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</si>
  <si>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</si>
  <si>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</si>
  <si>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</si>
  <si>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</si>
  <si>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</si>
  <si>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</si>
  <si>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</si>
  <si>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</si>
  <si>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</si>
  <si>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</si>
  <si>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</si>
  <si>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</si>
  <si>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</si>
  <si>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</si>
  <si>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</si>
  <si>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</si>
  <si>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</si>
  <si>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</si>
  <si>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</si>
  <si>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</si>
  <si>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</si>
  <si>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</si>
  <si>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</si>
  <si>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</si>
  <si>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</si>
  <si>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</si>
  <si>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</si>
  <si>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</si>
  <si>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</si>
  <si>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</si>
  <si>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</si>
  <si>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</si>
  <si>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</si>
  <si>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</si>
  <si>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</si>
  <si>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</si>
  <si>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</si>
  <si>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</si>
  <si>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</si>
  <si>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</si>
  <si>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</si>
  <si>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</si>
  <si>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</si>
  <si>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</si>
  <si>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</si>
  <si>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</si>
  <si>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</si>
  <si>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</si>
  <si>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</si>
  <si>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</si>
  <si>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</si>
  <si>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</si>
  <si>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</si>
  <si>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</si>
  <si>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</si>
  <si>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</si>
  <si>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</si>
  <si>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</si>
  <si>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</si>
  <si>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</si>
  <si>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</si>
  <si>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</si>
  <si>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</si>
  <si>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</si>
  <si>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</si>
  <si>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</si>
  <si>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</si>
  <si>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</si>
  <si>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</si>
  <si>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</si>
  <si>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</si>
  <si>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</si>
  <si>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</si>
  <si>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</si>
  <si>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</si>
  <si>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</si>
  <si>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</si>
  <si>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</si>
  <si>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</si>
  <si>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</si>
  <si>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</si>
  <si>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</si>
  <si>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</si>
  <si>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</si>
  <si>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</si>
  <si>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</si>
  <si>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</si>
  <si>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</si>
  <si>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</si>
  <si>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</si>
  <si>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</si>
  <si>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</si>
  <si>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</si>
  <si>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</si>
  <si>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</si>
  <si>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</si>
  <si>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</si>
  <si>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</si>
  <si>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</si>
  <si>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</si>
  <si>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</si>
  <si>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</si>
  <si>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</si>
  <si>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</si>
  <si>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</si>
  <si>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</si>
  <si>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</si>
  <si>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</si>
  <si>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</si>
  <si>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</si>
  <si>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</si>
  <si>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</si>
  <si>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</si>
  <si>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</si>
  <si>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</si>
  <si>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</si>
  <si>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</si>
  <si>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</si>
  <si>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</si>
  <si>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</si>
  <si>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</si>
  <si>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</si>
  <si>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</si>
  <si>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</si>
  <si>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</si>
  <si>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</si>
  <si>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</si>
  <si>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</si>
  <si>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</si>
  <si>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</si>
  <si>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</si>
  <si>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</si>
  <si>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</si>
  <si>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</si>
  <si>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</si>
  <si>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</si>
  <si>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</si>
  <si>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</si>
  <si>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</si>
  <si>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</si>
  <si>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</si>
  <si>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</si>
  <si>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</si>
  <si>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</si>
  <si>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</si>
  <si>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</si>
  <si>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</si>
  <si>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</si>
  <si>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</si>
  <si>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</si>
  <si>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</si>
  <si>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</si>
  <si>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</si>
  <si>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</si>
  <si>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</si>
  <si>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</si>
  <si>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</si>
  <si>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</si>
  <si>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</si>
  <si>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</si>
  <si>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</si>
  <si>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</si>
  <si>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</si>
  <si>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</si>
  <si>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</si>
  <si>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</si>
  <si>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</si>
  <si>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</si>
  <si>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</si>
  <si>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</si>
  <si>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</si>
  <si>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</si>
  <si>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</si>
  <si>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</si>
  <si>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</si>
  <si>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</si>
  <si>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</si>
  <si>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</si>
  <si>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</si>
  <si>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</si>
  <si>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</si>
  <si>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</si>
  <si>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</si>
  <si>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</si>
  <si>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</si>
  <si>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</si>
  <si>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</si>
  <si>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</si>
  <si>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</si>
  <si>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</si>
  <si>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</si>
  <si>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</si>
  <si>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</si>
  <si>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</si>
  <si>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</si>
  <si>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</si>
  <si>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</si>
  <si>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</si>
  <si>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</si>
  <si>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</si>
  <si>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</si>
  <si>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</si>
  <si>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</si>
  <si>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</si>
  <si>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</si>
  <si>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</si>
  <si>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</si>
  <si>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</si>
  <si>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</si>
  <si>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</si>
  <si>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</si>
  <si>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</si>
  <si>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</si>
  <si>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</si>
  <si>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</si>
  <si>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</si>
  <si>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</si>
  <si>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</si>
  <si>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</si>
  <si>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</si>
  <si>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</si>
  <si>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</si>
  <si>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</si>
  <si>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</si>
  <si>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</si>
  <si>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</si>
  <si>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</si>
  <si>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</si>
  <si>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</si>
  <si>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</si>
  <si>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</si>
  <si>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</si>
  <si>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</si>
  <si>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</si>
  <si>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</si>
  <si>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</si>
  <si>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</si>
  <si>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</si>
  <si>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</si>
  <si>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</si>
  <si>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</si>
  <si>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</si>
  <si>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</si>
  <si>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</si>
  <si>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</si>
  <si>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</si>
  <si>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</si>
  <si>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</si>
  <si>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</si>
  <si>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</si>
  <si>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</si>
  <si>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</si>
  <si>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</si>
  <si>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</si>
  <si>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</si>
  <si>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</si>
  <si>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</si>
  <si>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</si>
  <si>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</si>
  <si>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</si>
  <si>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</si>
  <si>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</si>
  <si>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</si>
  <si>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</si>
  <si>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</si>
  <si>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</si>
  <si>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</si>
  <si>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</si>
  <si>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</si>
  <si>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</si>
  <si>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</si>
  <si>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</si>
  <si>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</si>
  <si>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</si>
  <si>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</si>
  <si>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</si>
  <si>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</si>
  <si>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</si>
  <si>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</si>
  <si>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</si>
  <si>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</si>
  <si>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</si>
  <si>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</si>
  <si>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</si>
  <si>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</si>
  <si>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</si>
  <si>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</si>
  <si>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</si>
  <si>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</si>
  <si>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</si>
  <si>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</si>
  <si>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</si>
  <si>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</si>
  <si>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</si>
  <si>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</si>
  <si>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</si>
  <si>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</si>
  <si>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</si>
  <si>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</si>
  <si>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</si>
  <si>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</si>
  <si>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</si>
  <si>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</si>
  <si>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</si>
  <si>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</si>
  <si>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</si>
  <si>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</si>
  <si>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</si>
  <si>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</si>
  <si>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</si>
  <si>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</si>
  <si>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</si>
  <si>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</si>
  <si>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</si>
  <si>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</si>
  <si>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</si>
  <si>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</si>
  <si>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</si>
  <si>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</si>
  <si>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</si>
  <si>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</si>
  <si>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</si>
  <si>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</si>
  <si>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</si>
  <si>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</si>
  <si>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</si>
  <si>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</si>
  <si>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</si>
  <si>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</si>
  <si>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</si>
  <si>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</si>
  <si>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</si>
  <si>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</si>
  <si>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</si>
  <si>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</si>
  <si>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</si>
  <si>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</si>
  <si>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</si>
  <si>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</si>
  <si>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</si>
  <si>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</si>
  <si>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</si>
  <si>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</si>
  <si>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</si>
  <si>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</si>
  <si>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</si>
  <si>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</si>
  <si>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</si>
  <si>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</si>
  <si>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</si>
  <si>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</si>
  <si>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</si>
  <si>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</si>
  <si>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</si>
  <si>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</si>
  <si>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</si>
  <si>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</si>
  <si>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</si>
  <si>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</si>
  <si>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</si>
  <si>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</si>
  <si>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</si>
  <si>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</si>
  <si>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</si>
  <si>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</si>
  <si>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</si>
  <si>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</si>
  <si>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</si>
  <si>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</si>
  <si>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</si>
  <si>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</si>
  <si>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</si>
  <si>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</si>
  <si>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</si>
  <si>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</si>
  <si>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</si>
  <si>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</si>
  <si>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</si>
  <si>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</si>
  <si>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</si>
  <si>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</si>
  <si>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</si>
  <si>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</si>
  <si>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</si>
  <si>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</si>
  <si>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</si>
  <si>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</si>
  <si>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</si>
  <si>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</si>
  <si>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</si>
  <si>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</si>
  <si>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</si>
  <si>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</si>
  <si>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</si>
  <si>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</si>
  <si>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</si>
  <si>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</si>
  <si>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</si>
  <si>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</si>
  <si>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</si>
  <si>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</si>
  <si>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</si>
  <si>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</si>
  <si>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</si>
  <si>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</si>
  <si>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</si>
  <si>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</si>
  <si>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</si>
  <si>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</si>
  <si>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</si>
  <si>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</si>
  <si>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</si>
  <si>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</si>
  <si>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</si>
  <si>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</si>
  <si>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</si>
  <si>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</si>
  <si>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</si>
  <si>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</si>
  <si>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</si>
  <si>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</si>
  <si>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</si>
  <si>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</si>
  <si>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</si>
  <si>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</si>
  <si>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</si>
  <si>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</si>
  <si>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</si>
  <si>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</si>
  <si>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</si>
  <si>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</si>
  <si>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</si>
  <si>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</si>
  <si>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</si>
  <si>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</si>
  <si>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</si>
  <si>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</si>
  <si>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</si>
  <si>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</si>
  <si>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</si>
  <si>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</si>
  <si>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</si>
  <si>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</si>
  <si>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</si>
  <si>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</si>
  <si>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</si>
  <si>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</si>
  <si>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</si>
  <si>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</si>
  <si>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</si>
  <si>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</si>
  <si>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</si>
  <si>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</si>
  <si>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</si>
  <si>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</si>
  <si>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</si>
  <si>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</si>
  <si>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</si>
  <si>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</si>
  <si>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</si>
  <si>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</si>
  <si>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</si>
  <si>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</si>
  <si>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</si>
  <si>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</si>
  <si>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</si>
  <si>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</si>
  <si>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</si>
  <si>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</si>
  <si>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</si>
  <si>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</si>
  <si>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</si>
  <si>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</si>
  <si>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</si>
  <si>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</si>
  <si>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</si>
  <si>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</si>
  <si>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</si>
  <si>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</si>
  <si>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</si>
  <si>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</si>
  <si>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</si>
  <si>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</si>
  <si>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</si>
  <si>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</si>
  <si>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</si>
  <si>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</si>
  <si>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</si>
  <si>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</si>
  <si>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</si>
  <si>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</si>
  <si>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</si>
  <si>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</si>
  <si>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</si>
  <si>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</si>
  <si>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</si>
  <si>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</si>
  <si>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</si>
  <si>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</si>
  <si>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</si>
  <si>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</si>
  <si>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</si>
  <si>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</si>
  <si>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</si>
  <si>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</si>
  <si>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</si>
  <si>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</si>
  <si>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</si>
  <si>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</si>
  <si>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</si>
  <si>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</si>
  <si>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</si>
  <si>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</si>
  <si>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</si>
  <si>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</si>
  <si>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</si>
  <si>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</si>
  <si>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</si>
  <si>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</si>
  <si>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</si>
  <si>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</si>
  <si>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</si>
  <si>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</si>
  <si>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</si>
  <si>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</si>
  <si>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</si>
  <si>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</si>
  <si>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</si>
  <si>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</si>
  <si>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</si>
  <si>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</si>
  <si>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</si>
  <si>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</si>
  <si>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</si>
  <si>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</si>
  <si>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</si>
  <si>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</si>
  <si>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</si>
  <si>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</si>
  <si>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</si>
  <si>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</si>
  <si>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</si>
  <si>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</si>
  <si>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</si>
  <si>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</si>
  <si>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</si>
  <si>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</si>
  <si>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</si>
  <si>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</si>
  <si>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</si>
  <si>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</si>
  <si>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</si>
  <si>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</si>
  <si>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</si>
  <si>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</si>
  <si>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</si>
  <si>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</si>
  <si>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</si>
  <si>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</si>
  <si>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</si>
  <si>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</si>
  <si>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</si>
  <si>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</si>
  <si>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</si>
  <si>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</si>
  <si>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</si>
  <si>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</si>
  <si>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</si>
  <si>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</si>
  <si>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</si>
  <si>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</si>
  <si>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</si>
  <si>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</si>
  <si>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</si>
  <si>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</si>
  <si>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</si>
  <si>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</si>
  <si>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</si>
  <si>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</si>
  <si>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</si>
  <si>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</si>
  <si>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</si>
  <si>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</si>
  <si>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</si>
  <si>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</si>
  <si>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</si>
  <si>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</si>
  <si>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</si>
  <si>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</si>
  <si>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</si>
  <si>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</si>
  <si>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</si>
  <si>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</si>
  <si>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</si>
  <si>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</si>
  <si>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</si>
  <si>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</si>
  <si>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</si>
  <si>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</si>
  <si>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</si>
  <si>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</si>
  <si>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</si>
  <si>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</si>
  <si>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</si>
  <si>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</si>
  <si>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</si>
  <si>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</si>
  <si>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</si>
  <si>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</si>
  <si>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</si>
  <si>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</si>
  <si>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</si>
  <si>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</si>
  <si>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</si>
  <si>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</si>
  <si>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</si>
  <si>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</si>
  <si>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</si>
  <si>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</si>
  <si>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</si>
  <si>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</si>
  <si>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</si>
  <si>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</si>
  <si>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</si>
  <si>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</si>
  <si>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</si>
  <si>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</si>
  <si>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</si>
  <si>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</si>
  <si>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</si>
  <si>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</si>
  <si>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</si>
  <si>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</si>
  <si>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</si>
  <si>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</si>
  <si>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</si>
  <si>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</si>
  <si>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</si>
  <si>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</si>
  <si>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</si>
  <si>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</si>
  <si>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</si>
  <si>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</si>
  <si>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</si>
  <si>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</si>
  <si>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</si>
  <si>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</si>
  <si>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</si>
  <si>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</si>
  <si>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</si>
  <si>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</si>
  <si>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</si>
  <si>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</si>
  <si>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</si>
  <si>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</si>
  <si>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</si>
  <si>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</si>
  <si>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</si>
  <si>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</si>
  <si>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</si>
  <si>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</si>
  <si>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</si>
  <si>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</si>
  <si>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</si>
  <si>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</si>
  <si>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</si>
  <si>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</si>
  <si>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</si>
  <si>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</si>
  <si>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</si>
  <si>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</si>
  <si>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</si>
  <si>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</si>
  <si>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</si>
  <si>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</si>
  <si>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</si>
  <si>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</si>
  <si>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</si>
  <si>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</si>
  <si>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</si>
  <si>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</si>
  <si>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</si>
  <si>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</si>
  <si>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</si>
  <si>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</si>
  <si>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</si>
  <si>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</si>
  <si>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</si>
  <si>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</si>
  <si>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</si>
  <si>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</si>
  <si>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</si>
  <si>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</si>
  <si>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</si>
  <si>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</si>
  <si>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</si>
  <si>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</si>
  <si>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</si>
  <si>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</si>
  <si>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</si>
  <si>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</si>
  <si>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</si>
  <si>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</si>
  <si>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</si>
  <si>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</si>
  <si>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</si>
  <si>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</si>
  <si>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</si>
  <si>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</si>
  <si>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</si>
  <si>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</si>
  <si>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</si>
  <si>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</si>
  <si>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</si>
  <si>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</si>
  <si>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</si>
  <si>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</si>
  <si>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</si>
  <si>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</si>
  <si>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</si>
  <si>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</si>
  <si>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</si>
  <si>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</si>
  <si>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</si>
  <si>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</si>
  <si>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</si>
  <si>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</si>
  <si>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</si>
  <si>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</si>
  <si>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</si>
  <si>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</si>
  <si>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</si>
  <si>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</si>
  <si>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</si>
  <si>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</si>
  <si>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</si>
  <si>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</si>
  <si>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</si>
  <si>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</si>
  <si>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</si>
  <si>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</si>
  <si>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</si>
  <si>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</si>
  <si>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</si>
  <si>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</si>
  <si>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</si>
  <si>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</si>
  <si>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</si>
  <si>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</si>
  <si>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</si>
  <si>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</si>
  <si>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</si>
  <si>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</si>
  <si>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</si>
  <si>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</si>
  <si>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</si>
  <si>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</si>
  <si>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</si>
  <si>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</si>
  <si>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</si>
  <si>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</si>
  <si>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</si>
  <si>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</si>
  <si>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</si>
  <si>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</si>
  <si>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</si>
  <si>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</si>
  <si>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</si>
  <si>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</si>
  <si>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</si>
  <si>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</si>
  <si>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</si>
  <si>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</si>
  <si>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</si>
  <si>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</si>
  <si>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</si>
  <si>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</si>
  <si>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</si>
  <si>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</si>
  <si>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</si>
  <si>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</si>
  <si>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</si>
  <si>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</si>
  <si>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</si>
  <si>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</si>
  <si>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</si>
  <si>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</si>
  <si>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</si>
  <si>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</si>
  <si>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</si>
  <si>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</si>
  <si>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</si>
  <si>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</si>
  <si>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</si>
  <si>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</si>
  <si>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</si>
  <si>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</si>
  <si>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</si>
  <si>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</si>
  <si>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</si>
  <si>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</si>
  <si>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</si>
  <si>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</si>
  <si>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</si>
  <si>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</si>
  <si>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</si>
  <si>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</si>
  <si>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</si>
  <si>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</si>
  <si>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</si>
  <si>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</si>
  <si>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</si>
  <si>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</si>
  <si>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</si>
  <si>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</si>
  <si>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</si>
  <si>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</si>
  <si>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</si>
  <si>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</si>
  <si>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</si>
  <si>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</si>
  <si>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</si>
  <si>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</si>
  <si>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</si>
  <si>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</si>
  <si>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</si>
  <si>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</si>
  <si>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</si>
  <si>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</si>
  <si>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</si>
  <si>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</si>
  <si>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</si>
  <si>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</si>
  <si>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</si>
  <si>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</si>
  <si>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</si>
  <si>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</si>
  <si>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</si>
  <si>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</si>
  <si>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</si>
  <si>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</si>
  <si>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</si>
  <si>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</si>
  <si>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</si>
  <si>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</si>
  <si>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</si>
  <si>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</si>
  <si>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</si>
  <si>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</si>
  <si>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</si>
  <si>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</si>
  <si>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</si>
  <si>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</si>
  <si>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</si>
  <si>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</si>
  <si>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</si>
  <si>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</si>
  <si>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</si>
  <si>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</si>
  <si>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</si>
  <si>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</si>
  <si>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</si>
  <si>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</si>
  <si>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</si>
  <si>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</si>
  <si>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</si>
  <si>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</si>
  <si>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</si>
  <si>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</si>
  <si>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</si>
  <si>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</si>
  <si>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</si>
  <si>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</si>
  <si>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</si>
  <si>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</si>
  <si>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</si>
  <si>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</si>
  <si>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</si>
  <si>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</si>
  <si>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</si>
  <si>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</si>
  <si>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</si>
  <si>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</si>
  <si>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</si>
  <si>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</si>
  <si>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</si>
  <si>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</si>
  <si>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</si>
  <si>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</si>
  <si>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</si>
  <si>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</si>
  <si>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</si>
  <si>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</si>
  <si>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</si>
  <si>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</si>
  <si>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</si>
  <si>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</si>
  <si>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</si>
  <si>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</si>
  <si>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</si>
  <si>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</si>
  <si>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</si>
  <si>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</si>
  <si>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</si>
  <si>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</si>
  <si>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</si>
  <si>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</si>
  <si>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</si>
  <si>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</si>
  <si>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</si>
  <si>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</si>
  <si>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</si>
  <si>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</si>
  <si>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</si>
  <si>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</si>
  <si>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</si>
  <si>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</si>
  <si>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</si>
  <si>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</si>
  <si>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</si>
  <si>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</si>
  <si>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</si>
  <si>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</si>
  <si>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</si>
  <si>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</si>
  <si>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</si>
  <si>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</si>
  <si>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</si>
  <si>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</si>
  <si>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</si>
  <si>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</si>
  <si>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</si>
  <si>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</si>
  <si>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</si>
  <si>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</si>
  <si>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</si>
  <si>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</si>
  <si>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</si>
  <si>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</si>
  <si>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</si>
  <si>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</si>
  <si>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</si>
  <si>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</si>
  <si>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</si>
  <si>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</si>
  <si>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</si>
  <si>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</si>
  <si>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</si>
  <si>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</si>
  <si>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</si>
  <si>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</si>
  <si>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</si>
  <si>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</si>
  <si>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</si>
  <si>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</si>
  <si>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</si>
  <si>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</si>
  <si>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</si>
  <si>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</si>
  <si>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</si>
  <si>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</si>
  <si>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</si>
  <si>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</si>
  <si>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</si>
  <si>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</si>
  <si>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</si>
  <si>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</si>
  <si>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</si>
  <si>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</si>
  <si>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</si>
  <si>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</si>
  <si>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</si>
  <si>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</si>
  <si>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</si>
  <si>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</si>
  <si>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</si>
  <si>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</si>
  <si>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</si>
  <si>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</si>
  <si>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</si>
  <si>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</si>
  <si>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</si>
  <si>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</si>
  <si>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</si>
  <si>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</si>
  <si>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</si>
  <si>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</si>
  <si>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</si>
  <si>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</si>
  <si>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</si>
  <si>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</si>
  <si>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</si>
  <si>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</si>
  <si>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</si>
  <si>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</si>
  <si>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</si>
  <si>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</si>
  <si>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</si>
  <si>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</si>
  <si>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</si>
  <si>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</si>
  <si>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</si>
  <si>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</si>
  <si>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</si>
  <si>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</si>
  <si>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</si>
  <si>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</si>
  <si>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</si>
  <si>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</si>
  <si>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</si>
  <si>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</si>
  <si>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</si>
  <si>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</si>
  <si>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</si>
  <si>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</si>
  <si>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</si>
  <si>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</si>
  <si>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</si>
  <si>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</si>
  <si>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</si>
  <si>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</si>
  <si>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</si>
  <si>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</si>
  <si>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</si>
  <si>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</si>
  <si>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</si>
  <si>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</si>
  <si>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</si>
  <si>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</si>
  <si>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</si>
  <si>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</si>
  <si>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</si>
  <si>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</si>
  <si>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</si>
  <si>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</si>
  <si>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</si>
  <si>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</si>
  <si>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</si>
  <si>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</si>
  <si>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</si>
  <si>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</si>
  <si>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</si>
  <si>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</si>
  <si>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</si>
  <si>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</si>
  <si>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</si>
  <si>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</si>
  <si>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</si>
  <si>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</si>
  <si>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</si>
  <si>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</si>
  <si>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</si>
  <si>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</si>
  <si>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</si>
  <si>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</si>
  <si>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</si>
  <si>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</si>
  <si>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</si>
  <si>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</si>
  <si>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</si>
  <si>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</si>
  <si>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</si>
  <si>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</si>
  <si>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</si>
  <si>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</si>
  <si>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</si>
  <si>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</si>
  <si>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</si>
  <si>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</si>
  <si>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</si>
  <si>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</si>
  <si>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</si>
  <si>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</si>
  <si>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</si>
  <si>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</si>
  <si>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</si>
  <si>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</si>
  <si>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</si>
  <si>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</si>
  <si>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</si>
  <si>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</si>
  <si>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</si>
  <si>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</si>
  <si>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</si>
  <si>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</si>
  <si>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</si>
  <si>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</si>
  <si>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</si>
  <si>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</si>
  <si>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</si>
  <si>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</si>
  <si>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</si>
  <si>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</si>
  <si>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</si>
  <si>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</si>
  <si>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</si>
  <si>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</si>
  <si>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</si>
  <si>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</si>
  <si>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</si>
  <si>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</si>
  <si>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</si>
  <si>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</si>
  <si>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</si>
  <si>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</si>
  <si>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</si>
  <si>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</si>
  <si>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</si>
  <si>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</si>
  <si>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</si>
  <si>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</si>
  <si>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</si>
  <si>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</si>
  <si>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</si>
  <si>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</si>
  <si>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</si>
  <si>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</si>
  <si>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</si>
  <si>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</si>
  <si>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</si>
  <si>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</si>
  <si>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</si>
  <si>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</si>
  <si>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</si>
  <si>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</si>
  <si>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</si>
  <si>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</si>
  <si>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</si>
  <si>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</si>
  <si>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</si>
  <si>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</si>
  <si>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</si>
  <si>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</si>
  <si>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</si>
  <si>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</si>
  <si>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</si>
  <si>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</si>
  <si>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</si>
  <si>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</si>
  <si>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</si>
  <si>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</si>
  <si>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</si>
  <si>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</si>
  <si>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</si>
  <si>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</si>
  <si>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</si>
  <si>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</si>
  <si>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</si>
  <si>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</si>
  <si>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</si>
  <si>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</si>
  <si>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</si>
  <si>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</si>
  <si>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</si>
  <si>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</si>
  <si>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</si>
  <si>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</si>
  <si>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</si>
  <si>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</si>
  <si>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</si>
  <si>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</si>
  <si>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</si>
  <si>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</si>
  <si>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</si>
  <si>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</si>
  <si>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</si>
  <si>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</si>
  <si>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</si>
  <si>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</si>
  <si>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</si>
  <si>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</si>
  <si>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</si>
  <si>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</si>
  <si>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</si>
  <si>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</si>
  <si>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</si>
  <si>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</si>
  <si>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</si>
  <si>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</si>
  <si>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</si>
  <si>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</si>
  <si>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</si>
  <si>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</si>
  <si>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</si>
  <si>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</si>
  <si>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</si>
  <si>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</si>
  <si>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</si>
  <si>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</si>
  <si>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</si>
  <si>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</si>
  <si>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</si>
  <si>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</si>
  <si>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</si>
  <si>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</si>
  <si>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</si>
  <si>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</si>
  <si>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</si>
  <si>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</si>
  <si>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</si>
  <si>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</si>
  <si>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</si>
  <si>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</si>
  <si>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</si>
  <si>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</si>
  <si>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</si>
  <si>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</si>
  <si>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</si>
  <si>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</si>
  <si>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</si>
  <si>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</si>
  <si>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</si>
  <si>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</si>
  <si>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</si>
  <si>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</si>
  <si>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</si>
  <si>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</si>
  <si>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</si>
  <si>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</si>
  <si>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</si>
  <si>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</si>
  <si>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</si>
  <si>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</si>
  <si>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</si>
  <si>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</si>
  <si>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</si>
  <si>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</si>
  <si>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</si>
  <si>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</si>
  <si>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</si>
  <si>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</si>
  <si>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</si>
  <si>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</si>
  <si>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</si>
  <si>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</si>
  <si>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</si>
  <si>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</si>
  <si>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</si>
  <si>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</si>
  <si>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</si>
  <si>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</si>
  <si>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</si>
  <si>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</si>
  <si>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</si>
  <si>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</si>
  <si>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</si>
  <si>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</si>
  <si>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</si>
  <si>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</si>
  <si>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</si>
  <si>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</si>
  <si>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</si>
  <si>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</si>
  <si>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</si>
  <si>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</si>
  <si>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</si>
  <si>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</si>
  <si>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</si>
  <si>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</si>
  <si>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</si>
  <si>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</si>
  <si>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</si>
  <si>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</si>
  <si>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</si>
  <si>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</si>
  <si>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</si>
  <si>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</si>
  <si>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</si>
  <si>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</si>
  <si>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</si>
  <si>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</si>
  <si>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</si>
  <si>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</si>
  <si>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</si>
  <si>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</si>
  <si>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</si>
  <si>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</si>
  <si>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</si>
  <si>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</si>
  <si>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</si>
  <si>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</si>
  <si>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</si>
  <si>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</si>
  <si>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</si>
  <si>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</si>
  <si>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</si>
  <si>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</si>
  <si>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</si>
  <si>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</si>
  <si>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</si>
  <si>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</si>
  <si>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</si>
  <si>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</si>
  <si>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</si>
  <si>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</si>
  <si>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</si>
  <si>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</si>
  <si>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</si>
  <si>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</si>
  <si>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</si>
  <si>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</si>
  <si>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</si>
  <si>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</si>
  <si>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</si>
  <si>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</si>
  <si>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</si>
  <si>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</si>
  <si>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</si>
  <si>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</si>
  <si>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</si>
  <si>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</si>
  <si>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</si>
  <si>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</si>
  <si>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</si>
  <si>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</si>
  <si>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</si>
  <si>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</si>
  <si>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</si>
  <si>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</si>
  <si>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</si>
  <si>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</si>
  <si>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</si>
  <si>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</si>
  <si>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</si>
  <si>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</si>
  <si>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</si>
  <si>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</si>
  <si>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</si>
  <si>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</si>
  <si>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</si>
  <si>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</si>
  <si>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</si>
  <si>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</si>
  <si>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</si>
  <si>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</si>
  <si>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</si>
  <si>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</si>
  <si>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</si>
  <si>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</si>
  <si>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</si>
  <si>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</si>
  <si>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</si>
  <si>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</si>
  <si>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</si>
  <si>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</si>
  <si>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</si>
  <si>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</si>
  <si>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</si>
  <si>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</si>
  <si>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</si>
  <si>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</si>
  <si>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</si>
  <si>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</si>
  <si>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</si>
  <si>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</si>
  <si>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</si>
  <si>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</si>
  <si>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</si>
  <si>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</si>
  <si>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</si>
  <si>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</si>
  <si>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</si>
  <si>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</si>
  <si>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</si>
  <si>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</si>
  <si>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</si>
  <si>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</si>
  <si>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</si>
  <si>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</si>
  <si>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</si>
  <si>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</si>
  <si>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</si>
  <si>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</si>
  <si>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</si>
  <si>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</si>
  <si>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</si>
  <si>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</si>
  <si>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</si>
  <si>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</si>
  <si>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</si>
  <si>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</si>
  <si>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</si>
  <si>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</si>
  <si>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</si>
  <si>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</si>
  <si>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</si>
  <si>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</si>
  <si>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</si>
  <si>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</si>
  <si>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</si>
  <si>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</si>
  <si>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</si>
  <si>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</si>
  <si>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</si>
  <si>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</si>
  <si>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</si>
  <si>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</si>
  <si>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</si>
  <si>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</si>
  <si>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</si>
  <si>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</si>
  <si>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</si>
  <si>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</si>
  <si>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</si>
  <si>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</si>
  <si>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</si>
  <si>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</si>
  <si>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</si>
  <si>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</si>
  <si>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</si>
  <si>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</si>
  <si>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</si>
  <si>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</si>
  <si>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</si>
  <si>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</si>
  <si>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</si>
  <si>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</si>
  <si>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</si>
  <si>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</si>
  <si>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</si>
  <si>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</si>
  <si>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</si>
  <si>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</si>
  <si>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</si>
  <si>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</si>
  <si>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</si>
  <si>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</si>
  <si>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</si>
  <si>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</si>
  <si>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</si>
  <si>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</si>
  <si>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</si>
  <si>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</si>
  <si>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</si>
  <si>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</si>
  <si>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</si>
  <si>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</si>
  <si>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</si>
  <si>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</si>
  <si>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</si>
  <si>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</si>
  <si>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</si>
  <si>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</si>
  <si>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</si>
  <si>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</si>
  <si>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</si>
  <si>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</si>
  <si>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</si>
  <si>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</si>
  <si>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</si>
  <si>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</si>
  <si>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</si>
  <si>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</si>
  <si>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</si>
  <si>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</si>
  <si>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</si>
  <si>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</si>
  <si>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</si>
  <si>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</si>
  <si>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</si>
  <si>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</si>
  <si>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</si>
  <si>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</si>
  <si>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</si>
  <si>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</si>
  <si>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</si>
  <si>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</si>
  <si>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</si>
  <si>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</si>
  <si>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</si>
  <si>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</si>
  <si>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</si>
  <si>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</si>
  <si>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</si>
  <si>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</si>
  <si>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</si>
  <si>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</si>
  <si>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</si>
  <si>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</si>
  <si>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</si>
  <si>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</si>
  <si>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</si>
  <si>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</si>
  <si>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</si>
  <si>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</si>
  <si>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</si>
  <si>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</si>
  <si>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</si>
  <si>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</si>
  <si>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</si>
  <si>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</si>
  <si>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</si>
  <si>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</si>
  <si>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</si>
  <si>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</si>
  <si>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</si>
  <si>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</si>
  <si>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</si>
  <si>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</si>
  <si>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</si>
  <si>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</si>
  <si>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</si>
  <si>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</si>
  <si>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</si>
  <si>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</si>
  <si>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</si>
  <si>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</si>
  <si>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</si>
  <si>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</si>
  <si>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</si>
  <si>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</si>
  <si>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</si>
  <si>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</si>
  <si>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</si>
  <si>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</si>
  <si>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</si>
  <si>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</si>
  <si>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</si>
  <si>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</si>
  <si>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</si>
  <si>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</si>
  <si>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</si>
  <si>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</si>
  <si>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</si>
  <si>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</si>
  <si>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</si>
  <si>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</si>
  <si>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</si>
  <si>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</si>
  <si>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</si>
  <si>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</si>
  <si>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</si>
  <si>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</si>
  <si>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</si>
  <si>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</si>
  <si>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</si>
  <si>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</si>
  <si>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</si>
  <si>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</si>
  <si>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</si>
  <si>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</si>
  <si>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</si>
  <si>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</si>
  <si>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</si>
  <si>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</si>
  <si>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</si>
  <si>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</si>
  <si>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</si>
  <si>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</si>
  <si>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</si>
  <si>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</si>
  <si>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</si>
  <si>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</si>
  <si>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</si>
  <si>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</si>
  <si>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</si>
  <si>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</si>
  <si>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</si>
  <si>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</si>
  <si>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</si>
  <si>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</si>
  <si>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</si>
  <si>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</si>
  <si>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</si>
  <si>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</si>
  <si>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</si>
  <si>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</si>
  <si>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</si>
  <si>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</si>
  <si>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</si>
  <si>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</si>
  <si>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</si>
  <si>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</si>
  <si>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</si>
  <si>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</si>
  <si>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</si>
  <si>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</si>
  <si>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</si>
  <si>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</si>
  <si>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</si>
  <si>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</si>
  <si>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</si>
  <si>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</si>
  <si>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</si>
  <si>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</si>
  <si>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</si>
  <si>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</si>
  <si>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</si>
  <si>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</si>
  <si>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</si>
  <si>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</si>
  <si>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</si>
  <si>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</si>
  <si>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</si>
  <si>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</si>
  <si>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</si>
  <si>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</si>
  <si>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</si>
  <si>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</si>
  <si>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</si>
  <si>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</si>
  <si>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</si>
  <si>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</si>
  <si>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</si>
  <si>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</si>
  <si>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</si>
  <si>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</si>
  <si>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</si>
  <si>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</si>
  <si>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</si>
  <si>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</si>
  <si>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</si>
  <si>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</si>
  <si>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</si>
  <si>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</si>
  <si>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</si>
  <si>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</si>
  <si>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</si>
  <si>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</si>
  <si>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</si>
  <si>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</si>
  <si>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</si>
  <si>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</si>
  <si>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</si>
  <si>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</si>
  <si>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</si>
  <si>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</si>
  <si>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</si>
  <si>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</si>
  <si>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</si>
  <si>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</si>
  <si>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</si>
  <si>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</si>
  <si>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</si>
  <si>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</si>
  <si>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</si>
  <si>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</si>
  <si>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</si>
  <si>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</si>
  <si>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</si>
  <si>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</si>
  <si>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</si>
  <si>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</si>
  <si>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</si>
  <si>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</si>
  <si>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</si>
  <si>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</si>
  <si>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</si>
  <si>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</si>
  <si>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</si>
  <si>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</si>
  <si>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</si>
  <si>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</si>
  <si>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</si>
  <si>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</si>
  <si>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</si>
  <si>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</si>
  <si>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</si>
  <si>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</si>
  <si>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</si>
  <si>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</si>
  <si>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</si>
  <si>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</si>
  <si>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</si>
  <si>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</si>
  <si>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</si>
  <si>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</si>
  <si>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</si>
  <si>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</si>
  <si>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</si>
  <si>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</si>
  <si>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</si>
  <si>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</si>
  <si>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</si>
  <si>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</si>
  <si>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</si>
  <si>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</si>
  <si>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</si>
  <si>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</si>
  <si>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</si>
  <si>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</si>
  <si>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</si>
  <si>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</si>
  <si>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</si>
  <si>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</si>
  <si>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</si>
  <si>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</si>
  <si>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</si>
  <si>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</si>
  <si>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</si>
  <si>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</si>
  <si>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</si>
  <si>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</si>
  <si>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</si>
  <si>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</si>
  <si>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</si>
  <si>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</si>
  <si>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</si>
  <si>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</si>
  <si>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</si>
  <si>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</si>
  <si>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</si>
  <si>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</si>
  <si>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</si>
  <si>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</si>
  <si>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</si>
  <si>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</si>
  <si>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</si>
  <si>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</si>
  <si>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</si>
  <si>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</si>
  <si>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</si>
  <si>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</si>
  <si>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</si>
  <si>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</si>
  <si>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</si>
  <si>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</si>
  <si>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</si>
  <si>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</si>
  <si>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</si>
  <si>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</si>
  <si>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</si>
  <si>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</si>
  <si>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</si>
  <si>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</si>
  <si>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</si>
  <si>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</si>
  <si>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</si>
  <si>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</si>
  <si>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</si>
  <si>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</si>
  <si>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</si>
  <si>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</si>
  <si>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</si>
  <si>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</si>
  <si>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</si>
  <si>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</si>
  <si>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</si>
  <si>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</si>
  <si>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</si>
  <si>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</si>
  <si>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</si>
  <si>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</si>
  <si>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</si>
  <si>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</si>
  <si>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</si>
  <si>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</si>
  <si>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</si>
  <si>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</si>
  <si>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</si>
  <si>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</si>
  <si>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</si>
  <si>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</si>
  <si>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</si>
  <si>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</si>
  <si>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</si>
  <si>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</si>
  <si>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</si>
  <si>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</si>
  <si>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</si>
  <si>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</si>
  <si>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</si>
  <si>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</si>
  <si>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</si>
  <si>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</si>
  <si>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</si>
  <si>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</si>
  <si>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</si>
  <si>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</si>
  <si>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</si>
  <si>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</si>
  <si>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</si>
  <si>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</si>
  <si>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</si>
  <si>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</si>
  <si>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</si>
  <si>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</si>
  <si>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</si>
  <si>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</si>
  <si>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</si>
  <si>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</si>
  <si>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</si>
  <si>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</si>
  <si>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</si>
  <si>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</si>
  <si>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</si>
  <si>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</si>
  <si>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</si>
  <si>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</si>
  <si>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</si>
  <si>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</si>
  <si>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</si>
  <si>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</si>
  <si>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</si>
  <si>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</si>
  <si>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</si>
  <si>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</si>
  <si>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</si>
  <si>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</si>
  <si>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</si>
  <si>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</si>
  <si>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</si>
  <si>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</si>
  <si>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</si>
  <si>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</si>
  <si>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</si>
  <si>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</si>
  <si>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</si>
  <si>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</si>
  <si>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</si>
  <si>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</si>
  <si>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</si>
  <si>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</si>
  <si>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</si>
  <si>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</si>
  <si>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</si>
  <si>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</si>
  <si>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</si>
  <si>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</si>
  <si>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</si>
  <si>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</si>
  <si>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</si>
  <si>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</si>
  <si>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</si>
  <si>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</si>
  <si>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</si>
  <si>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</si>
  <si>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</si>
  <si>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</si>
  <si>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</si>
  <si>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</si>
  <si>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</si>
  <si>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</si>
  <si>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</si>
  <si>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</si>
  <si>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</si>
  <si>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</si>
  <si>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</si>
  <si>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</si>
  <si>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</si>
  <si>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</si>
  <si>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</si>
  <si>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</si>
  <si>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</si>
  <si>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</si>
  <si>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</si>
  <si>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</si>
  <si>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</si>
  <si>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</si>
  <si>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</si>
  <si>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</si>
  <si>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</si>
  <si>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</si>
  <si>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</si>
  <si>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</si>
  <si>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</si>
  <si>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</si>
  <si>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</si>
  <si>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</si>
  <si>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</si>
  <si>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</si>
  <si>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</si>
  <si>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</si>
  <si>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</si>
  <si>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</si>
  <si>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</si>
  <si>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</si>
  <si>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</si>
  <si>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</si>
  <si>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</si>
  <si>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</si>
  <si>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</si>
  <si>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</si>
  <si>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</si>
  <si>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</si>
  <si>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</si>
  <si>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</si>
  <si>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</si>
  <si>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</si>
  <si>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</si>
  <si>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</si>
  <si>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</si>
  <si>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</si>
  <si>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</si>
  <si>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</si>
  <si>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</si>
  <si>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</si>
  <si>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</si>
  <si>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</si>
  <si>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</si>
  <si>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</si>
  <si>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</si>
  <si>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</si>
  <si>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</si>
  <si>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</si>
  <si>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</si>
  <si>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</si>
  <si>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</si>
  <si>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</si>
  <si>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</si>
  <si>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</si>
  <si>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</si>
  <si>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</si>
  <si>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</si>
  <si>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</si>
  <si>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</si>
  <si>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</si>
  <si>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</si>
  <si>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</si>
  <si>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</si>
  <si>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</si>
  <si>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</si>
  <si>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</si>
  <si>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</si>
  <si>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</si>
  <si>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</si>
  <si>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</si>
  <si>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</si>
  <si>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</si>
  <si>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</si>
  <si>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</si>
  <si>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</si>
  <si>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</si>
  <si>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</si>
  <si>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</si>
  <si>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</si>
  <si>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</si>
  <si>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</si>
  <si>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</si>
  <si>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</si>
  <si>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</si>
  <si>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</si>
  <si>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</si>
  <si>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</si>
  <si>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</si>
  <si>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</si>
  <si>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</si>
  <si>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</si>
  <si>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</si>
  <si>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</si>
  <si>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</si>
  <si>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</si>
  <si>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</si>
  <si>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</si>
  <si>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</si>
  <si>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</si>
  <si>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</si>
  <si>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</si>
  <si>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</si>
  <si>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</si>
  <si>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</si>
  <si>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</si>
  <si>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</si>
  <si>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</si>
  <si>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</si>
  <si>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</si>
  <si>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</si>
  <si>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</si>
  <si>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</si>
  <si>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</si>
  <si>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</si>
  <si>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</si>
  <si>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</si>
  <si>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</si>
  <si>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</si>
  <si>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</si>
  <si>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</si>
  <si>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</si>
  <si>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</si>
  <si>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</si>
  <si>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</si>
  <si>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</si>
  <si>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</si>
  <si>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</si>
  <si>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</si>
  <si>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</si>
  <si>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</si>
  <si>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</si>
  <si>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</si>
  <si>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</si>
  <si>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</si>
  <si>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</si>
  <si>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</si>
  <si>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</si>
  <si>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</si>
  <si>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</si>
  <si>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</si>
  <si>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</si>
  <si>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</si>
  <si>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</si>
  <si>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</si>
  <si>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</si>
  <si>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</si>
  <si>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</si>
  <si>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</si>
  <si>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</si>
  <si>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</si>
  <si>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</si>
  <si>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</si>
  <si>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</si>
  <si>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</si>
  <si>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</si>
  <si>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</si>
  <si>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</si>
  <si>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</si>
  <si>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</si>
  <si>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</si>
  <si>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</si>
  <si>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</si>
  <si>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</si>
  <si>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</si>
  <si>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</si>
  <si>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</si>
  <si>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</si>
  <si>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</si>
  <si>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</si>
  <si>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</si>
  <si>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</si>
  <si>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</si>
  <si>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</si>
  <si>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</si>
  <si>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</si>
  <si>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</si>
  <si>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</si>
  <si>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</si>
  <si>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</si>
  <si>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</si>
  <si>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</si>
  <si>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</si>
  <si>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</si>
  <si>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</si>
  <si>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</si>
  <si>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</si>
  <si>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</si>
  <si>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</si>
  <si>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</si>
  <si>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</si>
  <si>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</si>
  <si>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</si>
  <si>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</si>
  <si>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</si>
  <si>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</si>
  <si>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</si>
  <si>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</si>
  <si>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</si>
  <si>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</si>
  <si>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</si>
  <si>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</si>
  <si>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</si>
  <si>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</si>
  <si>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</si>
  <si>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</si>
  <si>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</si>
  <si>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</si>
  <si>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</si>
  <si>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</si>
  <si>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</si>
  <si>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</si>
  <si>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</si>
  <si>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</si>
  <si>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</si>
  <si>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</si>
  <si>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</si>
  <si>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</si>
  <si>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</si>
  <si>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</si>
  <si>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</si>
  <si>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</si>
  <si>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</si>
  <si>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</si>
  <si>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</si>
  <si>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</si>
  <si>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</si>
  <si>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</si>
  <si>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</si>
  <si>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</si>
  <si>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</si>
  <si>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</si>
  <si>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</si>
  <si>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</si>
  <si>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</si>
  <si>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</si>
  <si>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</si>
  <si>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</si>
  <si>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</si>
  <si>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</si>
  <si>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</si>
  <si>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</si>
  <si>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</si>
  <si>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</si>
  <si>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</si>
  <si>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</si>
  <si>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</si>
  <si>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</si>
  <si>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</si>
  <si>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</si>
  <si>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</si>
  <si>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</si>
  <si>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</si>
  <si>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</si>
  <si>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</si>
  <si>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</si>
  <si>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</si>
  <si>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</si>
  <si>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</si>
  <si>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</si>
  <si>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</si>
  <si>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</si>
  <si>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</si>
  <si>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</si>
  <si>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</si>
  <si>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</si>
  <si>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</si>
  <si>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</si>
  <si>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</si>
  <si>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</si>
  <si>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</si>
  <si>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</si>
  <si>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</si>
  <si>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</si>
  <si>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</si>
  <si>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</si>
  <si>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</si>
  <si>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</si>
  <si>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</si>
  <si>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</si>
  <si>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</si>
  <si>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</si>
  <si>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</si>
  <si>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</si>
  <si>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</si>
  <si>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</si>
  <si>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</si>
  <si>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</si>
  <si>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</si>
  <si>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</si>
  <si>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</si>
  <si>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</si>
  <si>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</si>
  <si>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</si>
  <si>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</si>
  <si>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</si>
  <si>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</si>
  <si>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</si>
  <si>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</si>
  <si>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</si>
  <si>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</si>
  <si>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</si>
  <si>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</si>
  <si>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</si>
  <si>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</si>
  <si>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</si>
  <si>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</si>
  <si>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</si>
  <si>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</si>
  <si>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</si>
  <si>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</si>
  <si>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</si>
  <si>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</si>
  <si>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</si>
  <si>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</si>
  <si>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</si>
  <si>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</si>
  <si>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</si>
  <si>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</si>
  <si>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</si>
  <si>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</si>
  <si>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</si>
  <si>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</si>
  <si>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</si>
  <si>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</si>
  <si>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</si>
  <si>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</si>
  <si>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</si>
  <si>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</si>
  <si>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</si>
  <si>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</si>
  <si>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</si>
  <si>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</si>
  <si>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</si>
  <si>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</si>
  <si>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</si>
  <si>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</si>
  <si>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</si>
  <si>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</si>
  <si>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</si>
  <si>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</si>
  <si>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</si>
  <si>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</si>
  <si>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</si>
  <si>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</si>
  <si>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</si>
  <si>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</si>
  <si>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</si>
  <si>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</si>
  <si>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</si>
  <si>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</si>
  <si>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</si>
  <si>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</si>
  <si>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</si>
  <si>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</si>
  <si>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</si>
  <si>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</si>
  <si>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</si>
  <si>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</si>
  <si>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</si>
  <si>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</si>
  <si>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</si>
  <si>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</si>
  <si>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</si>
  <si>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</si>
  <si>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</si>
  <si>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</si>
  <si>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</si>
  <si>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</si>
  <si>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</si>
  <si>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</si>
  <si>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</si>
  <si>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</si>
  <si>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</si>
  <si>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</si>
  <si>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</si>
  <si>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</si>
  <si>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</si>
  <si>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</si>
  <si>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</si>
  <si>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</si>
  <si>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</si>
  <si>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</si>
  <si>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</si>
  <si>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</si>
  <si>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</si>
  <si>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</si>
  <si>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</si>
  <si>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</si>
  <si>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</si>
  <si>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</si>
  <si>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</si>
  <si>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</si>
  <si>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</si>
  <si>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</si>
  <si>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</si>
  <si>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</si>
  <si>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</si>
  <si>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</si>
  <si>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</si>
  <si>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</si>
  <si>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</si>
  <si>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</si>
  <si>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</si>
  <si>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</si>
  <si>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</si>
  <si>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</si>
  <si>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</si>
  <si>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</si>
  <si>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</si>
  <si>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</si>
  <si>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</si>
  <si>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</si>
  <si>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</si>
  <si>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</si>
  <si>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</si>
  <si>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</si>
  <si>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</si>
  <si>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</si>
  <si>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</si>
  <si>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</si>
  <si>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</si>
  <si>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</si>
  <si>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</si>
  <si>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</si>
  <si>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</si>
  <si>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</si>
  <si>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</si>
  <si>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</si>
  <si>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</si>
  <si>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</si>
  <si>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</si>
  <si>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</si>
  <si>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</si>
  <si>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</si>
  <si>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</si>
  <si>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</si>
  <si>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</si>
  <si>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</si>
  <si>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</si>
  <si>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</si>
  <si>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</si>
  <si>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</si>
  <si>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</si>
  <si>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</si>
  <si>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</si>
  <si>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</si>
  <si>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</si>
  <si>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</si>
  <si>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</si>
  <si>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</si>
  <si>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</si>
  <si>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</si>
  <si>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</si>
  <si>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</si>
  <si>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</si>
  <si>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</si>
  <si>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</si>
  <si>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</si>
  <si>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</si>
  <si>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</si>
  <si>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</si>
  <si>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</si>
  <si>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</si>
  <si>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</si>
  <si>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</si>
  <si>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</si>
  <si>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</si>
  <si>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</si>
  <si>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</si>
  <si>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</si>
  <si>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</si>
  <si>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</si>
  <si>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</si>
  <si>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</si>
  <si>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</si>
  <si>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</si>
  <si>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</si>
  <si>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</si>
  <si>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</si>
  <si>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</si>
  <si>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</si>
  <si>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</si>
  <si>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</si>
  <si>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</si>
  <si>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</si>
  <si>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</si>
  <si>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</si>
  <si>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</si>
  <si>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</si>
  <si>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</si>
  <si>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</si>
  <si>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</si>
  <si>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</si>
  <si>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</si>
  <si>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</si>
  <si>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</si>
  <si>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</si>
  <si>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</si>
  <si>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</si>
  <si>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</si>
  <si>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</si>
  <si>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</si>
  <si>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</si>
  <si>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</si>
  <si>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</si>
  <si>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</si>
  <si>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</si>
  <si>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</si>
  <si>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</si>
  <si>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</si>
  <si>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</si>
  <si>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</si>
  <si>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</si>
  <si>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</si>
  <si>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</si>
  <si>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</si>
  <si>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</si>
  <si>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</si>
  <si>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</si>
  <si>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</si>
  <si>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</si>
  <si>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</si>
  <si>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</si>
  <si>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</si>
  <si>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</si>
  <si>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</si>
  <si>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</si>
  <si>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</si>
  <si>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</si>
  <si>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</si>
  <si>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</si>
  <si>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</si>
  <si>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</si>
  <si>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</si>
  <si>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</si>
  <si>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</si>
  <si>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</si>
  <si>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</si>
  <si>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</si>
  <si>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</si>
  <si>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</si>
  <si>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</si>
  <si>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</si>
  <si>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</si>
  <si>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</si>
  <si>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</si>
  <si>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</si>
  <si>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</si>
  <si>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</si>
  <si>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</si>
  <si>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</si>
  <si>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</si>
  <si>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</si>
  <si>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</si>
  <si>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</si>
  <si>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</si>
  <si>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</si>
  <si>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</si>
  <si>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</si>
  <si>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</si>
  <si>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</si>
  <si>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</si>
  <si>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</si>
  <si>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</si>
  <si>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</si>
  <si>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</si>
  <si>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</si>
  <si>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</si>
  <si>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</si>
  <si>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</si>
  <si>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</si>
  <si>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</si>
  <si>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</si>
  <si>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</si>
  <si>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</si>
  <si>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</si>
  <si>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</si>
  <si>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</si>
  <si>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</si>
  <si>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</si>
  <si>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</si>
  <si>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</si>
  <si>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</si>
  <si>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</si>
  <si>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</si>
  <si>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</si>
  <si>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</si>
  <si>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</si>
  <si>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</si>
  <si>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</si>
  <si>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</si>
  <si>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</si>
  <si>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</si>
  <si>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</si>
  <si>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</si>
  <si>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</si>
  <si>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</si>
  <si>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</si>
  <si>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</si>
  <si>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</si>
  <si>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</si>
  <si>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</si>
  <si>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</si>
  <si>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</si>
  <si>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</si>
  <si>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</si>
  <si>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</si>
  <si>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</si>
  <si>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</si>
  <si>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</si>
  <si>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</si>
  <si>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</si>
  <si>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</si>
  <si>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</si>
  <si>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</si>
  <si>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</si>
  <si>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</si>
  <si>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</si>
  <si>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</si>
  <si>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</si>
  <si>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</si>
  <si>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</si>
  <si>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</si>
  <si>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</si>
  <si>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</si>
  <si>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</si>
  <si>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</si>
  <si>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</si>
  <si>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</si>
  <si>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</si>
  <si>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</si>
  <si>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</si>
  <si>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</si>
  <si>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</si>
  <si>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</si>
  <si>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</si>
  <si>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</si>
  <si>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</si>
  <si>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</si>
  <si>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</si>
  <si>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</si>
  <si>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</si>
  <si>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</si>
  <si>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</si>
  <si>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</si>
  <si>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</si>
  <si>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</si>
  <si>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</si>
  <si>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</si>
  <si>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</si>
  <si>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</si>
  <si>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</si>
  <si>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</si>
  <si>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</si>
  <si>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</si>
  <si>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</si>
  <si>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</si>
  <si>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</si>
  <si>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</si>
  <si>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</si>
  <si>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</si>
  <si>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</si>
  <si>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</si>
  <si>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</si>
  <si>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</si>
  <si>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</si>
  <si>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</si>
  <si>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</si>
  <si>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</si>
  <si>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</si>
  <si>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</si>
  <si>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</si>
  <si>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</si>
  <si>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</si>
  <si>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</si>
  <si>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</si>
  <si>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</si>
  <si>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</si>
  <si>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</si>
  <si>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</si>
  <si>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</si>
  <si>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</si>
  <si>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</si>
  <si>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</si>
  <si>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</si>
  <si>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</si>
  <si>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</si>
  <si>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</si>
  <si>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</si>
  <si>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</si>
  <si>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</si>
  <si>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</si>
  <si>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</si>
  <si>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</si>
  <si>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</si>
  <si>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</si>
  <si>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</si>
  <si>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</si>
  <si>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</si>
  <si>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</si>
  <si>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</si>
  <si>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</si>
  <si>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</si>
  <si>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</si>
  <si>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</si>
  <si>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</si>
  <si>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</si>
  <si>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</si>
  <si>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</si>
  <si>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</si>
  <si>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</si>
  <si>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</si>
  <si>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</si>
  <si>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</si>
  <si>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</si>
  <si>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</si>
  <si>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</si>
  <si>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</si>
  <si>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</si>
  <si>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</si>
  <si>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</si>
  <si>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</si>
  <si>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</si>
  <si>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</si>
  <si>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</si>
  <si>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</si>
  <si>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</si>
  <si>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</si>
  <si>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</si>
  <si>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</si>
  <si>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</si>
  <si>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</si>
  <si>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</si>
  <si>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</si>
  <si>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</si>
  <si>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</si>
  <si>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</si>
  <si>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</si>
  <si>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</si>
  <si>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</si>
  <si>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</si>
  <si>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</si>
  <si>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</si>
  <si>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</si>
  <si>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</si>
  <si>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</si>
  <si>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</si>
  <si>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</si>
  <si>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</si>
  <si>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</si>
  <si>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</si>
  <si>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</si>
  <si>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</si>
  <si>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</si>
  <si>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</si>
  <si>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</si>
  <si>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</si>
  <si>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</si>
  <si>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</si>
  <si>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</si>
  <si>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</si>
  <si>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</si>
  <si>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</si>
  <si>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</si>
  <si>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</si>
  <si>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</si>
  <si>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</si>
  <si>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</si>
  <si>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</si>
  <si>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</si>
  <si>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</si>
  <si>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</si>
  <si>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</si>
  <si>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</si>
  <si>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</si>
  <si>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</si>
  <si>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</si>
  <si>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</si>
  <si>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</si>
  <si>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</si>
  <si>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</si>
  <si>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</si>
  <si>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</si>
  <si>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</si>
  <si>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</si>
  <si>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</si>
  <si>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</si>
  <si>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</si>
  <si>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</si>
  <si>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</si>
  <si>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</si>
  <si>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</si>
  <si>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</si>
  <si>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</si>
  <si>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</si>
  <si>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</si>
  <si>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</si>
  <si>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</si>
  <si>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</si>
  <si>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</si>
  <si>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</si>
  <si>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</si>
  <si>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</si>
  <si>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</si>
  <si>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</si>
  <si>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</si>
  <si>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</si>
  <si>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</si>
  <si>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</si>
  <si>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</si>
  <si>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</si>
  <si>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</si>
  <si>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</si>
  <si>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</si>
  <si>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</si>
  <si>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</si>
  <si>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</si>
  <si>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</si>
  <si>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</si>
  <si>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</si>
  <si>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</si>
  <si>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</si>
  <si>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</si>
  <si>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</si>
  <si>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</si>
  <si>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</si>
  <si>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</si>
  <si>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</si>
  <si>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</si>
  <si>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</si>
  <si>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</si>
  <si>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</si>
  <si>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</si>
  <si>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</si>
  <si>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</si>
  <si>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</si>
  <si>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</si>
  <si>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</si>
  <si>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</si>
  <si>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</si>
  <si>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</si>
  <si>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</si>
  <si>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</si>
  <si>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</si>
  <si>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</si>
  <si>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</si>
  <si>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</si>
  <si>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</si>
  <si>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</si>
  <si>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</si>
  <si>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</si>
  <si>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</si>
  <si>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</si>
  <si>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</si>
  <si>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</si>
  <si>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</si>
  <si>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</si>
  <si>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</si>
  <si>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</si>
  <si>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</si>
  <si>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</si>
  <si>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</si>
  <si>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</si>
  <si>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</si>
  <si>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</si>
  <si>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</si>
  <si>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</si>
  <si>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</si>
  <si>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</si>
  <si>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</si>
  <si>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</si>
  <si>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</si>
  <si>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</si>
  <si>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</si>
  <si>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</si>
  <si>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</si>
  <si>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</si>
  <si>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</si>
  <si>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</si>
  <si>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</si>
  <si>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</si>
  <si>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</si>
  <si>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</si>
  <si>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</si>
  <si>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</si>
  <si>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</si>
  <si>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</si>
  <si>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</si>
  <si>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</si>
  <si>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</si>
  <si>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</si>
  <si>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</si>
  <si>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</si>
  <si>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</si>
  <si>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</si>
  <si>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</si>
  <si>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</si>
  <si>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</si>
  <si>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</si>
  <si>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</si>
  <si>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</si>
  <si>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</si>
  <si>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</si>
  <si>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</si>
  <si>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</si>
  <si>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</si>
  <si>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</si>
  <si>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</si>
  <si>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</si>
  <si>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</si>
  <si>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</si>
  <si>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</si>
  <si>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</si>
  <si>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</si>
  <si>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</si>
  <si>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</si>
  <si>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</si>
  <si>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</si>
  <si>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</si>
  <si>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</si>
  <si>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</si>
  <si>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</si>
  <si>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</si>
  <si>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</si>
  <si>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</si>
  <si>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</si>
  <si>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</si>
  <si>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</si>
  <si>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</si>
  <si>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</si>
  <si>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</si>
  <si>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</si>
  <si>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</si>
  <si>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</si>
  <si>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</si>
  <si>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</si>
  <si>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</si>
  <si>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</si>
  <si>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</si>
  <si>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</si>
  <si>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</si>
  <si>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</si>
  <si>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</si>
  <si>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</si>
  <si>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</si>
  <si>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</si>
  <si>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</si>
  <si>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</si>
  <si>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</si>
  <si>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</si>
  <si>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</si>
  <si>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</si>
  <si>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</si>
  <si>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</si>
  <si>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</si>
  <si>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</si>
  <si>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</si>
  <si>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</si>
  <si>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</si>
  <si>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</si>
  <si>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</si>
  <si>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</si>
  <si>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</si>
  <si>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</si>
  <si>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</si>
  <si>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</si>
  <si>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</si>
  <si>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</si>
  <si>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</si>
  <si>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</si>
  <si>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</si>
  <si>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</si>
  <si>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</si>
  <si>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</si>
  <si>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</si>
  <si>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</si>
  <si>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</si>
  <si>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</si>
  <si>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</si>
  <si>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</si>
  <si>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</si>
  <si>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</si>
  <si>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</si>
  <si>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</si>
  <si>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</si>
  <si>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</si>
  <si>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</si>
  <si>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</si>
  <si>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</si>
  <si>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</si>
  <si>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</si>
  <si>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</si>
  <si>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</si>
  <si>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</si>
  <si>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</si>
  <si>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</si>
  <si>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</si>
  <si>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</si>
  <si>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</si>
  <si>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</si>
  <si>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</si>
  <si>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</si>
  <si>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</si>
  <si>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</si>
  <si>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</si>
  <si>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</si>
  <si>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</si>
  <si>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</si>
  <si>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</si>
  <si>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</si>
  <si>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</si>
  <si>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</si>
  <si>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</si>
  <si>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</si>
  <si>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</si>
  <si>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</si>
  <si>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</si>
  <si>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</si>
  <si>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</si>
  <si>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</si>
  <si>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</si>
  <si>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</si>
  <si>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</si>
  <si>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</si>
  <si>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</si>
  <si>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</si>
  <si>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</si>
  <si>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</si>
  <si>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</si>
  <si>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</si>
  <si>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</si>
  <si>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</si>
  <si>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</si>
  <si>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</si>
  <si>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</si>
  <si>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</si>
  <si>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</si>
  <si>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</si>
  <si>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</si>
  <si>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</si>
  <si>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</si>
  <si>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</si>
  <si>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</si>
  <si>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</si>
  <si>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</si>
  <si>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</si>
  <si>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</si>
  <si>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</si>
  <si>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</si>
  <si>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</si>
  <si>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</si>
  <si>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</si>
  <si>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</si>
  <si>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</si>
  <si>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</si>
  <si>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</si>
  <si>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</si>
  <si>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</si>
  <si>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</si>
  <si>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</si>
  <si>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</si>
  <si>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</si>
  <si>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</si>
  <si>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</si>
  <si>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</si>
  <si>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</si>
  <si>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</si>
  <si>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</si>
  <si>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</si>
  <si>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</si>
  <si>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</si>
  <si>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</si>
  <si>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</si>
  <si>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</si>
  <si>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</si>
  <si>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</si>
  <si>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</si>
  <si>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</si>
  <si>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</si>
  <si>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</si>
  <si>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</si>
  <si>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</si>
  <si>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</si>
  <si>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</si>
  <si>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</si>
  <si>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</si>
  <si>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</si>
  <si>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</si>
  <si>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</si>
  <si>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</si>
  <si>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</si>
  <si>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</si>
  <si>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</si>
  <si>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</si>
  <si>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</si>
  <si>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</si>
  <si>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</si>
  <si>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</si>
  <si>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</si>
  <si>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</si>
  <si>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</si>
  <si>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</si>
  <si>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</si>
  <si>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</si>
  <si>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</si>
  <si>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</si>
  <si>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</si>
  <si>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</si>
  <si>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</si>
  <si>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</si>
  <si>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</si>
  <si>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</si>
  <si>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</si>
  <si>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</si>
  <si>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</si>
  <si>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</si>
  <si>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</si>
  <si>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</si>
  <si>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</si>
  <si>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</si>
  <si>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</si>
  <si>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</si>
  <si>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</si>
  <si>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</si>
  <si>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</si>
  <si>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</si>
  <si>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</si>
  <si>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</si>
  <si>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</si>
  <si>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</si>
  <si>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</si>
  <si>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</si>
  <si>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</si>
  <si>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</si>
  <si>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</si>
  <si>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</si>
  <si>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</si>
  <si>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</si>
  <si>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</si>
  <si>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</si>
  <si>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</si>
  <si>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</si>
  <si>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</si>
  <si>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</si>
  <si>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</si>
  <si>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</si>
  <si>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</si>
  <si>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</si>
  <si>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</si>
  <si>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</si>
  <si>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</si>
  <si>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</si>
  <si>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</si>
  <si>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</si>
  <si>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</si>
  <si>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</si>
  <si>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</si>
  <si>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</si>
  <si>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</si>
  <si>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</si>
  <si>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</si>
  <si>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</si>
  <si>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</si>
  <si>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</si>
  <si>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</si>
  <si>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</si>
  <si>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</si>
  <si>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</si>
  <si>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</si>
  <si>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</si>
  <si>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</si>
  <si>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</si>
  <si>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</si>
  <si>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</si>
  <si>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</si>
  <si>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</si>
  <si>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</si>
  <si>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</si>
  <si>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</si>
  <si>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</si>
  <si>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</si>
  <si>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</si>
  <si>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</si>
  <si>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</si>
  <si>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</si>
  <si>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</si>
  <si>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</si>
  <si>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</si>
  <si>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</si>
  <si>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</si>
  <si>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</si>
  <si>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</si>
  <si>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</si>
  <si>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</si>
  <si>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</si>
  <si>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</si>
  <si>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</si>
  <si>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</si>
  <si>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</si>
  <si>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</si>
  <si>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</si>
  <si>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</si>
  <si>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</si>
  <si>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</si>
  <si>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</si>
  <si>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</si>
  <si>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</si>
  <si>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</si>
  <si>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</si>
  <si>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</si>
  <si>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</si>
  <si>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</si>
  <si>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</si>
  <si>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</si>
  <si>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</si>
  <si>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</si>
  <si>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</si>
  <si>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</si>
  <si>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</si>
  <si>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</si>
  <si>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</si>
  <si>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</si>
  <si>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</si>
  <si>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</si>
  <si>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</si>
  <si>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</si>
  <si>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</si>
  <si>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</si>
  <si>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</si>
  <si>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</si>
  <si>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</si>
  <si>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</si>
  <si>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</si>
  <si>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</si>
  <si>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</si>
  <si>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</si>
  <si>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</si>
  <si>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</si>
  <si>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</si>
  <si>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</si>
  <si>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</si>
  <si>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</si>
  <si>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</si>
  <si>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</si>
  <si>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</si>
  <si>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</si>
  <si>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</si>
  <si>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</si>
  <si>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</si>
  <si>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</si>
  <si>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</si>
  <si>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</si>
  <si>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</si>
  <si>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</si>
  <si>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</si>
  <si>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</si>
  <si>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</si>
  <si>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</si>
  <si>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</si>
  <si>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</si>
  <si>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</si>
  <si>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</si>
  <si>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</si>
  <si>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</si>
  <si>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</si>
  <si>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</si>
  <si>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</si>
  <si>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</si>
  <si>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</si>
  <si>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</si>
  <si>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</si>
  <si>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</si>
  <si>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</si>
  <si>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</si>
  <si>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</si>
  <si>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</si>
  <si>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</si>
  <si>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</si>
  <si>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</si>
  <si>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</si>
  <si>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</si>
  <si>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</si>
  <si>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</si>
  <si>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</si>
  <si>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</si>
  <si>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</si>
  <si>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</si>
  <si>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</si>
  <si>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</si>
  <si>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</si>
  <si>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</si>
  <si>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</si>
  <si>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</si>
  <si>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</si>
  <si>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</si>
  <si>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</si>
  <si>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</si>
  <si>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</si>
  <si>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</si>
  <si>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</si>
  <si>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</si>
  <si>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</si>
  <si>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</si>
  <si>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</si>
  <si>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</si>
  <si>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</si>
  <si>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</si>
  <si>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</si>
  <si>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</si>
  <si>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</si>
  <si>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</si>
  <si>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</si>
  <si>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</si>
  <si>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</si>
  <si>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</si>
  <si>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</si>
  <si>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</si>
  <si>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</si>
  <si>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</si>
  <si>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</si>
  <si>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</si>
  <si>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</si>
  <si>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</si>
  <si>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</si>
  <si>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</si>
  <si>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</si>
  <si>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</si>
  <si>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</si>
  <si>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</si>
  <si>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</si>
  <si>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</si>
  <si>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</si>
  <si>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</si>
  <si>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</si>
  <si>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</si>
  <si>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</si>
  <si>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</si>
  <si>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</si>
  <si>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</si>
  <si>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</si>
  <si>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</si>
  <si>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</si>
  <si>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</si>
  <si>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</si>
  <si>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</si>
  <si>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</si>
  <si>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</si>
  <si>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</si>
  <si>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</si>
  <si>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</si>
  <si>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</si>
  <si>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</si>
  <si>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</si>
  <si>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</si>
  <si>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</si>
  <si>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</si>
  <si>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</si>
  <si>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</si>
  <si>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</si>
  <si>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</si>
  <si>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</si>
  <si>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</si>
  <si>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</si>
  <si>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</si>
  <si>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</si>
  <si>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</si>
  <si>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</si>
  <si>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</si>
  <si>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</si>
  <si>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</si>
  <si>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</si>
  <si>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</si>
  <si>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</si>
  <si>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</si>
  <si>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</si>
  <si>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</si>
  <si>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</si>
  <si>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</si>
  <si>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</si>
  <si>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</si>
  <si>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</si>
  <si>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</si>
  <si>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</si>
  <si>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</si>
  <si>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</si>
  <si>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</si>
  <si>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</si>
  <si>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</si>
  <si>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</si>
  <si>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</si>
  <si>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</si>
  <si>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</si>
  <si>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</si>
  <si>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</si>
  <si>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</si>
  <si>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</si>
  <si>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</si>
  <si>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</si>
  <si>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</si>
  <si>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</si>
  <si>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</si>
  <si>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</si>
  <si>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</si>
  <si>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</si>
  <si>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</si>
  <si>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</si>
  <si>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</si>
  <si>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</si>
  <si>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</si>
  <si>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</si>
  <si>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</si>
  <si>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</si>
  <si>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</si>
  <si>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</si>
  <si>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</si>
  <si>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</si>
  <si>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</si>
  <si>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</si>
  <si>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</si>
  <si>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</si>
  <si>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</si>
  <si>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</si>
  <si>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</si>
  <si>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</si>
  <si>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</si>
  <si>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</si>
  <si>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</si>
  <si>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</si>
  <si>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</si>
  <si>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</si>
  <si>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</si>
  <si>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</si>
  <si>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</si>
  <si>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</si>
  <si>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</si>
  <si>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</si>
  <si>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</si>
  <si>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</si>
  <si>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</si>
  <si>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</si>
  <si>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</si>
  <si>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</si>
  <si>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</si>
  <si>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</si>
  <si>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</si>
  <si>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</si>
  <si>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</si>
  <si>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</si>
  <si>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</si>
  <si>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</si>
  <si>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</si>
  <si>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</si>
  <si>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</si>
  <si>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</si>
  <si>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</si>
  <si>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</si>
  <si>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</si>
  <si>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</si>
  <si>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</si>
  <si>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</si>
  <si>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</si>
  <si>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</si>
  <si>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</si>
  <si>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</si>
  <si>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</si>
  <si>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</si>
  <si>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</si>
  <si>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</si>
  <si>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</si>
  <si>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</si>
  <si>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</si>
  <si>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</si>
  <si>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</si>
  <si>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</si>
  <si>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</si>
  <si>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</si>
  <si>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</si>
  <si>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</si>
  <si>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</si>
  <si>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</si>
  <si>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</si>
  <si>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</si>
  <si>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</si>
  <si>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</si>
  <si>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</si>
  <si>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</si>
  <si>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</si>
  <si>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</si>
  <si>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</si>
  <si>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</si>
  <si>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</si>
  <si>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</si>
  <si>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</si>
  <si>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</si>
  <si>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</si>
  <si>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</si>
  <si>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</si>
  <si>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</si>
  <si>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</si>
  <si>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</si>
  <si>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</si>
  <si>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</si>
  <si>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</si>
  <si>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</si>
  <si>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</si>
  <si>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</si>
  <si>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</si>
  <si>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</si>
  <si>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</si>
  <si>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</si>
  <si>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</si>
  <si>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</si>
  <si>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</si>
  <si>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</si>
  <si>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</si>
  <si>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</si>
  <si>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</si>
  <si>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</si>
  <si>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</si>
  <si>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</si>
  <si>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</si>
  <si>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</si>
  <si>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</si>
  <si>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</si>
  <si>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</si>
  <si>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</si>
  <si>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</si>
  <si>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</si>
  <si>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</si>
  <si>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</si>
  <si>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</si>
  <si>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</si>
  <si>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</si>
  <si>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</si>
  <si>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</si>
  <si>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</si>
  <si>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</si>
  <si>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</si>
  <si>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</si>
  <si>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</si>
  <si>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</si>
  <si>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</si>
  <si>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</si>
  <si>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</si>
  <si>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</si>
  <si>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</si>
  <si>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</si>
  <si>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</si>
  <si>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</si>
  <si>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</si>
  <si>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</si>
  <si>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</si>
  <si>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</si>
  <si>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</si>
  <si>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</si>
  <si>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</si>
  <si>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</si>
  <si>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</si>
  <si>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</si>
  <si>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</si>
  <si>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</si>
  <si>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</si>
  <si>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</si>
  <si>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</si>
  <si>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</si>
  <si>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</si>
  <si>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</si>
  <si>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</si>
  <si>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</si>
  <si>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</si>
  <si>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</si>
  <si>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</si>
  <si>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</si>
  <si>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</si>
  <si>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</si>
  <si>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</si>
  <si>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</si>
  <si>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</si>
  <si>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</si>
  <si>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</si>
  <si>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</si>
  <si>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</si>
  <si>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</si>
  <si>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</si>
  <si>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</si>
  <si>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</si>
  <si>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</si>
  <si>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</si>
  <si>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</si>
  <si>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</si>
  <si>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</si>
  <si>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</si>
  <si>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</si>
  <si>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</si>
  <si>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</si>
  <si>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</si>
  <si>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</si>
  <si>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</si>
  <si>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</si>
  <si>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</si>
  <si>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</si>
  <si>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</si>
  <si>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</si>
  <si>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</si>
  <si>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</si>
  <si>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</si>
  <si>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</si>
  <si>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</si>
  <si>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</si>
  <si>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</si>
  <si>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</si>
  <si>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</si>
  <si>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</si>
  <si>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</si>
  <si>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</si>
  <si>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</si>
  <si>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</si>
  <si>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</si>
  <si>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</si>
  <si>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</si>
  <si>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</si>
  <si>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</si>
  <si>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</si>
  <si>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</si>
  <si>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</si>
  <si>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</si>
  <si>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</si>
  <si>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</si>
  <si>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</si>
  <si>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</si>
  <si>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</si>
  <si>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</si>
  <si>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</si>
  <si>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</si>
  <si>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</si>
  <si>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</si>
  <si>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</si>
  <si>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</si>
  <si>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</si>
  <si>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</si>
  <si>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</si>
  <si>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</si>
  <si>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</si>
  <si>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</si>
  <si>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</si>
  <si>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</si>
  <si>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</si>
  <si>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</si>
  <si>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</si>
  <si>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</si>
  <si>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</si>
  <si>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</si>
  <si>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</si>
  <si>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</si>
  <si>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</si>
  <si>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</si>
  <si>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</si>
  <si>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</si>
  <si>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</si>
  <si>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</si>
  <si>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</si>
  <si>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</si>
  <si>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</si>
  <si>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</si>
  <si>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</si>
  <si>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</si>
  <si>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</si>
  <si>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</si>
  <si>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</si>
  <si>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</si>
  <si>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</si>
  <si>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</si>
  <si>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</si>
  <si>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</si>
  <si>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</si>
  <si>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</si>
  <si>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</si>
  <si>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</si>
  <si>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</si>
  <si>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</si>
  <si>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</si>
  <si>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</si>
  <si>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</si>
  <si>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</si>
  <si>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</si>
  <si>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</si>
  <si>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</si>
  <si>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</si>
  <si>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</si>
  <si>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</si>
  <si>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</si>
  <si>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</si>
  <si>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</si>
  <si>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</si>
  <si>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</si>
  <si>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</si>
  <si>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</si>
  <si>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</si>
  <si>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</si>
  <si>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</si>
  <si>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</si>
  <si>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</si>
  <si>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</si>
  <si>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</si>
  <si>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</si>
  <si>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</si>
  <si>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</si>
  <si>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</si>
  <si>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</si>
  <si>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</si>
  <si>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</si>
  <si>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</si>
  <si>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</si>
  <si>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</si>
  <si>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</si>
  <si>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</si>
  <si>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</si>
  <si>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</si>
  <si>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</si>
  <si>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</si>
  <si>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</si>
  <si>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</si>
  <si>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</si>
  <si>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</si>
  <si>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</si>
  <si>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</si>
  <si>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</si>
  <si>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</si>
  <si>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</si>
  <si>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</si>
  <si>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</si>
  <si>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</si>
  <si>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</si>
  <si>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</si>
  <si>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</si>
  <si>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</si>
  <si>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</si>
  <si>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</si>
  <si>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</si>
  <si>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</si>
  <si>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</si>
  <si>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</si>
  <si>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</si>
  <si>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</si>
  <si>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</si>
  <si>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</si>
  <si>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</si>
  <si>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</si>
  <si>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</si>
  <si>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</si>
  <si>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</si>
  <si>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</si>
  <si>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</si>
  <si>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</si>
  <si>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</si>
  <si>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</si>
  <si>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</si>
  <si>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</si>
  <si>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</si>
  <si>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</si>
  <si>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</si>
  <si>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</si>
  <si>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</si>
  <si>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</si>
  <si>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</si>
  <si>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</si>
  <si>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</si>
  <si>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</si>
  <si>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</si>
  <si>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</si>
  <si>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</si>
  <si>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</si>
  <si>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</si>
  <si>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</si>
  <si>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</si>
  <si>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</si>
  <si>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</si>
  <si>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</si>
  <si>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</si>
  <si>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</si>
  <si>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</si>
  <si>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</si>
  <si>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</si>
  <si>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</si>
  <si>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</si>
  <si>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</si>
  <si>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</si>
  <si>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</si>
  <si>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</si>
  <si>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</si>
  <si>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</si>
  <si>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</si>
  <si>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</si>
  <si>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</si>
  <si>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</si>
  <si>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</si>
  <si>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</si>
  <si>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</si>
  <si>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</si>
  <si>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</si>
  <si>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</si>
  <si>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</si>
  <si>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</si>
  <si>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</si>
  <si>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</si>
  <si>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</si>
  <si>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</si>
  <si>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</si>
  <si>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</si>
  <si>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</si>
  <si>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</si>
  <si>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</si>
  <si>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</si>
  <si>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</si>
  <si>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</si>
  <si>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</si>
  <si>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</si>
  <si>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</si>
  <si>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</si>
  <si>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</si>
  <si>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</si>
  <si>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</si>
  <si>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</si>
  <si>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</si>
  <si>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</si>
  <si>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</si>
  <si>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</si>
  <si>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</si>
  <si>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</si>
  <si>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</si>
  <si>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</si>
  <si>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</si>
  <si>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</si>
  <si>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</si>
  <si>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</si>
  <si>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</si>
  <si>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</si>
  <si>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</si>
  <si>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</si>
  <si>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</si>
  <si>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</si>
  <si>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</si>
  <si>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</si>
  <si>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</si>
  <si>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</si>
  <si>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</si>
  <si>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</si>
  <si>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</si>
  <si>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</si>
  <si>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</si>
  <si>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</si>
  <si>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</si>
  <si>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</si>
  <si>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</si>
  <si>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</si>
  <si>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</si>
  <si>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</si>
  <si>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</si>
  <si>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</si>
  <si>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</si>
  <si>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</si>
  <si>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</si>
  <si>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</si>
  <si>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</si>
  <si>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</si>
  <si>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</si>
  <si>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</si>
  <si>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</si>
  <si>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</si>
  <si>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</si>
  <si>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</si>
  <si>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</si>
  <si>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</si>
  <si>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</si>
  <si>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</si>
  <si>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</si>
  <si>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</si>
  <si>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</si>
  <si>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</si>
  <si>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</si>
  <si>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</si>
  <si>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</si>
  <si>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</si>
  <si>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</si>
  <si>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</si>
  <si>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</si>
  <si>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</si>
  <si>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</si>
  <si>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</si>
  <si>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</si>
  <si>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</si>
  <si>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</si>
  <si>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</si>
  <si>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</si>
  <si>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</si>
  <si>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</si>
  <si>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</si>
  <si>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</si>
  <si>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</si>
  <si>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</si>
  <si>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</si>
  <si>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</si>
  <si>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</si>
  <si>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</si>
  <si>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</si>
  <si>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</si>
  <si>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</si>
  <si>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</si>
  <si>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</si>
  <si>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</si>
  <si>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</si>
  <si>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</si>
  <si>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</si>
  <si>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</si>
  <si>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</si>
  <si>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</si>
  <si>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</si>
  <si>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</si>
  <si>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</si>
  <si>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</si>
  <si>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</si>
  <si>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</si>
  <si>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</si>
  <si>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</si>
  <si>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</si>
  <si>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</si>
  <si>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</si>
  <si>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</si>
  <si>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</si>
  <si>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</si>
  <si>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</si>
  <si>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</si>
  <si>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</si>
  <si>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</si>
  <si>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</si>
  <si>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</si>
  <si>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</si>
  <si>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</si>
  <si>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</si>
  <si>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</si>
  <si>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</si>
  <si>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</si>
  <si>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</si>
  <si>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</si>
  <si>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</si>
  <si>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</si>
  <si>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</si>
  <si>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</si>
  <si>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</si>
  <si>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</si>
  <si>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</si>
  <si>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</si>
  <si>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</si>
  <si>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</si>
  <si>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</si>
  <si>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</si>
  <si>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</si>
  <si>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</si>
  <si>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</si>
  <si>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</si>
  <si>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</si>
  <si>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</si>
  <si>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</si>
  <si>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</si>
  <si>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</si>
  <si>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</si>
  <si>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</si>
  <si>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</si>
  <si>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</si>
  <si>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</si>
  <si>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</si>
  <si>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</si>
  <si>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</si>
  <si>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</si>
  <si>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</si>
  <si>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</si>
  <si>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</si>
  <si>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</si>
  <si>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</si>
  <si>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</si>
  <si>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</si>
  <si>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</si>
  <si>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</si>
  <si>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</si>
  <si>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</si>
  <si>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</si>
  <si>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</si>
  <si>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</si>
  <si>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</si>
  <si>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</si>
  <si>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</si>
  <si>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</si>
  <si>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</si>
  <si>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</si>
  <si>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</si>
  <si>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</si>
  <si>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</si>
  <si>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</si>
  <si>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</si>
  <si>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</si>
  <si>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</si>
  <si>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</si>
  <si>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</si>
  <si>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</si>
  <si>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</si>
  <si>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</si>
  <si>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</si>
  <si>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</si>
  <si>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</si>
  <si>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</si>
  <si>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</si>
  <si>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</si>
  <si>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</si>
  <si>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</si>
  <si>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</si>
  <si>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</si>
  <si>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</si>
  <si>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</si>
  <si>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</si>
  <si>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</si>
  <si>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</si>
  <si>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</si>
  <si>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</si>
  <si>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</si>
  <si>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</si>
  <si>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</si>
  <si>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</si>
  <si>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</si>
  <si>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</si>
  <si>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</si>
  <si>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</si>
  <si>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</si>
  <si>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</si>
  <si>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</si>
  <si>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</si>
  <si>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</si>
  <si>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</si>
  <si>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</si>
  <si>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</si>
  <si>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</si>
  <si>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</si>
  <si>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</si>
  <si>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</si>
  <si>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</si>
  <si>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</si>
  <si>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</si>
  <si>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</si>
  <si>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</si>
  <si>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</si>
  <si>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</si>
  <si>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</si>
  <si>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</si>
  <si>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</si>
  <si>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</si>
  <si>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</si>
  <si>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</si>
  <si>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</si>
  <si>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</si>
  <si>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</si>
  <si>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</si>
  <si>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</si>
  <si>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</si>
  <si>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</si>
  <si>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</si>
  <si>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</si>
  <si>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</si>
  <si>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</si>
  <si>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</si>
  <si>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</si>
  <si>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</si>
  <si>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</si>
  <si>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</si>
  <si>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</si>
  <si>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</si>
  <si>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</si>
  <si>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</si>
  <si>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</si>
  <si>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</si>
  <si>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</si>
  <si>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</si>
  <si>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</si>
  <si>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</si>
  <si>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</si>
  <si>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</si>
  <si>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</si>
  <si>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</si>
  <si>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</si>
  <si>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</si>
  <si>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</si>
  <si>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</si>
  <si>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</si>
  <si>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</si>
  <si>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</si>
  <si>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</si>
  <si>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</si>
  <si>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</si>
  <si>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</si>
  <si>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</si>
  <si>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</si>
  <si>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</si>
  <si>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</si>
  <si>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</si>
  <si>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</si>
  <si>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</si>
  <si>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</si>
  <si>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</si>
  <si>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</si>
  <si>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</si>
  <si>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</si>
  <si>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</si>
  <si>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</si>
  <si>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</si>
  <si>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</si>
  <si>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</si>
  <si>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</si>
  <si>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</si>
  <si>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</si>
  <si>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</si>
  <si>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</si>
  <si>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</si>
  <si>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</si>
  <si>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</si>
  <si>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</si>
  <si>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</si>
  <si>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</si>
  <si>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</si>
  <si>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</si>
  <si>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</si>
  <si>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</si>
  <si>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</si>
  <si>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</si>
  <si>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</si>
  <si>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</si>
  <si>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</si>
  <si>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</si>
  <si>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</si>
  <si>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</si>
  <si>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</si>
  <si>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</si>
  <si>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</si>
  <si>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</si>
  <si>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</si>
  <si>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</si>
  <si>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</si>
  <si>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</si>
  <si>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</si>
  <si>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</si>
  <si>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</si>
  <si>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</si>
  <si>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</si>
  <si>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</si>
  <si>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</si>
  <si>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</si>
  <si>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</si>
  <si>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</si>
  <si>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</si>
  <si>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</si>
  <si>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</si>
  <si>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</si>
  <si>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</si>
  <si>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</si>
  <si>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</si>
  <si>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</si>
  <si>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</si>
  <si>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</si>
  <si>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</si>
  <si>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</si>
  <si>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</si>
  <si>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</si>
  <si>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</si>
  <si>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</si>
  <si>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</si>
  <si>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</si>
  <si>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</si>
  <si>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</si>
  <si>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</si>
  <si>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</si>
  <si>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</si>
  <si>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</si>
  <si>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</si>
  <si>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</si>
  <si>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</si>
  <si>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</si>
  <si>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</si>
  <si>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</si>
  <si>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</si>
  <si>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</si>
  <si>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</si>
  <si>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</si>
  <si>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</si>
  <si>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</si>
  <si>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</si>
  <si>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</si>
  <si>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</si>
  <si>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</si>
  <si>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</si>
  <si>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</si>
  <si>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</si>
  <si>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</si>
  <si>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</si>
  <si>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</si>
  <si>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</si>
  <si>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</si>
  <si>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</si>
  <si>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</si>
  <si>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</si>
  <si>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</si>
  <si>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</si>
  <si>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</si>
  <si>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</si>
  <si>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</si>
  <si>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</si>
  <si>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</si>
  <si>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</si>
  <si>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</si>
  <si>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</si>
  <si>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</si>
  <si>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</si>
  <si>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</si>
  <si>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</si>
  <si>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</si>
  <si>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</si>
  <si>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</si>
  <si>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</si>
  <si>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</si>
  <si>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</si>
  <si>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</si>
  <si>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</si>
  <si>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</si>
  <si>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</si>
  <si>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</si>
  <si>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</si>
  <si>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</si>
  <si>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</si>
  <si>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</si>
  <si>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</si>
  <si>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</si>
  <si>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</si>
  <si>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</si>
  <si>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</si>
  <si>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</si>
  <si>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</si>
  <si>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</si>
  <si>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</si>
  <si>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</si>
  <si>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</si>
  <si>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</si>
  <si>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</si>
  <si>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</si>
  <si>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</si>
  <si>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</si>
  <si>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</si>
  <si>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</si>
  <si>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</si>
  <si>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</si>
  <si>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</si>
  <si>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</si>
  <si>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</si>
  <si>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</si>
  <si>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</si>
  <si>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</si>
  <si>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</si>
  <si>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</si>
  <si>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</si>
  <si>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</si>
  <si>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</si>
  <si>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</si>
  <si>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</si>
  <si>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</si>
  <si>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</si>
  <si>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</si>
  <si>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</si>
  <si>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</si>
  <si>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</si>
  <si>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</si>
  <si>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</si>
  <si>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</si>
  <si>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</si>
  <si>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</si>
  <si>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</si>
  <si>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</si>
  <si>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</si>
  <si>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</si>
  <si>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</si>
  <si>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</si>
  <si>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</si>
  <si>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</si>
  <si>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</si>
  <si>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</si>
  <si>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</si>
  <si>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</si>
  <si>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</si>
  <si>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</si>
  <si>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</si>
  <si>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</si>
  <si>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</si>
  <si>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</si>
  <si>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</si>
  <si>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</si>
  <si>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</si>
  <si>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</si>
  <si>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</si>
  <si>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</si>
  <si>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</si>
  <si>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</si>
  <si>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</si>
  <si>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</si>
  <si>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</si>
  <si>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</si>
  <si>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</si>
  <si>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</si>
  <si>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</si>
  <si>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</si>
  <si>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</si>
  <si>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</si>
  <si>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</si>
  <si>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</si>
  <si>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</si>
  <si>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</si>
  <si>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</si>
  <si>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</si>
  <si>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</si>
  <si>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</si>
  <si>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</si>
  <si>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</si>
  <si>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</si>
  <si>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</si>
  <si>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</si>
  <si>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</si>
  <si>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</si>
  <si>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</si>
  <si>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</si>
  <si>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</si>
  <si>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</si>
  <si>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</si>
  <si>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</si>
  <si>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</si>
  <si>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</si>
  <si>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</si>
  <si>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</si>
  <si>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</si>
  <si>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</si>
  <si>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</si>
  <si>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</si>
  <si>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</si>
  <si>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</si>
  <si>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</si>
  <si>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</si>
  <si>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</si>
  <si>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</si>
  <si>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</si>
  <si>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</si>
  <si>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</si>
  <si>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</si>
  <si>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</si>
  <si>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</si>
  <si>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</si>
  <si>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</si>
  <si>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</si>
  <si>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</si>
  <si>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</si>
  <si>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</si>
  <si>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</si>
  <si>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</si>
  <si>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</si>
  <si>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</si>
  <si>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</si>
  <si>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</si>
  <si>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</si>
  <si>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</si>
  <si>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</si>
  <si>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</si>
  <si>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</si>
  <si>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</si>
  <si>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</si>
  <si>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</si>
  <si>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</si>
  <si>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</si>
  <si>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</si>
  <si>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</si>
  <si>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</si>
  <si>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</si>
  <si>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</si>
  <si>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</si>
  <si>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</si>
  <si>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</si>
  <si>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</si>
  <si>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</si>
  <si>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</si>
  <si>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</si>
  <si>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</si>
  <si>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</si>
  <si>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</si>
  <si>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</si>
  <si>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</si>
  <si>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</si>
  <si>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</si>
  <si>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</si>
  <si>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</si>
  <si>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</si>
  <si>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</si>
  <si>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</si>
  <si>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</si>
  <si>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</si>
  <si>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</si>
  <si>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</si>
  <si>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</si>
  <si>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</si>
  <si>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</si>
  <si>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</si>
  <si>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</si>
  <si>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</si>
  <si>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</si>
  <si>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</si>
  <si>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</si>
  <si>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</si>
  <si>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</si>
  <si>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</si>
  <si>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</si>
  <si>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</si>
  <si>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</si>
  <si>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</si>
  <si>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</si>
  <si>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</si>
  <si>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</si>
  <si>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</si>
  <si>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</si>
  <si>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</si>
  <si>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</si>
  <si>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</si>
  <si>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</si>
  <si>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</si>
  <si>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</si>
  <si>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</si>
  <si>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</si>
  <si>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</si>
  <si>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</si>
  <si>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</si>
  <si>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</si>
  <si>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</si>
  <si>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</si>
  <si>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</si>
  <si>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</si>
  <si>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</si>
  <si>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</si>
  <si>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</si>
  <si>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</si>
  <si>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</si>
  <si>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</si>
  <si>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</si>
  <si>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</si>
  <si>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</si>
  <si>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</si>
  <si>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</si>
  <si>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</si>
  <si>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</si>
  <si>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</si>
  <si>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</si>
  <si>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</si>
  <si>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</si>
  <si>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</si>
  <si>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</si>
  <si>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</si>
  <si>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</si>
  <si>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</si>
  <si>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</si>
  <si>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</si>
  <si>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</si>
  <si>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</si>
  <si>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</si>
  <si>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</si>
  <si>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</si>
  <si>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</si>
  <si>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</si>
  <si>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</si>
  <si>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</si>
  <si>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</si>
  <si>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</si>
  <si>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</si>
  <si>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</si>
  <si>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</si>
  <si>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</si>
  <si>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</si>
  <si>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</si>
  <si>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</si>
  <si>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</si>
  <si>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</si>
  <si>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</si>
  <si>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</si>
  <si>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</si>
  <si>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</si>
  <si>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</si>
  <si>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</si>
  <si>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</si>
  <si>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</si>
  <si>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</si>
  <si>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</si>
  <si>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</si>
  <si>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</si>
  <si>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</si>
  <si>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</si>
  <si>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</si>
  <si>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</si>
  <si>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</si>
  <si>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</si>
  <si>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</si>
  <si>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</si>
  <si>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</si>
  <si>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</si>
  <si>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</si>
  <si>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</si>
  <si>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</si>
  <si>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</si>
  <si>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</si>
  <si>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</si>
  <si>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</si>
  <si>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</si>
  <si>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</si>
  <si>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</si>
  <si>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</si>
  <si>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</si>
  <si>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</si>
  <si>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</si>
  <si>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</si>
  <si>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</si>
  <si>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</si>
  <si>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</si>
  <si>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</si>
  <si>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</si>
  <si>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</si>
  <si>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</si>
  <si>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</si>
  <si>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</si>
  <si>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</si>
  <si>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</si>
  <si>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</si>
  <si>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</si>
  <si>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</si>
  <si>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</si>
  <si>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</si>
  <si>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</si>
  <si>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</si>
  <si>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</si>
  <si>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</si>
  <si>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</si>
  <si>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</si>
  <si>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</si>
  <si>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</si>
  <si>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</si>
  <si>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</si>
  <si>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</si>
  <si>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</si>
  <si>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</si>
  <si>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</si>
  <si>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</si>
  <si>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</si>
  <si>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</si>
  <si>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</si>
  <si>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</si>
  <si>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</si>
  <si>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</si>
  <si>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</si>
  <si>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</si>
  <si>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</si>
  <si>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</si>
  <si>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</si>
  <si>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</si>
  <si>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</si>
  <si>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</si>
  <si>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</si>
  <si>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</si>
  <si>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</si>
  <si>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</si>
  <si>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</si>
  <si>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</si>
  <si>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</si>
  <si>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</si>
  <si>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</si>
  <si>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</si>
  <si>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</si>
  <si>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</si>
  <si>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</si>
  <si>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</si>
  <si>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</si>
  <si>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</si>
  <si>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</si>
  <si>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</si>
  <si>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</si>
  <si>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</si>
  <si>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</si>
  <si>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</si>
  <si>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</si>
  <si>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</si>
  <si>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</si>
  <si>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</si>
  <si>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</si>
  <si>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</si>
  <si>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</si>
  <si>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</si>
  <si>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</si>
  <si>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</si>
  <si>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</si>
  <si>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</si>
  <si>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</si>
  <si>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</si>
  <si>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</si>
  <si>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</si>
  <si>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</si>
  <si>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</si>
  <si>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</si>
  <si>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</si>
  <si>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</si>
  <si>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</si>
  <si>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</si>
  <si>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</si>
  <si>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</si>
  <si>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</si>
  <si>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</si>
  <si>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</si>
  <si>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</si>
  <si>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</si>
  <si>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</si>
  <si>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</si>
  <si>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</si>
  <si>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</si>
  <si>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</si>
  <si>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</si>
  <si>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</si>
  <si>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</si>
  <si>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</si>
  <si>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</si>
  <si>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</si>
  <si>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</si>
  <si>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</si>
  <si>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</si>
  <si>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</si>
  <si>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</si>
  <si>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</si>
  <si>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</si>
  <si>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</si>
  <si>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</si>
  <si>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</si>
  <si>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</si>
  <si>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</si>
  <si>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</si>
  <si>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</si>
  <si>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</si>
  <si>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</si>
  <si>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</si>
  <si>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</si>
  <si>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</si>
  <si>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</si>
  <si>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</si>
  <si>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</si>
  <si>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</si>
  <si>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</si>
  <si>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</si>
  <si>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</si>
  <si>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</si>
  <si>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</si>
  <si>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</si>
  <si>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</si>
  <si>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</si>
  <si>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</si>
  <si>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</si>
  <si>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</si>
  <si>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</si>
  <si>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</si>
  <si>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</si>
  <si>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</si>
  <si>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</si>
  <si>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</si>
  <si>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</si>
  <si>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</si>
  <si>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</si>
  <si>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</si>
  <si>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</si>
  <si>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</si>
  <si>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</si>
  <si>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</si>
  <si>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</si>
  <si>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</si>
  <si>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</si>
  <si>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</si>
  <si>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</si>
  <si>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</si>
  <si>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</si>
  <si>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</si>
  <si>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</si>
  <si>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</si>
  <si>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</si>
  <si>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</si>
  <si>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</si>
  <si>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</si>
  <si>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</si>
  <si>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</si>
  <si>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</si>
  <si>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</si>
  <si>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</si>
  <si>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</si>
  <si>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</si>
  <si>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</si>
  <si>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</si>
  <si>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</si>
  <si>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</si>
  <si>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</si>
  <si>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</si>
  <si>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</si>
  <si>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</si>
  <si>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</si>
  <si>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</si>
  <si>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</si>
  <si>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</si>
  <si>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</si>
  <si>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</si>
  <si>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</si>
  <si>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</si>
  <si>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</si>
  <si>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</si>
  <si>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</si>
  <si>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</si>
  <si>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</si>
  <si>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</si>
  <si>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</si>
  <si>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</si>
  <si>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</si>
  <si>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</si>
  <si>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</si>
  <si>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</si>
  <si>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</si>
  <si>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</si>
  <si>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</si>
  <si>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</si>
  <si>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</si>
  <si>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</si>
  <si>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</si>
  <si>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</si>
  <si>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</si>
  <si>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</si>
  <si>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</si>
  <si>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</si>
  <si>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</si>
  <si>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</si>
  <si>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</si>
  <si>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</si>
  <si>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</si>
  <si>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</si>
  <si>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</si>
  <si>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</si>
  <si>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</si>
  <si>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</si>
  <si>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</si>
  <si>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</si>
  <si>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</si>
  <si>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</si>
  <si>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</si>
  <si>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</si>
  <si>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</si>
  <si>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</si>
  <si>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</si>
  <si>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</si>
  <si>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</si>
  <si>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</si>
  <si>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</si>
  <si>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</si>
  <si>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</si>
  <si>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</si>
  <si>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</si>
  <si>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</si>
  <si>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</si>
  <si>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</si>
  <si>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</si>
  <si>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</si>
  <si>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</si>
  <si>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</si>
  <si>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</si>
  <si>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</si>
  <si>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</si>
  <si>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</si>
  <si>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</si>
  <si>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</si>
  <si>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</si>
  <si>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</si>
  <si>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</si>
  <si>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</si>
  <si>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</si>
  <si>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</si>
  <si>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</si>
  <si>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</si>
  <si>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</si>
  <si>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</si>
  <si>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</si>
  <si>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</si>
  <si>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</si>
  <si>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</si>
  <si>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</si>
  <si>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</si>
  <si>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</si>
  <si>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</si>
  <si>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</si>
  <si>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</si>
  <si>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</si>
  <si>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</si>
  <si>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</si>
  <si>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</si>
  <si>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</si>
  <si>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</si>
  <si>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</si>
  <si>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</si>
  <si>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</si>
  <si>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</si>
  <si>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</si>
  <si>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</si>
  <si>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</si>
  <si>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</si>
  <si>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</si>
  <si>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</si>
  <si>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</si>
  <si>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</si>
  <si>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</si>
  <si>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</si>
  <si>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</si>
  <si>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</si>
  <si>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</si>
  <si>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</si>
  <si>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</si>
  <si>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</si>
  <si>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</si>
  <si>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</si>
  <si>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</si>
  <si>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</si>
  <si>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</si>
  <si>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</si>
  <si>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</si>
  <si>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</si>
  <si>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</si>
  <si>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</si>
  <si>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</si>
  <si>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</si>
  <si>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</si>
  <si>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</si>
  <si>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</si>
  <si>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</si>
  <si>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</si>
  <si>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</si>
  <si>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</si>
  <si>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</si>
  <si>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</si>
  <si>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</si>
  <si>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</si>
  <si>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</si>
  <si>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</si>
  <si>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</si>
  <si>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</si>
  <si>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</si>
  <si>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</si>
  <si>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</si>
  <si>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</si>
  <si>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</si>
  <si>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</si>
  <si>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</si>
  <si>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</si>
  <si>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</si>
  <si>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</si>
  <si>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</si>
  <si>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</si>
  <si>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</si>
  <si>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</si>
  <si>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</si>
  <si>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</si>
  <si>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</si>
  <si>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</si>
  <si>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</si>
  <si>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</si>
  <si>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</si>
  <si>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</si>
  <si>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</si>
  <si>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</si>
  <si>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</si>
  <si>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</si>
  <si>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</si>
  <si>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</si>
  <si>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</si>
  <si>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</si>
  <si>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</si>
  <si>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</si>
  <si>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</si>
  <si>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</si>
  <si>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</si>
  <si>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</si>
  <si>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</si>
  <si>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</si>
  <si>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</si>
  <si>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</si>
  <si>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</si>
  <si>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</si>
  <si>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</si>
  <si>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</si>
  <si>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</si>
  <si>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</si>
  <si>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</si>
  <si>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</si>
  <si>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</si>
  <si>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</si>
  <si>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</si>
  <si>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</si>
  <si>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</si>
  <si>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</si>
  <si>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</si>
  <si>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</si>
  <si>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</si>
  <si>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</si>
  <si>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</si>
  <si>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</si>
  <si>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</si>
  <si>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</si>
  <si>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</si>
  <si>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</si>
  <si>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</si>
  <si>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</si>
  <si>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</si>
  <si>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</si>
  <si>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</si>
  <si>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</si>
  <si>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</si>
  <si>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</si>
  <si>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</si>
  <si>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</si>
  <si>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</si>
  <si>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</si>
  <si>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</si>
  <si>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</si>
  <si>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</si>
  <si>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</si>
  <si>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</si>
  <si>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</si>
  <si>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</si>
  <si>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</si>
  <si>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</si>
  <si>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</si>
  <si>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</si>
  <si>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</si>
  <si>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</si>
  <si>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</si>
  <si>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</si>
  <si>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</si>
  <si>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</si>
  <si>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</si>
  <si>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</si>
  <si>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</si>
  <si>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</si>
  <si>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</si>
  <si>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</si>
  <si>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</si>
  <si>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</si>
  <si>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</si>
  <si>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</si>
  <si>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</si>
  <si>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</si>
  <si>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</si>
  <si>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</si>
  <si>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</si>
  <si>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</si>
  <si>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</si>
  <si>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</si>
  <si>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</si>
  <si>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</si>
  <si>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</si>
  <si>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</si>
  <si>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</si>
  <si>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</si>
  <si>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</si>
  <si>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</si>
  <si>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</si>
  <si>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</si>
  <si>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</si>
  <si>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</si>
  <si>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</si>
  <si>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</si>
  <si>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</si>
  <si>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</si>
  <si>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</si>
  <si>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</si>
  <si>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</si>
  <si>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</si>
  <si>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</si>
  <si>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</si>
  <si>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</si>
  <si>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</si>
  <si>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</si>
  <si>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</si>
  <si>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</si>
  <si>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</si>
  <si>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</si>
  <si>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</si>
  <si>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</si>
  <si>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</si>
  <si>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</si>
  <si>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</si>
  <si>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</si>
  <si>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</si>
  <si>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</si>
  <si>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</si>
  <si>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</si>
  <si>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</si>
  <si>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</si>
  <si>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</si>
  <si>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</si>
  <si>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</si>
  <si>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</si>
  <si>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</si>
  <si>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</si>
  <si>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</si>
  <si>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</si>
  <si>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</si>
  <si>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</si>
  <si>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</si>
  <si>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</si>
  <si>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</si>
  <si>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</si>
  <si>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</si>
  <si>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</si>
  <si>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</si>
  <si>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</si>
  <si>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</si>
  <si>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</si>
  <si>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</si>
  <si>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</si>
  <si>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</si>
  <si>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</si>
  <si>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</si>
  <si>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</si>
  <si>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</si>
  <si>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</si>
  <si>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</si>
  <si>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</si>
  <si>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</si>
  <si>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</si>
  <si>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</si>
  <si>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</si>
  <si>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</si>
  <si>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</si>
  <si>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</si>
  <si>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</si>
  <si>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</si>
  <si>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</si>
  <si>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</si>
  <si>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</si>
  <si>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</si>
  <si>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</si>
  <si>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</si>
  <si>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</si>
  <si>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</si>
  <si>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</si>
  <si>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</si>
  <si>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</si>
  <si>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</si>
  <si>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</si>
  <si>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</si>
  <si>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</si>
  <si>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</si>
  <si>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</si>
  <si>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</si>
  <si>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</si>
  <si>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</si>
  <si>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</si>
  <si>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</si>
  <si>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</si>
  <si>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</si>
  <si>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</si>
  <si>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</si>
  <si>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</si>
  <si>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</si>
  <si>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</si>
  <si>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</si>
  <si>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</si>
  <si>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</si>
  <si>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</si>
  <si>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</si>
  <si>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</si>
  <si>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</si>
  <si>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</si>
  <si>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</si>
  <si>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</si>
  <si>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</si>
  <si>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</si>
  <si>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</si>
  <si>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</si>
  <si>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</si>
  <si>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</si>
  <si>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</si>
  <si>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</si>
  <si>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</si>
  <si>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</si>
  <si>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</si>
  <si>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</si>
  <si>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</si>
  <si>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</si>
  <si>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</si>
  <si>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</si>
  <si>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</si>
  <si>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</si>
  <si>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</si>
  <si>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</si>
  <si>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</si>
  <si>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</si>
  <si>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</si>
  <si>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</si>
  <si>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</si>
  <si>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</si>
  <si>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</si>
  <si>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</si>
  <si>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</si>
  <si>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</si>
  <si>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</si>
  <si>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</si>
  <si>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</si>
  <si>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</si>
  <si>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</si>
  <si>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</si>
  <si>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</si>
  <si>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</si>
  <si>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</si>
  <si>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</si>
  <si>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</si>
  <si>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</si>
  <si>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</si>
  <si>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</si>
  <si>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</si>
  <si>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</si>
  <si>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</si>
  <si>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</si>
  <si>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</si>
  <si>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</si>
  <si>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</si>
  <si>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</si>
  <si>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</si>
  <si>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</si>
  <si>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</si>
  <si>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</si>
  <si>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</si>
  <si>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</si>
  <si>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</si>
  <si>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</si>
  <si>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</si>
  <si>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</si>
  <si>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</si>
  <si>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</si>
  <si>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</si>
  <si>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</si>
  <si>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</si>
  <si>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</si>
  <si>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</si>
  <si>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</si>
  <si>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</si>
  <si>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</si>
  <si>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</si>
  <si>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</si>
  <si>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</si>
  <si>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</si>
  <si>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</si>
  <si>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</si>
  <si>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</si>
  <si>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</si>
  <si>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</si>
  <si>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</si>
  <si>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</si>
  <si>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</si>
  <si>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</si>
  <si>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</si>
  <si>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</si>
  <si>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</si>
  <si>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</si>
  <si>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</si>
  <si>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</si>
  <si>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</si>
  <si>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</si>
  <si>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</si>
  <si>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</si>
  <si>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</si>
  <si>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</si>
  <si>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</si>
  <si>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</si>
  <si>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</si>
  <si>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</si>
  <si>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</si>
  <si>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</si>
  <si>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</si>
  <si>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</si>
  <si>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</si>
  <si>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</si>
  <si>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</si>
  <si>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</si>
  <si>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</si>
  <si>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</si>
  <si>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</si>
  <si>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</si>
  <si>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</si>
  <si>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</si>
  <si>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</si>
  <si>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</si>
  <si>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</si>
  <si>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</si>
  <si>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</si>
  <si>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</si>
  <si>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</si>
  <si>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</si>
  <si>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</si>
  <si>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</si>
  <si>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</si>
  <si>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</si>
  <si>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</si>
  <si>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</si>
  <si>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</si>
  <si>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</si>
  <si>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</si>
  <si>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</si>
  <si>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</si>
  <si>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</si>
  <si>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</si>
  <si>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</si>
  <si>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</si>
  <si>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</si>
  <si>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</si>
  <si>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</si>
  <si>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</si>
  <si>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</si>
  <si>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</si>
  <si>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</si>
  <si>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</si>
  <si>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</si>
  <si>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</si>
  <si>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</si>
  <si>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</si>
  <si>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</si>
  <si>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</si>
  <si>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</si>
  <si>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</si>
  <si>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</si>
  <si>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</si>
  <si>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</si>
  <si>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</si>
  <si>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</si>
  <si>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</si>
  <si>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</si>
  <si>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</si>
  <si>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</si>
  <si>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</si>
  <si>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</si>
  <si>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</si>
  <si>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</si>
  <si>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</si>
  <si>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</si>
  <si>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</si>
  <si>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</si>
  <si>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</si>
  <si>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</si>
  <si>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</si>
  <si>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</si>
  <si>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</si>
  <si>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</si>
  <si>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</si>
  <si>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</si>
  <si>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</si>
  <si>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</si>
  <si>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</si>
  <si>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</si>
  <si>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</si>
  <si>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</si>
  <si>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</si>
  <si>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</si>
  <si>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</si>
  <si>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</si>
  <si>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</si>
  <si>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</si>
  <si>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</si>
  <si>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</si>
  <si>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</si>
  <si>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</si>
  <si>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</si>
  <si>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</si>
  <si>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</si>
  <si>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</si>
  <si>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</si>
  <si>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</si>
  <si>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</si>
  <si>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</si>
  <si>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</si>
  <si>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</si>
  <si>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</si>
  <si>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</si>
  <si>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</si>
  <si>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</si>
  <si>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</si>
  <si>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</si>
  <si>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</si>
  <si>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</si>
  <si>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</si>
  <si>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</si>
  <si>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</si>
  <si>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</si>
  <si>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</si>
  <si>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</si>
  <si>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</si>
  <si>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</si>
  <si>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</si>
  <si>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</si>
  <si>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</si>
  <si>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</si>
  <si>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</si>
  <si>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</si>
  <si>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</si>
  <si>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</si>
  <si>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</si>
  <si>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</si>
  <si>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</si>
  <si>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</si>
  <si>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</si>
  <si>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</si>
  <si>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</si>
  <si>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</si>
  <si>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</si>
  <si>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</si>
  <si>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</si>
  <si>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</si>
  <si>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</si>
  <si>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</si>
  <si>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</si>
  <si>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</si>
  <si>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</si>
  <si>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</si>
  <si>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</si>
  <si>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</si>
  <si>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</si>
  <si>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</si>
  <si>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</si>
  <si>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</si>
  <si>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</si>
  <si>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</si>
  <si>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</si>
  <si>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</si>
  <si>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</si>
  <si>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</si>
  <si>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</si>
  <si>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</si>
  <si>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</si>
  <si>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</si>
  <si>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</si>
  <si>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</si>
  <si>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</si>
  <si>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</si>
  <si>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</si>
  <si>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</si>
  <si>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</si>
  <si>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</si>
  <si>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</si>
  <si>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</si>
  <si>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</si>
  <si>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</si>
  <si>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</si>
  <si>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</si>
  <si>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</si>
  <si>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</si>
  <si>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</si>
  <si>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</si>
  <si>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</si>
  <si>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</si>
  <si>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</si>
  <si>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</si>
  <si>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</si>
  <si>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</si>
  <si>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</si>
  <si>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</si>
  <si>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</si>
  <si>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</si>
  <si>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</si>
  <si>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</si>
  <si>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</si>
  <si>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</si>
  <si>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</si>
  <si>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</si>
  <si>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</si>
  <si>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</si>
  <si>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</si>
  <si>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</si>
  <si>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</si>
  <si>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</si>
  <si>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</si>
  <si>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</si>
  <si>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</si>
  <si>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</si>
  <si>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</si>
  <si>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</si>
  <si>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</si>
  <si>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</si>
  <si>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</si>
  <si>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</si>
  <si>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</si>
  <si>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</si>
  <si>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</si>
  <si>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</si>
  <si>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</si>
  <si>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</si>
  <si>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</si>
  <si>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</si>
  <si>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</si>
  <si>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</si>
  <si>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</si>
  <si>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</si>
  <si>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</si>
  <si>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</si>
  <si>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</si>
  <si>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</si>
  <si>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</si>
  <si>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</si>
  <si>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</si>
  <si>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</si>
  <si>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</si>
  <si>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</si>
  <si>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</si>
  <si>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</si>
  <si>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</si>
  <si>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</si>
  <si>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</si>
  <si>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</si>
  <si>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</si>
  <si>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</si>
  <si>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</si>
  <si>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</si>
  <si>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</si>
  <si>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</si>
  <si>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</si>
  <si>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</si>
  <si>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</si>
  <si>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</si>
  <si>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</si>
  <si>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</si>
  <si>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</si>
  <si>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</si>
  <si>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</si>
  <si>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</si>
  <si>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</si>
  <si>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</si>
  <si>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</si>
  <si>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</si>
  <si>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</si>
  <si>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</si>
  <si>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</si>
  <si>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</si>
  <si>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</si>
  <si>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</si>
  <si>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</si>
  <si>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</si>
  <si>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</si>
  <si>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</si>
  <si>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</si>
  <si>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</si>
  <si>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</si>
  <si>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</si>
  <si>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</si>
  <si>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</si>
  <si>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</si>
  <si>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</si>
  <si>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</si>
  <si>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</si>
  <si>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</si>
  <si>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</si>
  <si>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</si>
  <si>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</si>
  <si>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</si>
  <si>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</si>
  <si>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</si>
  <si>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</si>
  <si>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</si>
  <si>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</si>
  <si>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</si>
  <si>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</si>
  <si>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</si>
  <si>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</si>
  <si>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</si>
  <si>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</si>
  <si>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</si>
  <si>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</si>
  <si>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</si>
  <si>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</si>
  <si>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</si>
  <si>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</si>
  <si>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</si>
  <si>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</si>
  <si>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</si>
  <si>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</si>
  <si>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</si>
  <si>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</si>
  <si>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</si>
  <si>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</si>
  <si>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</si>
  <si>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</si>
  <si>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</si>
  <si>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</si>
  <si>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</si>
  <si>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</si>
  <si>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</si>
  <si>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</si>
  <si>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</si>
  <si>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</si>
  <si>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</si>
  <si>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</si>
  <si>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</si>
  <si>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</si>
  <si>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</si>
  <si>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</si>
  <si>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</si>
  <si>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</si>
  <si>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</si>
  <si>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</si>
  <si>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</si>
  <si>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</si>
  <si>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</si>
  <si>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</si>
  <si>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</si>
  <si>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</si>
  <si>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</si>
  <si>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</si>
  <si>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</si>
  <si>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</si>
  <si>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</si>
  <si>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</si>
  <si>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</si>
  <si>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</si>
  <si>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</si>
  <si>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</si>
  <si>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</si>
  <si>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</si>
  <si>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</si>
  <si>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</si>
  <si>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</si>
  <si>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</si>
  <si>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</si>
  <si>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</si>
  <si>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</si>
  <si>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</si>
  <si>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</si>
  <si>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</si>
  <si>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</si>
  <si>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</si>
  <si>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</si>
  <si>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</si>
  <si>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</si>
  <si>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</si>
  <si>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</si>
  <si>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</si>
  <si>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</si>
  <si>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</si>
  <si>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</si>
  <si>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</si>
  <si>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</si>
  <si>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</si>
  <si>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</si>
  <si>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</si>
  <si>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</si>
  <si>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</si>
  <si>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</si>
  <si>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</si>
  <si>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</si>
  <si>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</si>
  <si>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</si>
  <si>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</si>
  <si>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</si>
  <si>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</si>
  <si>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</si>
  <si>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</si>
  <si>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</si>
  <si>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</si>
  <si>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</si>
  <si>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</si>
  <si>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</si>
  <si>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</si>
  <si>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</si>
  <si>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</si>
  <si>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</si>
  <si>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</si>
  <si>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</si>
  <si>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</si>
  <si>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</si>
  <si>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</si>
  <si>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</si>
  <si>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</si>
  <si>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</si>
  <si>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</si>
  <si>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</si>
  <si>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</si>
  <si>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</si>
  <si>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</si>
  <si>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</si>
  <si>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</si>
  <si>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</si>
  <si>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</si>
  <si>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</si>
  <si>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</si>
  <si>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</si>
  <si>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</si>
  <si>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</si>
  <si>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</si>
  <si>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</si>
  <si>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</si>
  <si>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</si>
  <si>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</si>
  <si>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</si>
  <si>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</si>
  <si>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</si>
  <si>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</si>
  <si>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</si>
  <si>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</si>
  <si>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</si>
  <si>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</si>
  <si>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</si>
  <si>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</si>
  <si>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</si>
  <si>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</si>
  <si>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</si>
  <si>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</si>
  <si>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</si>
  <si>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</si>
  <si>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</si>
  <si>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</si>
  <si>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</si>
  <si>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</si>
  <si>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</si>
  <si>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</si>
  <si>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</si>
  <si>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</si>
  <si>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</si>
  <si>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</si>
  <si>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</si>
  <si>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</si>
  <si>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</si>
  <si>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</si>
  <si>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</si>
  <si>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</si>
  <si>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</si>
  <si>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</si>
  <si>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</si>
  <si>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</si>
  <si>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</si>
  <si>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</si>
  <si>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</si>
  <si>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</si>
  <si>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</si>
  <si>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</si>
  <si>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</si>
  <si>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</si>
  <si>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</si>
  <si>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</si>
  <si>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</si>
  <si>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</si>
  <si>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</si>
  <si>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</si>
  <si>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</si>
  <si>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</si>
  <si>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</si>
  <si>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</si>
  <si>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</si>
  <si>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</si>
  <si>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</si>
  <si>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</si>
  <si>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</si>
  <si>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</si>
  <si>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</si>
  <si>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</si>
  <si>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</si>
  <si>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</si>
  <si>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</si>
  <si>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</si>
  <si>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</si>
  <si>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</si>
  <si>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</si>
  <si>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</si>
  <si>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</si>
  <si>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</si>
  <si>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</si>
  <si>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</si>
  <si>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</si>
  <si>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</si>
  <si>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</si>
  <si>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</si>
  <si>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</si>
  <si>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</si>
  <si>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</si>
  <si>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</si>
  <si>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</si>
  <si>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</si>
  <si>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</si>
  <si>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</si>
  <si>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</si>
  <si>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</si>
  <si>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</si>
  <si>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</si>
  <si>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</si>
  <si>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</si>
  <si>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</si>
  <si>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</si>
  <si>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</si>
  <si>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</si>
  <si>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</si>
  <si>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</si>
  <si>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</si>
  <si>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</si>
  <si>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</si>
  <si>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</si>
  <si>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</si>
  <si>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</si>
  <si>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</si>
  <si>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</si>
  <si>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</si>
  <si>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</si>
  <si>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</si>
  <si>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</si>
  <si>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</si>
  <si>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</si>
  <si>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</si>
  <si>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</si>
  <si>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</si>
  <si>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</si>
  <si>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</si>
  <si>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</si>
  <si>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</si>
  <si>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</si>
  <si>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</si>
  <si>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</si>
  <si>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</si>
  <si>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</si>
  <si>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</si>
  <si>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</si>
  <si>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</si>
  <si>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</si>
  <si>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</si>
  <si>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</si>
  <si>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</si>
  <si>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</si>
  <si>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</si>
  <si>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</si>
  <si>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</si>
  <si>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</si>
  <si>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</si>
  <si>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</si>
  <si>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</si>
  <si>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</si>
  <si>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</si>
  <si>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</si>
  <si>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</si>
  <si>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</si>
  <si>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</si>
  <si>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</si>
  <si>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</si>
  <si>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</si>
  <si>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</si>
  <si>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</si>
  <si>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</si>
  <si>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</si>
  <si>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</si>
  <si>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</si>
  <si>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</si>
  <si>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</si>
  <si>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</si>
  <si>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</si>
  <si>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</si>
  <si>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</si>
  <si>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</si>
  <si>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</si>
  <si>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</si>
  <si>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</si>
  <si>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</si>
  <si>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</si>
  <si>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</si>
  <si>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</si>
  <si>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</si>
  <si>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</si>
  <si>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</si>
  <si>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</si>
  <si>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</si>
  <si>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</si>
  <si>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</si>
  <si>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</si>
  <si>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</si>
  <si>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</si>
  <si>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</si>
  <si>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</si>
  <si>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</si>
  <si>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</si>
  <si>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</si>
  <si>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</si>
  <si>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</si>
  <si>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</si>
  <si>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</si>
  <si>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</si>
  <si>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</si>
  <si>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</si>
  <si>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</si>
  <si>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</si>
  <si>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</si>
  <si>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</si>
  <si>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</si>
  <si>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</si>
  <si>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</si>
  <si>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</si>
  <si>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</si>
  <si>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</si>
  <si>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</si>
  <si>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</si>
  <si>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</si>
  <si>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</si>
  <si>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</si>
  <si>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</si>
  <si>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</si>
  <si>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</si>
  <si>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</si>
  <si>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</si>
  <si>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</si>
  <si>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</si>
  <si>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</si>
  <si>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</si>
  <si>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</si>
  <si>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</si>
  <si>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</si>
  <si>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</si>
  <si>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</si>
  <si>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</si>
  <si>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</si>
  <si>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</si>
  <si>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</si>
  <si>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</si>
  <si>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</si>
  <si>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</si>
  <si>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</si>
  <si>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</si>
  <si>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</si>
  <si>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</si>
  <si>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</si>
  <si>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</si>
  <si>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</si>
  <si>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</si>
  <si>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</si>
  <si>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</si>
  <si>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</si>
  <si>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</si>
  <si>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</si>
  <si>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</si>
  <si>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</si>
  <si>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</si>
  <si>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</si>
  <si>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</si>
  <si>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</si>
  <si>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</si>
  <si>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</si>
  <si>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</si>
  <si>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</si>
  <si>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</si>
  <si>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</si>
  <si>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</si>
  <si>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</si>
  <si>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</si>
  <si>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</si>
  <si>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</si>
  <si>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</si>
  <si>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</si>
  <si>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</si>
  <si>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</si>
  <si>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</si>
  <si>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</si>
  <si>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</si>
  <si>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</si>
  <si>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</si>
  <si>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</si>
  <si>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</si>
  <si>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</si>
  <si>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</si>
  <si>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</si>
  <si>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</si>
  <si>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</si>
  <si>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</si>
  <si>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</si>
  <si>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</si>
  <si>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</si>
  <si>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</si>
  <si>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</si>
  <si>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</si>
  <si>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</si>
  <si>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</si>
  <si>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</si>
  <si>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</si>
  <si>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</si>
  <si>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</si>
  <si>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</si>
  <si>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</si>
  <si>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</si>
  <si>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</si>
  <si>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</si>
  <si>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</si>
  <si>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</si>
  <si>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</si>
  <si>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</si>
  <si>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</si>
  <si>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</si>
  <si>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</si>
  <si>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</si>
  <si>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</si>
  <si>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</si>
  <si>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</si>
  <si>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</si>
  <si>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</si>
  <si>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</si>
  <si>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</si>
  <si>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</si>
  <si>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</si>
  <si>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</si>
  <si>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</si>
  <si>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</si>
  <si>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</si>
  <si>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</si>
  <si>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</si>
  <si>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</si>
  <si>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</si>
  <si>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</si>
  <si>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</si>
  <si>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</si>
  <si>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</si>
  <si>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</si>
  <si>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</si>
  <si>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</si>
  <si>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</si>
  <si>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</si>
  <si>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</si>
  <si>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</si>
  <si>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</si>
  <si>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</si>
  <si>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</si>
  <si>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</si>
  <si>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</si>
  <si>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</si>
  <si>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</si>
  <si>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</si>
  <si>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</si>
  <si>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</si>
  <si>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</si>
  <si>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</si>
  <si>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</si>
  <si>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</si>
  <si>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</si>
  <si>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</si>
  <si>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</si>
  <si>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</si>
  <si>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</si>
  <si>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</si>
  <si>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</si>
  <si>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</si>
  <si>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</si>
  <si>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</si>
  <si>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</si>
  <si>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</si>
  <si>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</si>
  <si>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</si>
  <si>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</si>
  <si>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</si>
  <si>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</si>
  <si>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</si>
  <si>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</si>
  <si>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</si>
  <si>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</si>
  <si>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</si>
  <si>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</si>
  <si>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</si>
  <si>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</si>
  <si>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</si>
  <si>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</si>
  <si>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</si>
  <si>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</si>
  <si>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</si>
  <si>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</si>
  <si>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</si>
  <si>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</si>
  <si>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</si>
  <si>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</si>
  <si>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</si>
  <si>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</si>
  <si>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</si>
  <si>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</si>
  <si>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</si>
  <si>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</si>
  <si>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</si>
  <si>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</si>
  <si>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</si>
  <si>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</si>
  <si>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</si>
  <si>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</si>
  <si>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</si>
  <si>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</si>
  <si>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</si>
  <si>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</si>
  <si>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</si>
  <si>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</si>
  <si>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</si>
  <si>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</si>
  <si>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</si>
  <si>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</si>
  <si>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</si>
  <si>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</si>
  <si>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</si>
  <si>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</si>
  <si>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</si>
  <si>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</si>
  <si>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</si>
  <si>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</si>
  <si>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</si>
  <si>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</si>
  <si>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</si>
  <si>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</si>
  <si>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</si>
  <si>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</si>
  <si>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</si>
  <si>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</si>
  <si>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</si>
  <si>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</si>
  <si>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</si>
  <si>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</si>
  <si>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</si>
  <si>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</si>
  <si>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</si>
  <si>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</si>
  <si>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</si>
  <si>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</si>
  <si>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</si>
  <si>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</si>
  <si>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</si>
  <si>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</si>
  <si>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</si>
  <si>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</si>
  <si>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</si>
  <si>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</si>
  <si>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</si>
  <si>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</si>
  <si>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</si>
  <si>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</si>
  <si>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</si>
  <si>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</si>
  <si>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</si>
  <si>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</si>
  <si>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</si>
  <si>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</si>
  <si>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</si>
  <si>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</si>
  <si>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</si>
  <si>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</si>
  <si>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</si>
  <si>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</si>
  <si>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</si>
  <si>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</si>
  <si>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</si>
  <si>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</si>
  <si>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</si>
  <si>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</si>
  <si>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</si>
  <si>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</si>
  <si>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</si>
  <si>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</si>
  <si>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</si>
  <si>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</si>
  <si>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</si>
  <si>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</si>
  <si>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</si>
  <si>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</si>
  <si>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</si>
  <si>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</si>
  <si>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</si>
  <si>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</si>
  <si>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</si>
  <si>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</si>
  <si>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</si>
  <si>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</si>
  <si>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</si>
  <si>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</si>
  <si>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</si>
  <si>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</si>
  <si>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</si>
  <si>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</si>
  <si>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</si>
  <si>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</si>
  <si>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</si>
  <si>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</si>
  <si>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</si>
  <si>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</si>
  <si>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</si>
  <si>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</si>
  <si>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</si>
  <si>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</si>
  <si>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</si>
  <si>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</si>
  <si>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</si>
  <si>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</si>
  <si>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</si>
  <si>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</si>
  <si>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</si>
  <si>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</si>
  <si>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</si>
  <si>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</si>
  <si>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</si>
  <si>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</si>
  <si>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</si>
  <si>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</si>
  <si>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</si>
  <si>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</si>
  <si>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</si>
  <si>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</si>
  <si>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</si>
  <si>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</si>
  <si>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</si>
  <si>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</si>
  <si>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</si>
  <si>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</si>
  <si>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</si>
  <si>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</si>
  <si>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</si>
  <si>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</si>
  <si>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</si>
  <si>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</si>
  <si>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</si>
  <si>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</si>
  <si>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</si>
  <si>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</si>
  <si>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</si>
  <si>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</si>
  <si>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</si>
  <si>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</si>
  <si>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</si>
  <si>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</si>
  <si>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</si>
  <si>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</si>
  <si>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</si>
  <si>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</si>
  <si>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</si>
  <si>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</si>
  <si>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</si>
  <si>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</si>
  <si>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</si>
  <si>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</si>
  <si>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</si>
  <si>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</si>
  <si>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</si>
  <si>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</si>
  <si>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</si>
  <si>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</si>
  <si>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</si>
  <si>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</si>
  <si>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</si>
  <si>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</si>
  <si>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</si>
  <si>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</si>
  <si>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</si>
  <si>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</si>
  <si>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</si>
  <si>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</si>
  <si>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</si>
  <si>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</si>
  <si>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</si>
  <si>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</si>
  <si>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</si>
  <si>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</si>
  <si>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</si>
  <si>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</si>
  <si>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</si>
  <si>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</si>
  <si>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</si>
  <si>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</si>
  <si>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</si>
  <si>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</si>
  <si>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</si>
  <si>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</si>
  <si>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</si>
  <si>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</si>
  <si>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</si>
  <si>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</si>
  <si>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</si>
  <si>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</si>
  <si>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</si>
  <si>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</si>
  <si>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</si>
  <si>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</si>
  <si>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</si>
  <si>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</si>
  <si>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</si>
  <si>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</si>
  <si>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</si>
  <si>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</si>
  <si>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</si>
  <si>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</si>
  <si>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</si>
  <si>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</si>
  <si>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</si>
  <si>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</si>
  <si>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</si>
  <si>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</si>
  <si>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</si>
  <si>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</si>
  <si>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</si>
  <si>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</si>
  <si>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</si>
  <si>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</si>
  <si>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</si>
  <si>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</si>
  <si>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</si>
  <si>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</si>
  <si>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</si>
  <si>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</si>
  <si>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</si>
  <si>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</si>
  <si>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</si>
  <si>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</si>
  <si>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</si>
  <si>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</si>
  <si>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</si>
  <si>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</si>
  <si>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</si>
  <si>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</si>
  <si>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</si>
  <si>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</si>
  <si>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</si>
  <si>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</si>
  <si>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</si>
  <si>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</si>
  <si>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</si>
  <si>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</si>
  <si>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</si>
  <si>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</si>
  <si>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</si>
  <si>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</si>
  <si>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</si>
  <si>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</si>
  <si>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</si>
  <si>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</si>
  <si>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</si>
  <si>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</si>
  <si>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</si>
  <si>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</si>
  <si>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</si>
  <si>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</si>
  <si>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</si>
  <si>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</si>
  <si>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</si>
  <si>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</si>
  <si>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</si>
  <si>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</si>
  <si>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</si>
  <si>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</si>
  <si>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</si>
  <si>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</si>
  <si>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</si>
  <si>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</si>
  <si>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</si>
  <si>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</si>
  <si>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</si>
  <si>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</si>
  <si>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</si>
  <si>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</si>
  <si>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</si>
  <si>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</si>
  <si>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</si>
  <si>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</si>
  <si>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</si>
  <si>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</si>
  <si>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</si>
  <si>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</si>
  <si>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</si>
  <si>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</si>
  <si>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</si>
  <si>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</si>
  <si>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</si>
  <si>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</si>
  <si>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</si>
  <si>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</si>
  <si>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</si>
  <si>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</si>
  <si>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</si>
  <si>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</si>
  <si>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</si>
  <si>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</si>
  <si>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</si>
  <si>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</si>
  <si>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</si>
  <si>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</si>
  <si>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</si>
  <si>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</si>
  <si>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</si>
  <si>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</si>
  <si>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</si>
  <si>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</si>
  <si>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</si>
  <si>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</si>
  <si>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</si>
  <si>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</si>
  <si>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</si>
  <si>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</si>
  <si>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</si>
  <si>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</si>
  <si>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</si>
  <si>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</si>
  <si>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</si>
  <si>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</si>
  <si>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</si>
  <si>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</si>
  <si>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</si>
  <si>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</si>
  <si>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</si>
  <si>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</si>
  <si>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</si>
  <si>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</si>
  <si>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</si>
  <si>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</si>
  <si>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</si>
  <si>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</si>
  <si>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</si>
  <si>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</si>
  <si>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</si>
  <si>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</si>
  <si>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</si>
  <si>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</si>
  <si>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</si>
  <si>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</si>
  <si>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</si>
  <si>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</si>
  <si>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</si>
  <si>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</si>
  <si>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</si>
  <si>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</si>
  <si>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</si>
  <si>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</si>
  <si>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</si>
  <si>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</si>
  <si>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</si>
  <si>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</si>
  <si>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</si>
  <si>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</si>
  <si>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</si>
  <si>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</si>
  <si>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</si>
  <si>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</si>
  <si>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</si>
  <si>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</si>
  <si>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</si>
  <si>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</si>
  <si>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</si>
  <si>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</si>
  <si>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</si>
  <si>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</si>
  <si>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</si>
  <si>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</si>
  <si>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</si>
  <si>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</si>
  <si>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</si>
  <si>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</si>
  <si>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</si>
  <si>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</si>
  <si>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</si>
  <si>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</si>
  <si>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</si>
  <si>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</si>
  <si>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</si>
  <si>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</si>
  <si>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</si>
  <si>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</si>
  <si>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</si>
  <si>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</si>
  <si>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</si>
  <si>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</si>
  <si>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</si>
  <si>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</si>
  <si>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</si>
  <si>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</si>
  <si>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</si>
  <si>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</si>
  <si>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</si>
  <si>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</si>
  <si>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</si>
  <si>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</si>
  <si>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</si>
  <si>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</si>
  <si>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</si>
  <si>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</si>
  <si>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</si>
  <si>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</si>
  <si>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</si>
  <si>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</si>
  <si>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</si>
  <si>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</si>
  <si>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</si>
  <si>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</si>
  <si>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</si>
  <si>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</si>
  <si>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</si>
  <si>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</si>
  <si>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</si>
  <si>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</si>
  <si>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</si>
  <si>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</si>
  <si>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</si>
  <si>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</si>
  <si>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</si>
  <si>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See column heading</t>
  </si>
  <si>
    <t>7F.1</t>
  </si>
  <si>
    <t>7F.2</t>
  </si>
  <si>
    <t>7F.3</t>
  </si>
  <si>
    <t>7F.4</t>
  </si>
  <si>
    <t>7F.5</t>
  </si>
  <si>
    <t>7F.6</t>
  </si>
  <si>
    <t>7F.7</t>
  </si>
  <si>
    <t>7F.8</t>
  </si>
  <si>
    <t>7F.9</t>
  </si>
  <si>
    <t>7F.10</t>
  </si>
  <si>
    <t>7F.11</t>
  </si>
  <si>
    <t>7F.12</t>
  </si>
  <si>
    <t>7F.13</t>
  </si>
  <si>
    <t>7F.14</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</si>
  <si>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</si>
  <si>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</si>
  <si>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</si>
  <si>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</si>
  <si>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</si>
  <si>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</si>
  <si>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</si>
  <si>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</si>
  <si>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</si>
  <si>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</si>
  <si>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</si>
  <si>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</si>
  <si>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</si>
  <si>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</si>
  <si>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</si>
  <si>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</si>
  <si>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</si>
  <si>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</si>
  <si>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</si>
  <si>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</si>
  <si>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</si>
  <si>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</si>
  <si>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</si>
  <si>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</si>
  <si>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</si>
  <si>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</si>
  <si>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</si>
  <si>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</si>
  <si>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</si>
  <si>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</si>
  <si>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</si>
  <si>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</si>
  <si>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</si>
  <si>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</si>
  <si>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</si>
  <si>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</si>
  <si>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</si>
  <si>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</si>
  <si>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</si>
  <si>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</si>
  <si>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</si>
  <si>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</si>
  <si>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</si>
  <si>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</si>
  <si>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</si>
  <si>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</si>
  <si>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</si>
  <si>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</si>
  <si>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</si>
  <si>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</si>
  <si>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</si>
  <si>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</si>
  <si>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</si>
  <si>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</si>
  <si>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</si>
  <si>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</si>
  <si>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</si>
  <si>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</si>
  <si>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</si>
  <si>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</si>
  <si>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</si>
  <si>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</si>
  <si>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</si>
  <si>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</si>
  <si>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</si>
  <si>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</si>
  <si>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</si>
  <si>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</si>
  <si>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</si>
  <si>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</si>
  <si>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</si>
  <si>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</si>
  <si>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</si>
  <si>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</si>
  <si>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</si>
  <si>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</si>
  <si>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</si>
  <si>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</si>
  <si>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</si>
  <si>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</si>
  <si>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</si>
  <si>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</si>
  <si>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</si>
  <si>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</si>
  <si>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</si>
  <si>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</si>
  <si>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</si>
  <si>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</si>
  <si>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</si>
  <si>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</si>
  <si>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</si>
  <si>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</si>
  <si>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</si>
  <si>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</si>
  <si>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</si>
  <si>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</si>
  <si>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</si>
  <si>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</si>
  <si>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</si>
  <si>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</si>
  <si>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</si>
  <si>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</si>
  <si>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</si>
  <si>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</si>
  <si>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</si>
  <si>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</si>
  <si>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</si>
  <si>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</si>
  <si>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</si>
  <si>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</si>
  <si>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</si>
  <si>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</si>
  <si>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</si>
  <si>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</si>
  <si>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</si>
  <si>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</si>
  <si>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</si>
  <si>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</si>
  <si>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</si>
  <si>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</si>
  <si>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</si>
  <si>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</si>
  <si>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</si>
  <si>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</si>
  <si>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</si>
  <si>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</si>
  <si>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</si>
  <si>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</si>
  <si>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</si>
  <si>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</si>
  <si>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</si>
  <si>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</si>
  <si>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</si>
  <si>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</si>
  <si>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</si>
  <si>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</si>
  <si>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</si>
  <si>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</si>
  <si>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</si>
  <si>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</si>
  <si>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</si>
  <si>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</si>
  <si>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</si>
  <si>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</si>
  <si>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</si>
  <si>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</si>
  <si>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</si>
  <si>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</si>
  <si>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</si>
  <si>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</si>
  <si>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</si>
  <si>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</si>
  <si>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</si>
  <si>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</si>
  <si>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</si>
  <si>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</si>
  <si>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</si>
  <si>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</si>
  <si>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</si>
  <si>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</si>
  <si>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</si>
  <si>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</si>
  <si>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</si>
  <si>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</si>
  <si>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</si>
  <si>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</si>
  <si>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</si>
  <si>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</si>
  <si>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</si>
  <si>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</si>
  <si>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</si>
  <si>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</si>
  <si>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</si>
  <si>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</si>
  <si>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</si>
  <si>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</si>
  <si>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</si>
  <si>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</si>
  <si>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</si>
  <si>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</si>
  <si>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</si>
  <si>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</si>
  <si>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</si>
  <si>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</si>
  <si>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</si>
  <si>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</si>
  <si>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</si>
  <si>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</si>
  <si>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</si>
  <si>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</si>
  <si>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</si>
  <si>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</si>
  <si>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</si>
  <si>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</si>
  <si>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</si>
  <si>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</si>
  <si>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</si>
  <si>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</si>
  <si>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</si>
  <si>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</si>
  <si>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</si>
  <si>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</si>
  <si>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</si>
  <si>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</si>
  <si>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</si>
  <si>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</si>
  <si>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</si>
  <si>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</si>
  <si>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</si>
  <si>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</si>
  <si>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</si>
  <si>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</si>
  <si>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</si>
  <si>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</si>
  <si>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</si>
  <si>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</si>
  <si>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</si>
  <si>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</si>
  <si>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</si>
  <si>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</si>
  <si>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</si>
  <si>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</si>
  <si>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</si>
  <si>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</si>
  <si>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</si>
  <si>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</si>
  <si>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</si>
  <si>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</si>
  <si>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</si>
  <si>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</si>
  <si>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</si>
  <si>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</si>
  <si>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</si>
  <si>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</si>
  <si>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</si>
  <si>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</si>
  <si>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</si>
  <si>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</si>
  <si>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</si>
  <si>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</si>
  <si>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</si>
  <si>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</si>
  <si>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</si>
  <si>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</si>
  <si>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</si>
  <si>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</si>
  <si>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</si>
  <si>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</si>
  <si>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</si>
  <si>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</si>
  <si>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</si>
  <si>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</si>
  <si>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</si>
  <si>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</si>
  <si>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</si>
  <si>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</si>
  <si>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</si>
  <si>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</si>
  <si>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</si>
  <si>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</si>
  <si>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</si>
  <si>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</si>
  <si>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</si>
  <si>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</si>
  <si>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</si>
  <si>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</si>
  <si>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</si>
  <si>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</si>
  <si>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</si>
  <si>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</si>
  <si>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</si>
  <si>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</si>
  <si>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</si>
  <si>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</si>
  <si>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</si>
  <si>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</si>
  <si>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</si>
  <si>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</si>
  <si>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</si>
  <si>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</si>
  <si>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</si>
  <si>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</si>
  <si>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</si>
  <si>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</si>
  <si>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</si>
  <si>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</si>
  <si>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</si>
  <si>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</si>
  <si>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</si>
  <si>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</si>
  <si>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</si>
  <si>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</si>
  <si>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</si>
  <si>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</si>
  <si>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</si>
  <si>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</si>
  <si>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</si>
  <si>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</si>
  <si>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</si>
  <si>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</si>
  <si>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</si>
  <si>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</si>
  <si>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</si>
  <si>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</si>
  <si>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</si>
  <si>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</si>
  <si>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</si>
  <si>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</si>
  <si>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</si>
  <si>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</si>
  <si>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</si>
  <si>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</si>
  <si>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</si>
  <si>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</si>
  <si>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</si>
  <si>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</si>
  <si>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</si>
  <si>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</si>
  <si>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</si>
  <si>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</si>
  <si>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</si>
  <si>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</si>
  <si>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</si>
  <si>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</si>
  <si>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</si>
  <si>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</si>
  <si>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</si>
  <si>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</si>
  <si>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</si>
  <si>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</si>
  <si>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</si>
  <si>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</si>
  <si>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</si>
  <si>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</si>
  <si>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</si>
  <si>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</si>
  <si>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</si>
  <si>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</si>
  <si>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</si>
  <si>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</si>
  <si>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</si>
  <si>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</si>
  <si>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</si>
  <si>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</si>
  <si>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</si>
  <si>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</si>
  <si>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</si>
  <si>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</si>
  <si>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</si>
  <si>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</si>
  <si>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</si>
  <si>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</si>
  <si>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</si>
  <si>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</si>
  <si>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</si>
  <si>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</si>
  <si>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</si>
  <si>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</si>
  <si>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</si>
  <si>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</si>
  <si>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</si>
  <si>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</si>
  <si>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</si>
  <si>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</si>
  <si>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</si>
  <si>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</si>
  <si>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</si>
  <si>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</si>
  <si>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</si>
  <si>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</si>
  <si>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</si>
  <si>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</si>
  <si>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</si>
  <si>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</si>
  <si>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</si>
  <si>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</si>
  <si>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</si>
  <si>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</si>
  <si>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</si>
  <si>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</si>
  <si>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</si>
  <si>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</si>
  <si>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</si>
  <si>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</si>
  <si>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</si>
  <si>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</si>
  <si>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</si>
  <si>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</si>
  <si>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</si>
  <si>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</si>
  <si>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</si>
  <si>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</si>
  <si>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</si>
  <si>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</si>
  <si>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</si>
  <si>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</si>
  <si>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</si>
  <si>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</si>
  <si>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</si>
  <si>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</si>
  <si>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</si>
  <si>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</si>
  <si>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</si>
  <si>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</si>
  <si>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</si>
  <si>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</si>
  <si>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</si>
  <si>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</si>
  <si>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</si>
  <si>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</si>
  <si>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</si>
  <si>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</si>
  <si>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</si>
  <si>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</si>
  <si>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</si>
  <si>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</si>
  <si>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</si>
  <si>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</si>
  <si>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</si>
  <si>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</si>
  <si>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</si>
  <si>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</si>
  <si>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</si>
  <si>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</si>
  <si>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</si>
  <si>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</si>
  <si>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</si>
  <si>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</si>
  <si>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</si>
  <si>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</si>
  <si>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</si>
  <si>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</si>
  <si>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</si>
  <si>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</si>
  <si>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</si>
  <si>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</si>
  <si>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</si>
  <si>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</si>
  <si>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</si>
  <si>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</si>
  <si>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</si>
  <si>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</si>
  <si>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</si>
  <si>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</si>
  <si>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</si>
  <si>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</si>
  <si>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</si>
  <si>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</si>
  <si>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</si>
  <si>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</si>
  <si>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</si>
  <si>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</si>
  <si>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</si>
  <si>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</si>
  <si>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</si>
  <si>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</si>
  <si>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</si>
  <si>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</si>
  <si>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</si>
  <si>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</si>
  <si>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</si>
  <si>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</si>
  <si>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</si>
  <si>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</si>
  <si>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</si>
  <si>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</si>
  <si>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</si>
  <si>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</si>
  <si>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</si>
  <si>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</si>
  <si>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</si>
  <si>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</si>
  <si>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</si>
  <si>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</si>
  <si>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</si>
  <si>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</si>
  <si>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</si>
  <si>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</si>
  <si>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</si>
  <si>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</si>
  <si>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</si>
  <si>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</si>
  <si>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</si>
  <si>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</si>
  <si>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</si>
  <si>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</si>
  <si>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</si>
  <si>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</si>
  <si>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</si>
  <si>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</si>
  <si>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</si>
  <si>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</si>
  <si>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</si>
  <si>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</si>
  <si>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</si>
  <si>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</si>
  <si>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</si>
  <si>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</si>
  <si>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</si>
  <si>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</si>
  <si>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</si>
  <si>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</si>
  <si>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</si>
  <si>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</si>
  <si>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</si>
  <si>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</si>
  <si>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</si>
  <si>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</si>
  <si>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</si>
  <si>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</si>
  <si>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</si>
  <si>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</si>
  <si>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</si>
  <si>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</si>
  <si>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</si>
  <si>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</si>
  <si>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</si>
  <si>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</si>
  <si>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</si>
  <si>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</si>
  <si>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</si>
  <si>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</si>
  <si>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</si>
  <si>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</si>
  <si>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</si>
  <si>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</si>
  <si>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</si>
  <si>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</si>
  <si>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</si>
  <si>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</si>
  <si>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</si>
  <si>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</si>
  <si>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</si>
  <si>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</si>
  <si>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</si>
  <si>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</si>
  <si>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</si>
  <si>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</si>
  <si>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</si>
  <si>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</si>
  <si>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</si>
  <si>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</si>
  <si>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</si>
  <si>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</si>
  <si>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</si>
  <si>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</si>
  <si>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</si>
  <si>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</si>
  <si>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</si>
  <si>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</si>
  <si>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</si>
  <si>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</si>
  <si>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</si>
  <si>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</si>
  <si>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</si>
  <si>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</si>
  <si>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</si>
  <si>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</si>
  <si>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</si>
  <si>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</si>
  <si>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</si>
  <si>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</si>
  <si>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</si>
  <si>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</si>
  <si>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</si>
  <si>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</si>
  <si>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</si>
  <si>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</si>
  <si>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</si>
  <si>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</si>
  <si>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</si>
  <si>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</si>
  <si>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</si>
  <si>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</si>
  <si>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</si>
  <si>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</si>
  <si>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</si>
  <si>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</si>
  <si>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</si>
  <si>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</si>
  <si>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</si>
  <si>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</si>
  <si>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</si>
  <si>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</si>
  <si>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</si>
  <si>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</si>
  <si>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</si>
  <si>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</si>
  <si>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</si>
  <si>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</si>
  <si>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</si>
  <si>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</si>
  <si>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</si>
  <si>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</si>
  <si>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</si>
  <si>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</si>
  <si>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</si>
  <si>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</si>
  <si>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</si>
  <si>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</si>
  <si>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</si>
  <si>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</si>
  <si>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</si>
  <si>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</si>
  <si>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</si>
  <si>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</si>
  <si>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</si>
  <si>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</si>
  <si>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</si>
  <si>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</si>
  <si>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</si>
  <si>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</si>
  <si>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</si>
  <si>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</si>
  <si>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</si>
  <si>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</si>
  <si>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</si>
  <si>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</si>
  <si>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</si>
  <si>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</si>
  <si>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</si>
  <si>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</si>
  <si>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</si>
  <si>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</si>
  <si>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</si>
  <si>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</si>
  <si>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</si>
  <si>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</si>
  <si>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</si>
  <si>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</si>
  <si>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</si>
  <si>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</si>
  <si>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</si>
  <si>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</si>
  <si>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</si>
  <si>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</si>
  <si>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</si>
  <si>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</si>
  <si>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</si>
  <si>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</si>
  <si>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</si>
  <si>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</si>
  <si>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</si>
  <si>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</si>
  <si>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</si>
  <si>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</si>
  <si>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</si>
  <si>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</si>
  <si>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</si>
  <si>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</si>
  <si>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</si>
  <si>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</si>
  <si>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</si>
  <si>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</si>
  <si>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</si>
  <si>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</si>
  <si>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</si>
  <si>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</si>
  <si>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</si>
  <si>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</si>
  <si>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</si>
  <si>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</si>
  <si>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</si>
  <si>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</si>
  <si>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</si>
  <si>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</si>
  <si>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</si>
  <si>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</si>
  <si>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</si>
  <si>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</si>
  <si>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</si>
  <si>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</si>
  <si>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</si>
  <si>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</si>
  <si>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</si>
  <si>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</si>
  <si>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</si>
  <si>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</si>
  <si>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</si>
  <si>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</si>
  <si>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</si>
  <si>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</si>
  <si>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</si>
  <si>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</si>
  <si>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</si>
  <si>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</si>
  <si>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</si>
  <si>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</si>
  <si>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</si>
  <si>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</si>
  <si>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</si>
  <si>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</si>
  <si>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</si>
  <si>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</si>
  <si>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</si>
  <si>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</si>
  <si>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</si>
  <si>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</si>
  <si>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</si>
  <si>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</si>
  <si>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</si>
  <si>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</si>
  <si>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</si>
  <si>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</si>
  <si>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</si>
  <si>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</si>
  <si>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</si>
  <si>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</si>
  <si>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</si>
  <si>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</si>
  <si>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</si>
  <si>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</si>
  <si>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</si>
  <si>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</si>
  <si>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</si>
  <si>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</si>
  <si>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</si>
  <si>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</si>
  <si>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</si>
  <si>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</si>
  <si>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</si>
  <si>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</si>
  <si>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</si>
  <si>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</si>
  <si>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</si>
  <si>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</si>
  <si>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</si>
  <si>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</si>
  <si>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</si>
  <si>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</si>
  <si>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</si>
  <si>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</si>
  <si>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</si>
  <si>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</si>
  <si>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</si>
  <si>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</si>
  <si>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</si>
  <si>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</si>
  <si>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</si>
  <si>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</si>
  <si>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</si>
  <si>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</si>
  <si>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</si>
  <si>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</si>
  <si>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</si>
  <si>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</si>
  <si>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</si>
  <si>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</si>
  <si>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</si>
  <si>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</si>
  <si>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</si>
  <si>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</si>
  <si>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</si>
  <si>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</si>
  <si>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</si>
  <si>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</si>
  <si>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</si>
  <si>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</si>
  <si>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</si>
  <si>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</si>
  <si>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</si>
  <si>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</si>
  <si>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</si>
  <si>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</si>
  <si>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</si>
  <si>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</si>
  <si>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</si>
  <si>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</si>
  <si>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</si>
  <si>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</si>
  <si>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</si>
  <si>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</si>
  <si>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</si>
  <si>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</si>
  <si>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</si>
  <si>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</si>
  <si>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</si>
  <si>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</si>
  <si>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</si>
  <si>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</si>
  <si>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</si>
  <si>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</si>
  <si>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</si>
  <si>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</si>
  <si>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</si>
  <si>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</si>
  <si>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</si>
  <si>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</si>
  <si>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</si>
  <si>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</si>
  <si>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</si>
  <si>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</si>
  <si>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</si>
  <si>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</si>
  <si>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</si>
  <si>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</si>
  <si>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</si>
  <si>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</si>
  <si>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</si>
  <si>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</si>
  <si>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</si>
  <si>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</si>
  <si>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</si>
  <si>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</si>
  <si>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</si>
  <si>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</si>
  <si>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</si>
  <si>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</si>
  <si>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</si>
  <si>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</si>
  <si>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</si>
  <si>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</si>
  <si>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</si>
  <si>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</si>
  <si>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</si>
  <si>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</si>
  <si>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</si>
  <si>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</si>
  <si>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</si>
  <si>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</si>
  <si>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</si>
  <si>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</si>
  <si>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</si>
  <si>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</si>
  <si>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</si>
  <si>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</si>
  <si>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</si>
  <si>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</si>
  <si>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</si>
  <si>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</si>
  <si>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</si>
  <si>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</si>
  <si>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</si>
  <si>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</si>
  <si>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</si>
  <si>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</si>
  <si>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</si>
  <si>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</si>
  <si>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</si>
  <si>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</si>
  <si>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</si>
  <si>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</si>
  <si>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</si>
  <si>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</si>
  <si>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</si>
  <si>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</si>
  <si>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</si>
  <si>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</si>
  <si>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</si>
  <si>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</si>
  <si>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</si>
  <si>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</si>
  <si>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</si>
  <si>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</si>
  <si>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</si>
  <si>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</si>
  <si>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</si>
  <si>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</si>
  <si>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</si>
  <si>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</si>
  <si>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</si>
  <si>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</si>
  <si>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</si>
  <si>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</si>
  <si>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</si>
  <si>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</si>
  <si>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</si>
  <si>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</si>
  <si>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</si>
  <si>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</si>
  <si>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</si>
  <si>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</si>
  <si>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</si>
  <si>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</si>
  <si>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</si>
  <si>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</si>
  <si>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</si>
  <si>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</si>
  <si>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</si>
  <si>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</si>
  <si>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</si>
  <si>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</si>
  <si>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</si>
  <si>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</si>
  <si>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</si>
  <si>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</si>
  <si>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</si>
  <si>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</si>
  <si>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</si>
  <si>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</si>
  <si>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</si>
  <si>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</si>
  <si>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</si>
  <si>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</si>
  <si>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</si>
  <si>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</si>
  <si>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</si>
  <si>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</si>
  <si>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</si>
  <si>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</si>
  <si>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</si>
  <si>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</si>
  <si>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</si>
  <si>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</si>
  <si>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</si>
  <si>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</si>
  <si>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</si>
  <si>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</si>
  <si>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</si>
  <si>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</si>
  <si>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</si>
  <si>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</si>
  <si>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</si>
  <si>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</si>
  <si>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</si>
  <si>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</si>
  <si>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</si>
  <si>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</si>
  <si>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</si>
  <si>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</si>
  <si>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</si>
  <si>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</si>
  <si>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</si>
  <si>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</si>
  <si>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</si>
  <si>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</si>
  <si>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</si>
  <si>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</si>
  <si>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</si>
  <si>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</si>
  <si>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</si>
  <si>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</si>
  <si>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</si>
  <si>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</si>
  <si>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</si>
  <si>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</si>
  <si>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</si>
  <si>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</si>
  <si>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</si>
  <si>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</si>
  <si>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</si>
  <si>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</si>
  <si>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</si>
  <si>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</si>
  <si>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</si>
  <si>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</si>
  <si>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</si>
  <si>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</si>
  <si>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</si>
  <si>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</si>
  <si>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</si>
  <si>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</si>
  <si>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</si>
  <si>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</si>
  <si>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</si>
  <si>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</si>
  <si>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</si>
  <si>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</si>
  <si>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</si>
  <si>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</si>
  <si>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</si>
  <si>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</si>
  <si>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</si>
  <si>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</si>
  <si>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</si>
  <si>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</si>
  <si>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</si>
  <si>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</si>
  <si>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</si>
  <si>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</si>
  <si>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</si>
  <si>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</si>
  <si>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</si>
  <si>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</si>
  <si>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</si>
  <si>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</si>
  <si>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</si>
  <si>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</si>
  <si>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</si>
  <si>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</si>
  <si>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</si>
  <si>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</si>
  <si>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</si>
  <si>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</si>
  <si>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</si>
  <si>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</si>
  <si>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</si>
  <si>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</si>
  <si>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</si>
  <si>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</si>
  <si>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</si>
  <si>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</si>
  <si>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</si>
  <si>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</si>
  <si>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</si>
  <si>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</si>
  <si>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</si>
  <si>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</si>
  <si>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</si>
  <si>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</si>
  <si>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</si>
  <si>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</si>
  <si>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</si>
  <si>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</si>
  <si>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</si>
  <si>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</si>
  <si>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</si>
  <si>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</si>
  <si>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</si>
  <si>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</si>
  <si>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</si>
  <si>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</si>
  <si>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</si>
  <si>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</si>
  <si>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</si>
  <si>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</si>
  <si>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</si>
  <si>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</si>
  <si>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</si>
  <si>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</si>
  <si>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</si>
  <si>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</si>
  <si>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</si>
  <si>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</si>
  <si>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</si>
  <si>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</si>
  <si>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</si>
  <si>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</si>
  <si>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</si>
  <si>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</si>
  <si>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</si>
  <si>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</si>
  <si>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</si>
  <si>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</si>
  <si>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</si>
  <si>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</si>
  <si>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</si>
  <si>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</si>
  <si>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</si>
  <si>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</si>
  <si>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</si>
  <si>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</si>
  <si>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</si>
  <si>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</si>
  <si>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</si>
  <si>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</si>
  <si>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</si>
  <si>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</si>
  <si>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</si>
  <si>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</si>
  <si>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</si>
  <si>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</si>
  <si>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</si>
  <si>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</si>
  <si>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</si>
  <si>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</si>
  <si>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</si>
  <si>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</si>
  <si>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</si>
  <si>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</si>
  <si>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</si>
  <si>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</si>
  <si>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</si>
  <si>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</si>
  <si>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</si>
  <si>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</si>
  <si>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</si>
  <si>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</si>
  <si>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</si>
  <si>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</si>
  <si>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</si>
  <si>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</si>
  <si>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</si>
  <si>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</si>
  <si>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</si>
  <si>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</si>
  <si>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</si>
  <si>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</si>
  <si>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</si>
  <si>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</si>
  <si>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</si>
  <si>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</si>
  <si>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</si>
  <si>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</si>
  <si>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</si>
  <si>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</si>
  <si>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</si>
  <si>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</si>
  <si>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</si>
  <si>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</si>
  <si>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</si>
  <si>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</si>
  <si>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</si>
  <si>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</si>
  <si>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</si>
  <si>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</si>
  <si>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</si>
  <si>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</si>
  <si>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</si>
  <si>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</si>
  <si>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</si>
  <si>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</si>
  <si>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</si>
  <si>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</si>
  <si>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</si>
  <si>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</si>
  <si>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</si>
  <si>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</si>
  <si>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</si>
  <si>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</si>
  <si>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</si>
  <si>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</si>
  <si>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</si>
  <si>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</si>
  <si>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</si>
  <si>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</si>
  <si>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</si>
  <si>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</si>
  <si>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</si>
  <si>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</si>
  <si>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</si>
  <si>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</si>
  <si>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</si>
  <si>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</si>
  <si>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</si>
  <si>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</si>
  <si>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</si>
  <si>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</si>
  <si>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</si>
  <si>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</si>
  <si>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</si>
  <si>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</si>
  <si>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</si>
  <si>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</si>
  <si>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</si>
  <si>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</si>
  <si>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</si>
  <si>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</si>
  <si>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</si>
  <si>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</si>
  <si>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</si>
  <si>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</si>
  <si>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</si>
  <si>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</si>
  <si>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</si>
  <si>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</si>
  <si>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</si>
  <si>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</si>
  <si>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</si>
  <si>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</si>
  <si>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</si>
  <si>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</si>
  <si>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</si>
  <si>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</si>
  <si>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</si>
  <si>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</si>
  <si>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</si>
  <si>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</si>
  <si>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</si>
  <si>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</si>
  <si>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</si>
  <si>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</si>
  <si>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</si>
  <si>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</si>
  <si>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</si>
  <si>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</si>
  <si>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</si>
  <si>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</si>
  <si>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</si>
  <si>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</si>
  <si>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</si>
  <si>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</si>
  <si>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</si>
  <si>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</si>
  <si>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</si>
  <si>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</si>
  <si>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</si>
  <si>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</si>
  <si>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</si>
  <si>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</si>
  <si>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</si>
  <si>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</si>
  <si>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</si>
  <si>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</si>
  <si>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</si>
  <si>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</si>
  <si>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</si>
  <si>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</si>
  <si>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</si>
  <si>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</si>
  <si>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</si>
  <si>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</si>
  <si>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</si>
  <si>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</si>
  <si>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</si>
  <si>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</si>
  <si>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</si>
  <si>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</si>
  <si>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</si>
  <si>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</si>
  <si>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</si>
  <si>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</si>
  <si>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</si>
  <si>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</si>
  <si>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</si>
  <si>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</si>
  <si>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</si>
  <si>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</si>
  <si>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</si>
  <si>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</si>
  <si>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</si>
  <si>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</si>
  <si>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</si>
  <si>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</si>
  <si>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</si>
  <si>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</si>
  <si>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</si>
  <si>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</si>
  <si>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</si>
  <si>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</si>
  <si>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</si>
  <si>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</si>
  <si>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</si>
  <si>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</si>
  <si>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</si>
  <si>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</si>
  <si>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</si>
  <si>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</si>
  <si>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</si>
  <si>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</si>
  <si>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</si>
  <si>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</si>
  <si>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</si>
  <si>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</si>
  <si>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</si>
  <si>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</si>
  <si>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</si>
  <si>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</si>
  <si>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</si>
  <si>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</si>
  <si>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</si>
  <si>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</si>
  <si>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</si>
  <si>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</si>
  <si>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</si>
  <si>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</si>
  <si>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</si>
  <si>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</si>
  <si>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</si>
  <si>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</si>
  <si>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</si>
  <si>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</si>
  <si>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</si>
  <si>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</si>
  <si>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</si>
  <si>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</si>
  <si>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</si>
  <si>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</si>
  <si>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</si>
  <si>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</si>
  <si>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</si>
  <si>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</si>
  <si>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</si>
  <si>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</si>
  <si>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</si>
  <si>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</si>
  <si>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</si>
  <si>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</si>
  <si>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</si>
  <si>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</si>
  <si>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</si>
  <si>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</si>
  <si>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</si>
  <si>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</si>
  <si>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</si>
  <si>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</si>
  <si>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</si>
  <si>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</si>
  <si>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</si>
  <si>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</si>
  <si>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</si>
  <si>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</si>
  <si>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</si>
  <si>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</si>
  <si>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</si>
  <si>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</si>
  <si>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</si>
  <si>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</si>
  <si>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</si>
  <si>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</si>
  <si>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</si>
  <si>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</si>
  <si>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</si>
  <si>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</si>
  <si>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</si>
  <si>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</si>
  <si>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</si>
  <si>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</si>
  <si>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</si>
  <si>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</si>
  <si>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</si>
  <si>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</si>
  <si>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</si>
  <si>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</si>
  <si>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</si>
  <si>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</si>
  <si>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</si>
  <si>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</si>
  <si>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</si>
  <si>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</si>
  <si>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</si>
  <si>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</si>
  <si>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</si>
  <si>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</si>
  <si>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</si>
  <si>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</si>
  <si>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</si>
  <si>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</si>
  <si>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</si>
  <si>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</si>
  <si>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</si>
  <si>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</si>
  <si>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</si>
  <si>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</si>
  <si>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</si>
  <si>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</si>
  <si>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</si>
  <si>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</si>
  <si>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</si>
  <si>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</si>
  <si>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</si>
  <si>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</si>
  <si>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</si>
  <si>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</si>
  <si>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</si>
  <si>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</si>
  <si>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</si>
  <si>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</si>
  <si>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</si>
  <si>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</si>
  <si>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</si>
  <si>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</si>
  <si>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</si>
  <si>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</si>
  <si>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</si>
  <si>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</si>
  <si>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</si>
  <si>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</si>
  <si>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</si>
  <si>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</si>
  <si>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</si>
  <si>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</si>
  <si>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</si>
  <si>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</si>
  <si>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</si>
  <si>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</si>
  <si>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</si>
  <si>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</si>
  <si>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</si>
  <si>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</si>
  <si>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</si>
  <si>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</si>
  <si>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</si>
  <si>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</si>
  <si>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</si>
  <si>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</si>
  <si>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</si>
  <si>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</si>
  <si>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</si>
  <si>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</si>
  <si>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</si>
  <si>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</si>
  <si>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</si>
  <si>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</si>
  <si>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</si>
  <si>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</si>
  <si>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</si>
  <si>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</si>
  <si>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</si>
  <si>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</si>
  <si>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</si>
  <si>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</si>
  <si>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</si>
  <si>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</si>
  <si>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</si>
  <si>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</si>
  <si>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</si>
  <si>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</si>
  <si>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</si>
  <si>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</si>
  <si>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</si>
  <si>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</si>
  <si>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</si>
  <si>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</si>
  <si>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</si>
  <si>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</si>
  <si>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</si>
  <si>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</si>
  <si>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</si>
  <si>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</si>
  <si>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</si>
  <si>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</si>
  <si>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</si>
  <si>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</si>
  <si>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</si>
  <si>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</si>
  <si>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</si>
  <si>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</si>
  <si>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</si>
  <si>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</si>
  <si>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</si>
  <si>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</si>
  <si>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</si>
  <si>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</si>
  <si>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</si>
  <si>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</si>
  <si>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</si>
  <si>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</si>
  <si>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</si>
  <si>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</si>
  <si>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</si>
  <si>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</si>
  <si>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</si>
  <si>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</si>
  <si>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</si>
  <si>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</si>
  <si>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</si>
  <si>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</si>
  <si>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</si>
  <si>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</si>
  <si>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</si>
  <si>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</si>
  <si>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</si>
  <si>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</si>
  <si>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</si>
  <si>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</si>
  <si>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</si>
  <si>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</si>
  <si>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</si>
  <si>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</si>
  <si>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</si>
  <si>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</si>
  <si>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</si>
  <si>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</si>
  <si>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</si>
  <si>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</si>
  <si>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</si>
  <si>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</si>
  <si>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</si>
  <si>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</si>
  <si>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</si>
  <si>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</si>
  <si>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</si>
  <si>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</si>
  <si>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</si>
  <si>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</si>
  <si>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</si>
  <si>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</si>
  <si>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</si>
  <si>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</si>
  <si>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</si>
  <si>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</si>
  <si>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</si>
  <si>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</si>
  <si>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</si>
  <si>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</si>
  <si>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</si>
  <si>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</si>
  <si>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</si>
  <si>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</si>
  <si>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</si>
  <si>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</si>
  <si>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</si>
  <si>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</si>
  <si>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</si>
  <si>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</si>
  <si>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</si>
  <si>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</si>
  <si>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</si>
  <si>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</si>
  <si>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</si>
  <si>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</si>
  <si>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</si>
  <si>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</si>
  <si>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</si>
  <si>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</si>
  <si>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</si>
  <si>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</si>
  <si>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</si>
  <si>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</si>
  <si>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</si>
  <si>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</si>
  <si>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</si>
  <si>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</si>
  <si>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</si>
  <si>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</si>
  <si>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</si>
  <si>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</si>
  <si>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</si>
  <si>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</si>
  <si>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</si>
  <si>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</si>
  <si>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</si>
  <si>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</si>
  <si>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</si>
  <si>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</si>
  <si>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</si>
  <si>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</si>
  <si>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</si>
  <si>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</si>
  <si>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</si>
  <si>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</si>
  <si>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</si>
  <si>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</si>
  <si>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</si>
  <si>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</si>
  <si>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</si>
  <si>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</si>
  <si>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</si>
  <si>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</si>
  <si>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</si>
  <si>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</si>
  <si>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</si>
  <si>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</si>
  <si>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</si>
  <si>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</si>
  <si>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</si>
  <si>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</si>
  <si>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</si>
  <si>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</si>
  <si>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</si>
  <si>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</si>
  <si>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</si>
  <si>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</si>
  <si>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</si>
  <si>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</si>
  <si>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</si>
  <si>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</si>
  <si>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</si>
  <si>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</si>
  <si>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</si>
  <si>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</si>
  <si>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</si>
  <si>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</si>
  <si>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</si>
  <si>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</si>
  <si>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</si>
  <si>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</si>
  <si>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</si>
  <si>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</si>
  <si>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</si>
  <si>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</si>
  <si>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</si>
  <si>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</si>
  <si>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</si>
  <si>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</si>
  <si>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</si>
  <si>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</si>
  <si>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</si>
  <si>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</si>
  <si>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</si>
  <si>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</si>
  <si>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</si>
  <si>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</si>
  <si>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</si>
  <si>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</si>
  <si>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</si>
  <si>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</si>
  <si>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</si>
  <si>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</si>
  <si>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</si>
  <si>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</si>
  <si>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</si>
  <si>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</si>
  <si>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</si>
  <si>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</si>
  <si>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</si>
  <si>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</si>
  <si>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</si>
  <si>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</si>
  <si>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</si>
  <si>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</si>
  <si>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</si>
  <si>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</si>
  <si>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</si>
  <si>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</si>
  <si>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</si>
  <si>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</si>
  <si>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</si>
  <si>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</si>
  <si>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</si>
  <si>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</si>
  <si>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</si>
  <si>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</si>
  <si>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</si>
  <si>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</si>
  <si>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</si>
  <si>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</si>
  <si>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</si>
  <si>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</si>
  <si>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</si>
  <si>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</si>
  <si>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</si>
  <si>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</si>
  <si>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</si>
  <si>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</si>
  <si>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</si>
  <si>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</si>
  <si>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</si>
  <si>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</si>
  <si>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</si>
  <si>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</si>
  <si>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</si>
  <si>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</si>
  <si>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</si>
  <si>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</si>
  <si>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</si>
  <si>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</si>
  <si>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</si>
  <si>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</si>
  <si>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</si>
  <si>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</si>
  <si>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</si>
  <si>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</si>
  <si>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</si>
  <si>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</si>
  <si>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</si>
  <si>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</si>
  <si>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</si>
  <si>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</si>
  <si>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</si>
  <si>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</si>
  <si>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</si>
  <si>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</si>
  <si>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</si>
  <si>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</si>
  <si>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</si>
  <si>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</si>
  <si>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</si>
  <si>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</si>
  <si>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</si>
  <si>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</si>
  <si>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</si>
  <si>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</si>
  <si>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</si>
  <si>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</si>
  <si>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</si>
  <si>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</si>
  <si>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</si>
  <si>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</si>
  <si>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</si>
  <si>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</si>
  <si>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</si>
  <si>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</si>
  <si>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</si>
  <si>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</si>
  <si>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</si>
  <si>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</si>
  <si>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</si>
  <si>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</si>
  <si>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</si>
  <si>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</si>
  <si>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</si>
  <si>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</si>
  <si>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</si>
  <si>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</si>
  <si>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</si>
  <si>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</si>
  <si>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</si>
  <si>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</si>
  <si>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</si>
  <si>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</si>
  <si>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</si>
  <si>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</si>
  <si>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</si>
  <si>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</si>
  <si>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</si>
  <si>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</si>
  <si>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</si>
  <si>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</si>
  <si>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</si>
  <si>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</si>
  <si>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</si>
  <si>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</si>
  <si>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</si>
  <si>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</si>
  <si>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</si>
  <si>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</si>
  <si>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</si>
  <si>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</si>
  <si>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</si>
  <si>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</si>
  <si>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</si>
  <si>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</si>
  <si>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</si>
  <si>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</si>
  <si>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</si>
  <si>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</si>
  <si>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</si>
  <si>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</si>
  <si>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</si>
  <si>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</si>
  <si>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</si>
  <si>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</si>
  <si>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</si>
  <si>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</si>
  <si>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</si>
  <si>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</si>
  <si>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</si>
  <si>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</si>
  <si>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</si>
  <si>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</si>
  <si>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</si>
  <si>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</si>
  <si>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</si>
  <si>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</si>
  <si>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</si>
  <si>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</si>
  <si>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</si>
  <si>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</si>
  <si>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</si>
  <si>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</si>
  <si>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</si>
  <si>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</si>
  <si>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</si>
  <si>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</si>
  <si>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</si>
  <si>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</si>
  <si>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</si>
  <si>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</si>
  <si>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</si>
  <si>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</si>
  <si>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</si>
  <si>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</si>
  <si>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</si>
  <si>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</si>
  <si>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</si>
  <si>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</si>
  <si>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</si>
  <si>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</si>
  <si>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</si>
  <si>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</si>
  <si>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</si>
  <si>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</si>
  <si>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</si>
  <si>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</si>
  <si>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</si>
  <si>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</si>
  <si>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</si>
  <si>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</si>
  <si>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</si>
  <si>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</si>
  <si>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</si>
  <si>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</si>
  <si>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</si>
  <si>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</si>
  <si>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</si>
  <si>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</si>
  <si>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</si>
  <si>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</si>
  <si>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</si>
  <si>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</si>
  <si>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</si>
  <si>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</si>
  <si>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</si>
  <si>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</si>
  <si>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</si>
  <si>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</si>
  <si>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</si>
  <si>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</si>
  <si>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</si>
  <si>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</si>
  <si>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</si>
  <si>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</si>
  <si>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</si>
  <si>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</si>
  <si>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</si>
  <si>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</si>
  <si>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</si>
  <si>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</si>
  <si>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</si>
  <si>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</si>
  <si>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</si>
  <si>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</si>
  <si>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</si>
  <si>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</si>
  <si>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</si>
  <si>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</si>
  <si>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</si>
  <si>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</si>
  <si>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</si>
  <si>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</si>
  <si>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</si>
  <si>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</si>
  <si>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</si>
  <si>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</si>
  <si>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</si>
  <si>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</si>
  <si>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</si>
  <si>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</si>
  <si>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</si>
  <si>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</si>
  <si>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</si>
  <si>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</si>
  <si>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</si>
  <si>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</si>
  <si>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</si>
  <si>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</si>
  <si>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</si>
  <si>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</si>
  <si>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</si>
  <si>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</si>
  <si>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</si>
  <si>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</si>
  <si>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</si>
  <si>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</si>
  <si>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</si>
  <si>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</si>
  <si>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</si>
  <si>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</si>
  <si>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</si>
  <si>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</si>
  <si>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</si>
  <si>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</si>
  <si>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</si>
  <si>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</si>
  <si>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</si>
  <si>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</si>
  <si>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</si>
  <si>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</si>
  <si>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</si>
  <si>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</si>
  <si>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</si>
  <si>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</si>
  <si>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</si>
  <si>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</si>
  <si>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</si>
  <si>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</si>
  <si>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</si>
  <si>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</si>
  <si>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</si>
  <si>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</si>
  <si>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</si>
  <si>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</si>
  <si>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</si>
  <si>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</si>
  <si>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</si>
  <si>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</si>
  <si>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</si>
  <si>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</si>
  <si>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</si>
  <si>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</si>
  <si>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</si>
  <si>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</si>
  <si>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</si>
  <si>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</si>
  <si>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</si>
  <si>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</si>
  <si>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</si>
  <si>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</si>
  <si>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</si>
  <si>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</si>
  <si>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</si>
  <si>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</si>
  <si>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</si>
  <si>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</si>
  <si>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</si>
  <si>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</si>
  <si>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</si>
  <si>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</si>
  <si>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</si>
  <si>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</si>
  <si>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</si>
  <si>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</si>
  <si>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</si>
  <si>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</si>
  <si>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</si>
  <si>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</si>
  <si>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</si>
  <si>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</si>
  <si>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</si>
  <si>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</si>
  <si>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</si>
  <si>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</si>
  <si>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</si>
  <si>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</si>
  <si>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</si>
  <si>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</si>
  <si>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</si>
  <si>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</si>
  <si>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</si>
  <si>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</si>
  <si>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</si>
  <si>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</si>
  <si>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</si>
  <si>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</si>
  <si>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</si>
  <si>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</si>
  <si>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</si>
  <si>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</si>
  <si>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</si>
  <si>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</si>
  <si>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</si>
  <si>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</si>
  <si>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</si>
  <si>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</si>
  <si>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</si>
  <si>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</si>
  <si>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</si>
  <si>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</si>
  <si>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</si>
  <si>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</si>
  <si>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</si>
  <si>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</si>
  <si>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</si>
  <si>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</si>
  <si>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</si>
  <si>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</si>
  <si>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</si>
  <si>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</si>
  <si>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</si>
  <si>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</si>
  <si>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</si>
  <si>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</si>
  <si>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</si>
  <si>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</si>
  <si>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</si>
  <si>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</si>
  <si>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</si>
  <si>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</si>
  <si>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</si>
  <si>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</si>
  <si>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</si>
  <si>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</si>
  <si>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</si>
  <si>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</si>
  <si>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</si>
  <si>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</si>
  <si>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</si>
  <si>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</si>
  <si>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</si>
  <si>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</si>
  <si>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</si>
  <si>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</si>
  <si>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</si>
  <si>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</si>
  <si>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</si>
  <si>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</si>
  <si>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</si>
  <si>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</si>
  <si>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</si>
  <si>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</si>
  <si>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</si>
  <si>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</si>
  <si>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</si>
  <si>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</si>
  <si>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</si>
  <si>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</si>
  <si>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</si>
  <si>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</si>
  <si>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</si>
  <si>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</si>
  <si>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</si>
  <si>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</si>
  <si>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</si>
  <si>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</si>
  <si>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</si>
  <si>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</si>
  <si>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</si>
  <si>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</si>
  <si>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</si>
  <si>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</si>
  <si>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</si>
  <si>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</si>
  <si>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</si>
  <si>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</si>
  <si>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</si>
  <si>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</si>
  <si>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</si>
  <si>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</si>
  <si>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</si>
  <si>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</si>
  <si>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</si>
  <si>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</si>
  <si>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</si>
  <si>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</si>
  <si>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</si>
  <si>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</si>
  <si>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</si>
  <si>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</si>
  <si>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</si>
  <si>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</si>
  <si>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</si>
  <si>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</si>
  <si>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</si>
  <si>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</si>
  <si>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</si>
  <si>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</si>
  <si>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</si>
  <si>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</si>
  <si>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</si>
  <si>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</si>
  <si>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</si>
  <si>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</si>
  <si>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</si>
  <si>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</si>
  <si>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</si>
  <si>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</si>
  <si>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</si>
  <si>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</si>
  <si>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</si>
  <si>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</si>
  <si>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</si>
  <si>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</si>
  <si>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</si>
  <si>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</si>
  <si>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</si>
  <si>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</si>
  <si>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</si>
  <si>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</si>
  <si>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</si>
  <si>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</si>
  <si>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</si>
  <si>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</si>
  <si>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</si>
  <si>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</si>
  <si>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</si>
  <si>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</si>
  <si>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</si>
  <si>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</si>
  <si>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</si>
  <si>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</si>
  <si>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</si>
  <si>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</si>
  <si>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</si>
  <si>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</si>
  <si>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</si>
  <si>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</si>
  <si>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</si>
  <si>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</si>
  <si>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</si>
  <si>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</si>
  <si>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</si>
  <si>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</si>
  <si>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</si>
  <si>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</si>
  <si>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</si>
  <si>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</si>
  <si>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</si>
  <si>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</si>
  <si>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</si>
  <si>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</si>
  <si>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</si>
  <si>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</si>
  <si>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</si>
  <si>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</si>
  <si>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</si>
  <si>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</si>
  <si>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</si>
  <si>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</si>
  <si>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</si>
  <si>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</si>
  <si>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</si>
  <si>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</si>
  <si>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</si>
  <si>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</si>
  <si>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</si>
  <si>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</si>
  <si>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</si>
  <si>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</si>
  <si>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</si>
  <si>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</si>
  <si>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</si>
  <si>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</si>
  <si>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</si>
  <si>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</si>
  <si>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</si>
  <si>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</si>
  <si>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</si>
  <si>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</si>
  <si>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</si>
  <si>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</si>
  <si>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</si>
  <si>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</si>
  <si>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</si>
  <si>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</si>
  <si>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</si>
  <si>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</si>
  <si>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</si>
  <si>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</si>
  <si>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</si>
  <si>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</si>
  <si>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</si>
  <si>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</si>
  <si>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</si>
  <si>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</si>
  <si>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</si>
  <si>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</si>
  <si>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</si>
  <si>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</si>
  <si>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</si>
  <si>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</si>
  <si>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</si>
  <si>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</si>
  <si>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</si>
  <si>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</si>
  <si>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</si>
  <si>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</si>
  <si>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</si>
  <si>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</si>
  <si>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</si>
  <si>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</si>
  <si>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</si>
  <si>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</si>
  <si>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</si>
  <si>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</si>
  <si>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</si>
  <si>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</si>
  <si>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</si>
  <si>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</si>
  <si>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</si>
  <si>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</si>
  <si>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</si>
  <si>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</si>
  <si>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</si>
  <si>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</si>
  <si>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</si>
  <si>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</si>
  <si>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</si>
  <si>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</si>
  <si>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</si>
  <si>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</si>
  <si>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</si>
  <si>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</si>
  <si>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</si>
  <si>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</si>
  <si>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</si>
  <si>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</si>
  <si>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</si>
  <si>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</si>
  <si>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</si>
  <si>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</si>
  <si>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</si>
  <si>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</si>
  <si>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</si>
  <si>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</si>
  <si>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</si>
  <si>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</si>
  <si>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</si>
  <si>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</si>
  <si>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</si>
  <si>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</si>
  <si>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</si>
  <si>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</si>
  <si>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</si>
  <si>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</si>
  <si>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</si>
  <si>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</si>
  <si>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</si>
  <si>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</si>
  <si>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</si>
  <si>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</si>
  <si>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</si>
  <si>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</si>
  <si>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</si>
  <si>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</si>
  <si>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</si>
  <si>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</si>
  <si>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</si>
  <si>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</si>
  <si>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</si>
  <si>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</si>
  <si>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</si>
  <si>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</si>
  <si>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</si>
  <si>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</si>
  <si>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</si>
  <si>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</si>
  <si>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</si>
  <si>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</si>
  <si>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</si>
  <si>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</si>
  <si>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</si>
  <si>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</si>
  <si>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</si>
  <si>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</si>
  <si>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</si>
  <si>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</si>
  <si>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</si>
  <si>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</si>
  <si>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</si>
  <si>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</si>
  <si>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</si>
  <si>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</si>
  <si>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</si>
  <si>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</si>
  <si>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</si>
  <si>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</si>
  <si>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</si>
  <si>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</si>
  <si>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</si>
  <si>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</si>
  <si>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</si>
  <si>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</si>
  <si>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</si>
  <si>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</si>
  <si>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</si>
  <si>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</si>
  <si>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</si>
  <si>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</si>
  <si>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</si>
  <si>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</si>
  <si>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</si>
  <si>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</si>
  <si>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</si>
  <si>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</si>
  <si>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</si>
  <si>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</si>
  <si>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</si>
  <si>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</si>
  <si>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</si>
  <si>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</si>
  <si>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</si>
  <si>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</si>
  <si>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</si>
  <si>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</si>
  <si>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</si>
  <si>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</si>
  <si>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</si>
  <si>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</si>
  <si>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</si>
  <si>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</si>
  <si>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</si>
  <si>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</si>
  <si>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</si>
  <si>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</si>
  <si>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</si>
  <si>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</si>
  <si>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</si>
  <si>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</si>
  <si>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</si>
  <si>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</si>
  <si>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</si>
  <si>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</si>
  <si>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</si>
  <si>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</si>
  <si>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</si>
  <si>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</si>
  <si>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</si>
  <si>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</si>
  <si>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</si>
  <si>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</si>
  <si>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</si>
  <si>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</si>
  <si>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</si>
  <si>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</si>
  <si>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</si>
  <si>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</si>
  <si>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</si>
  <si>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</si>
  <si>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</si>
  <si>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</si>
  <si>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</si>
  <si>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</si>
  <si>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</si>
  <si>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</si>
  <si>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</si>
  <si>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</si>
  <si>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</si>
  <si>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</si>
  <si>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</si>
  <si>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</si>
  <si>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</si>
  <si>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</si>
  <si>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</si>
  <si>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</si>
  <si>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</si>
  <si>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</si>
  <si>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</si>
  <si>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</si>
  <si>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</si>
  <si>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</si>
  <si>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</si>
  <si>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</si>
  <si>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</si>
  <si>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</si>
  <si>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</si>
  <si>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</si>
  <si>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</si>
  <si>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</si>
  <si>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</si>
  <si>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</si>
  <si>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</si>
  <si>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</si>
  <si>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</si>
  <si>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</si>
  <si>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</si>
  <si>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</si>
  <si>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</si>
  <si>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</si>
  <si>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</si>
  <si>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</si>
  <si>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</si>
  <si>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</si>
  <si>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</si>
  <si>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</si>
  <si>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</si>
  <si>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</si>
  <si>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</si>
  <si>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</si>
  <si>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</si>
  <si>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</si>
  <si>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</si>
  <si>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</si>
  <si>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</si>
  <si>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</si>
  <si>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</si>
  <si>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</si>
  <si>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</si>
  <si>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</si>
  <si>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</si>
  <si>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</si>
  <si>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</si>
  <si>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</si>
  <si>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</si>
  <si>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</si>
  <si>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</si>
  <si>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</si>
  <si>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</si>
  <si>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</si>
  <si>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</si>
  <si>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</si>
  <si>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</si>
  <si>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</si>
  <si>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</si>
  <si>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</si>
  <si>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</si>
  <si>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</si>
  <si>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</si>
  <si>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</si>
  <si>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</si>
  <si>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</si>
  <si>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</si>
  <si>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</si>
  <si>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</si>
  <si>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</si>
  <si>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</si>
  <si>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</si>
  <si>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</si>
  <si>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</si>
  <si>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</si>
  <si>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</si>
  <si>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</si>
  <si>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</si>
  <si>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</si>
  <si>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</si>
  <si>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</si>
  <si>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</si>
  <si>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</si>
  <si>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</si>
  <si>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</si>
  <si>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</si>
  <si>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</si>
  <si>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</si>
  <si>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</si>
  <si>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</si>
  <si>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</si>
  <si>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</si>
  <si>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</si>
  <si>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</si>
  <si>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</si>
  <si>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</si>
  <si>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</si>
  <si>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</si>
  <si>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</si>
  <si>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</si>
  <si>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</si>
  <si>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</si>
  <si>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</si>
  <si>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</si>
  <si>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</si>
  <si>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</si>
  <si>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</si>
  <si>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</si>
  <si>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</si>
  <si>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</si>
  <si>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</si>
  <si>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</si>
  <si>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</si>
  <si>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</si>
  <si>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</si>
  <si>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</si>
  <si>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</si>
  <si>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</si>
  <si>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</si>
  <si>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</si>
  <si>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</si>
  <si>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</si>
  <si>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</si>
  <si>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</si>
  <si>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</si>
  <si>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</si>
  <si>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</si>
  <si>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</si>
  <si>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</si>
  <si>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</si>
  <si>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</si>
  <si>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</si>
  <si>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</si>
  <si>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</si>
  <si>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</si>
  <si>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</si>
  <si>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</si>
  <si>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</si>
  <si>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</si>
  <si>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</si>
  <si>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</si>
  <si>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</si>
  <si>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</si>
  <si>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</si>
  <si>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</si>
  <si>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</si>
  <si>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</si>
  <si>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</si>
  <si>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</si>
  <si>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</si>
  <si>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</si>
  <si>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</si>
  <si>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</si>
  <si>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</si>
  <si>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</si>
  <si>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</si>
  <si>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</si>
  <si>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</si>
  <si>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</si>
  <si>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</si>
  <si>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</si>
  <si>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</si>
  <si>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</si>
  <si>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</si>
  <si>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</si>
  <si>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</si>
  <si>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</si>
  <si>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</si>
  <si>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</si>
  <si>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</si>
  <si>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</si>
  <si>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</si>
  <si>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</si>
  <si>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</si>
  <si>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</si>
  <si>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</si>
  <si>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</si>
  <si>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</si>
  <si>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</si>
  <si>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</si>
  <si>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</si>
  <si>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</si>
  <si>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</si>
  <si>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</si>
  <si>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</si>
  <si>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</si>
  <si>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</si>
  <si>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</si>
  <si>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</si>
  <si>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</si>
  <si>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</si>
  <si>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</si>
  <si>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</si>
  <si>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</si>
  <si>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</si>
  <si>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</si>
  <si>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</si>
  <si>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</si>
  <si>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</si>
  <si>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</si>
  <si>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</si>
  <si>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</si>
  <si>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</si>
  <si>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</si>
  <si>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</si>
  <si>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</si>
  <si>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</si>
  <si>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</si>
  <si>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</si>
  <si>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</si>
  <si>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</si>
  <si>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</si>
  <si>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</si>
  <si>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</si>
  <si>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</si>
  <si>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</si>
  <si>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</si>
  <si>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</si>
  <si>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</si>
  <si>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</si>
  <si>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</si>
  <si>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</si>
  <si>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</si>
  <si>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</si>
  <si>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</si>
  <si>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</si>
  <si>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</si>
  <si>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</si>
  <si>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</si>
  <si>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</si>
  <si>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</si>
  <si>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</si>
  <si>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</si>
  <si>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</si>
  <si>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</si>
  <si>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</si>
  <si>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</si>
  <si>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</si>
  <si>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</si>
  <si>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</si>
  <si>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</si>
  <si>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</si>
  <si>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</si>
  <si>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</si>
  <si>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</si>
  <si>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</si>
  <si>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</si>
  <si>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</si>
  <si>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</si>
  <si>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</si>
  <si>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</si>
  <si>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</si>
  <si>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</si>
  <si>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</si>
  <si>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</si>
  <si>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</si>
  <si>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</si>
  <si>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</si>
  <si>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</si>
  <si>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</si>
  <si>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</si>
  <si>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</si>
  <si>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</si>
  <si>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</si>
  <si>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</si>
  <si>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</si>
  <si>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</si>
  <si>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</si>
  <si>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</si>
  <si>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</si>
  <si>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</si>
  <si>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</si>
  <si>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</si>
  <si>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</si>
  <si>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</si>
  <si>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</si>
  <si>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</si>
  <si>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</si>
  <si>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</si>
  <si>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</si>
  <si>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</si>
  <si>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</si>
  <si>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</si>
  <si>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</si>
  <si>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</si>
  <si>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</si>
  <si>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</si>
  <si>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</si>
  <si>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</si>
  <si>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</si>
  <si>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</si>
  <si>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</si>
  <si>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</si>
  <si>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</si>
  <si>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</si>
  <si>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</si>
  <si>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</si>
  <si>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</si>
  <si>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</si>
  <si>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</si>
  <si>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</si>
  <si>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</si>
  <si>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</si>
  <si>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</si>
  <si>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</si>
  <si>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</si>
  <si>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</si>
  <si>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</si>
  <si>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</si>
  <si>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</si>
  <si>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</si>
  <si>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</si>
  <si>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</si>
  <si>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</si>
  <si>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</si>
  <si>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</si>
  <si>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</si>
  <si>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</si>
  <si>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</si>
  <si>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</si>
  <si>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</si>
  <si>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</si>
  <si>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</si>
  <si>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</si>
  <si>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</si>
  <si>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</si>
  <si>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</si>
  <si>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</si>
  <si>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</si>
  <si>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</si>
  <si>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</si>
  <si>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</si>
  <si>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</si>
  <si>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</si>
  <si>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</si>
  <si>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</si>
  <si>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</si>
  <si>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</si>
  <si>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</si>
  <si>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</si>
  <si>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</si>
  <si>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</si>
  <si>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</si>
  <si>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</si>
  <si>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</si>
  <si>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</si>
  <si>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</si>
  <si>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</si>
  <si>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</si>
  <si>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</si>
  <si>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</si>
  <si>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</si>
  <si>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</si>
  <si>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</si>
  <si>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</si>
  <si>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</si>
  <si>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</si>
  <si>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</si>
  <si>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</si>
  <si>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</si>
  <si>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</si>
  <si>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</si>
  <si>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</si>
  <si>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</si>
  <si>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</si>
  <si>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</si>
  <si>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</si>
  <si>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</si>
  <si>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</si>
  <si>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</si>
  <si>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</si>
  <si>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</si>
  <si>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</si>
  <si>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</si>
  <si>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</si>
  <si>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</si>
  <si>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</si>
  <si>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</si>
  <si>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</si>
  <si>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</si>
  <si>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</si>
  <si>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</si>
  <si>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</si>
  <si>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</si>
  <si>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</si>
  <si>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</si>
  <si>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</si>
  <si>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</si>
  <si>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</si>
  <si>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</si>
  <si>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</si>
  <si>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</si>
  <si>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</si>
  <si>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</si>
  <si>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</si>
  <si>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</si>
  <si>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</si>
  <si>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</si>
  <si>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</si>
  <si>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</si>
  <si>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</si>
  <si>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</si>
  <si>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</si>
  <si>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</si>
  <si>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</si>
  <si>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</si>
  <si>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</si>
  <si>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</si>
  <si>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</si>
  <si>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</si>
  <si>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</si>
  <si>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</si>
  <si>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</si>
  <si>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</si>
  <si>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</si>
  <si>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</si>
  <si>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</si>
  <si>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</si>
  <si>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</si>
  <si>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</si>
  <si>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</si>
  <si>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</si>
  <si>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</si>
  <si>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</si>
  <si>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</si>
  <si>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</si>
  <si>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</si>
  <si>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</si>
  <si>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</si>
  <si>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</si>
  <si>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</si>
  <si>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</si>
  <si>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</si>
  <si>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</si>
  <si>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</si>
  <si>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</si>
  <si>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</si>
  <si>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</si>
  <si>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</si>
  <si>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</si>
  <si>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</si>
  <si>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</si>
  <si>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</si>
  <si>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</si>
  <si>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</si>
  <si>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</si>
  <si>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</si>
  <si>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</si>
  <si>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</si>
  <si>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</si>
  <si>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</si>
  <si>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</si>
  <si>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</si>
  <si>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</si>
  <si>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</si>
  <si>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</si>
  <si>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</si>
  <si>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</si>
  <si>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</si>
  <si>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</si>
  <si>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</si>
  <si>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</si>
  <si>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</si>
  <si>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</si>
  <si>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</si>
  <si>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</si>
  <si>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</si>
  <si>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</si>
  <si>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</si>
  <si>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</si>
  <si>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</si>
  <si>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</si>
  <si>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</si>
  <si>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</si>
  <si>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</si>
  <si>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</si>
  <si>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</si>
  <si>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</si>
  <si>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</si>
  <si>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</si>
  <si>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</si>
  <si>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</si>
  <si>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</si>
  <si>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</si>
  <si>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</si>
  <si>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</si>
  <si>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</si>
  <si>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</si>
  <si>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</si>
  <si>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</si>
  <si>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</si>
  <si>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</si>
  <si>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</si>
  <si>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</si>
  <si>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</si>
  <si>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</si>
  <si>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</si>
  <si>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</si>
  <si>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</si>
  <si>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</si>
  <si>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</si>
  <si>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</si>
  <si>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</si>
  <si>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</si>
  <si>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</si>
  <si>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</si>
  <si>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</si>
  <si>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</si>
  <si>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</si>
  <si>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</si>
  <si>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</si>
  <si>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</si>
  <si>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</si>
  <si>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</si>
  <si>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</si>
  <si>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</si>
  <si>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</si>
  <si>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</si>
  <si>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</si>
  <si>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</si>
  <si>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</si>
  <si>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</si>
  <si>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</si>
  <si>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</si>
  <si>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</si>
  <si>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</si>
  <si>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</si>
  <si>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</si>
  <si>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</si>
  <si>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</si>
  <si>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</si>
  <si>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</si>
  <si>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</si>
  <si>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</si>
  <si>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</si>
  <si>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</si>
  <si>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</si>
  <si>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</si>
  <si>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</si>
  <si>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</si>
  <si>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</si>
  <si>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</si>
  <si>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</si>
  <si>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</si>
  <si>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</si>
  <si>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</si>
  <si>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</si>
  <si>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</si>
  <si>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</si>
  <si>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</si>
  <si>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</si>
  <si>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</si>
  <si>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</si>
  <si>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</si>
  <si>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</si>
  <si>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</si>
  <si>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</si>
  <si>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</si>
  <si>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</si>
  <si>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</si>
  <si>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</si>
  <si>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</si>
  <si>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</si>
  <si>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</si>
  <si>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</si>
  <si>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</si>
  <si>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</si>
  <si>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</si>
  <si>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</si>
  <si>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</si>
  <si>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</si>
  <si>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</si>
  <si>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</si>
  <si>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</si>
  <si>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</si>
  <si>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</si>
  <si>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</si>
  <si>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</si>
  <si>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</si>
  <si>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</si>
  <si>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</si>
  <si>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</si>
  <si>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</si>
  <si>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</si>
  <si>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</si>
  <si>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</si>
  <si>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</si>
  <si>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</si>
  <si>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</si>
  <si>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</si>
  <si>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</si>
  <si>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</si>
  <si>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</si>
  <si>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</si>
  <si>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</si>
  <si>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</si>
  <si>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</si>
  <si>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</si>
  <si>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</si>
  <si>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</si>
  <si>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</si>
  <si>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</si>
  <si>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</si>
  <si>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</si>
  <si>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</si>
  <si>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</si>
  <si>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</si>
  <si>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</si>
  <si>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</si>
  <si>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</si>
  <si>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</si>
  <si>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</si>
  <si>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</si>
  <si>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</si>
  <si>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</si>
  <si>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</si>
  <si>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</si>
  <si>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</si>
  <si>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</si>
  <si>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</si>
  <si>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</si>
  <si>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</si>
  <si>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</si>
  <si>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</si>
  <si>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</si>
  <si>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</si>
  <si>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</si>
  <si>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</si>
  <si>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</si>
  <si>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</si>
  <si>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</si>
  <si>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</si>
  <si>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</si>
  <si>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</si>
  <si>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</si>
  <si>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</si>
  <si>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</si>
  <si>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</si>
  <si>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</si>
  <si>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</si>
  <si>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</si>
  <si>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</si>
  <si>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</si>
  <si>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</si>
  <si>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</si>
  <si>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</si>
  <si>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</si>
  <si>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</si>
  <si>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</si>
  <si>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</si>
  <si>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</si>
  <si>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</si>
  <si>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</si>
  <si>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</si>
  <si>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</si>
  <si>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</si>
  <si>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</si>
  <si>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</si>
  <si>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</si>
  <si>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</si>
  <si>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</si>
  <si>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</si>
  <si>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</si>
  <si>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</si>
  <si>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</si>
  <si>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</si>
  <si>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</si>
  <si>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</si>
  <si>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</si>
  <si>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</si>
  <si>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</si>
  <si>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</si>
  <si>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</si>
  <si>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</si>
  <si>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</si>
  <si>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</si>
  <si>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</si>
  <si>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</si>
  <si>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</si>
  <si>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</si>
  <si>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</si>
  <si>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</si>
  <si>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</si>
  <si>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</si>
  <si>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</si>
  <si>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</si>
  <si>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</si>
  <si>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</si>
  <si>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</si>
  <si>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</si>
  <si>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</si>
  <si>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</si>
  <si>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</si>
  <si>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</si>
  <si>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</si>
  <si>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</si>
  <si>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</si>
  <si>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</si>
  <si>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</si>
  <si>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</si>
  <si>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</si>
  <si>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</si>
  <si>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</si>
  <si>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</si>
  <si>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</si>
  <si>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</si>
  <si>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</si>
  <si>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</si>
  <si>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</si>
  <si>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</si>
  <si>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</si>
  <si>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</si>
  <si>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</si>
  <si>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</si>
  <si>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</si>
  <si>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</si>
  <si>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</si>
  <si>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</si>
  <si>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</si>
  <si>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</si>
  <si>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</si>
  <si>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</si>
  <si>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</si>
  <si>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</si>
  <si>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</si>
  <si>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</si>
  <si>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</si>
  <si>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</si>
  <si>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</si>
  <si>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</si>
  <si>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</si>
  <si>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</si>
  <si>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</si>
  <si>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</si>
  <si>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</si>
  <si>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</si>
  <si>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</si>
  <si>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</si>
  <si>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</si>
  <si>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</si>
  <si>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</si>
  <si>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</si>
  <si>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</si>
  <si>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</si>
  <si>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</si>
  <si>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</si>
  <si>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</si>
  <si>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</si>
  <si>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</si>
  <si>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</si>
  <si>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</si>
  <si>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</si>
  <si>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</si>
  <si>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</si>
  <si>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</si>
  <si>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</si>
  <si>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</si>
  <si>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</si>
  <si>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</si>
  <si>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</si>
  <si>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</si>
  <si>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</si>
  <si>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</si>
  <si>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</si>
  <si>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</si>
  <si>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</si>
  <si>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</si>
  <si>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</si>
  <si>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</si>
  <si>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</si>
  <si>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</si>
  <si>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</si>
  <si>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</si>
  <si>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</si>
  <si>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</si>
  <si>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</si>
  <si>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</si>
  <si>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</si>
  <si>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</si>
  <si>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</si>
  <si>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</si>
  <si>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</si>
  <si>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</si>
  <si>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</si>
  <si>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</si>
  <si>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</si>
  <si>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</si>
  <si>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</si>
  <si>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</si>
  <si>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</si>
  <si>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</si>
  <si>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</si>
  <si>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</si>
  <si>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</si>
  <si>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</si>
  <si>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</si>
  <si>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</si>
  <si>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</si>
  <si>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</si>
  <si>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</si>
  <si>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</si>
  <si>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</si>
  <si>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</si>
  <si>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</si>
  <si>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</si>
  <si>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</si>
  <si>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</si>
  <si>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</si>
  <si>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</si>
  <si>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</si>
  <si>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</si>
  <si>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</si>
  <si>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</si>
  <si>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</si>
  <si>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</si>
  <si>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</si>
  <si>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</si>
  <si>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</si>
  <si>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</si>
  <si>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</si>
  <si>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</si>
  <si>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</si>
  <si>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</si>
  <si>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</si>
  <si>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</si>
  <si>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</si>
  <si>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</si>
  <si>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</si>
  <si>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</si>
  <si>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</si>
  <si>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</si>
  <si>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</si>
  <si>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</si>
  <si>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</si>
  <si>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</si>
  <si>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</si>
  <si>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</si>
  <si>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</si>
  <si>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</si>
  <si>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</si>
  <si>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</si>
  <si>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</si>
  <si>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</si>
  <si>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</si>
  <si>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</si>
  <si>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</si>
  <si>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</si>
  <si>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</si>
  <si>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</si>
  <si>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</si>
  <si>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</si>
  <si>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</si>
  <si>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</si>
  <si>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</si>
  <si>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</si>
  <si>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</si>
  <si>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</si>
  <si>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</si>
  <si>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</si>
  <si>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</si>
  <si>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</si>
  <si>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</si>
  <si>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</si>
  <si>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</si>
  <si>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</si>
  <si>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</si>
  <si>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</si>
  <si>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</si>
  <si>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</si>
  <si>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</si>
  <si>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</si>
  <si>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</si>
  <si>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</si>
  <si>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</si>
  <si>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</si>
  <si>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</si>
  <si>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</si>
  <si>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</si>
  <si>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</si>
  <si>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</si>
  <si>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</si>
  <si>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</si>
  <si>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</si>
  <si>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</si>
  <si>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</si>
  <si>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</si>
  <si>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</si>
  <si>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</si>
  <si>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</si>
  <si>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</si>
  <si>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</si>
  <si>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</si>
  <si>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</si>
  <si>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</si>
  <si>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</si>
  <si>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</si>
  <si>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</si>
  <si>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</si>
  <si>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</si>
  <si>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</si>
  <si>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</si>
  <si>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</si>
  <si>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</si>
  <si>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</si>
  <si>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</si>
  <si>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</si>
  <si>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</si>
  <si>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</si>
  <si>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</si>
  <si>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</si>
  <si>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</si>
  <si>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</si>
  <si>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</si>
  <si>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</si>
  <si>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</si>
  <si>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</si>
  <si>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</si>
  <si>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</si>
  <si>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</si>
  <si>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</si>
  <si>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</si>
  <si>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</si>
  <si>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</si>
  <si>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</si>
  <si>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</si>
  <si>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</si>
  <si>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</si>
  <si>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</si>
  <si>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</si>
  <si>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</si>
  <si>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</si>
  <si>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</si>
  <si>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</si>
  <si>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</si>
  <si>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</si>
  <si>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</si>
  <si>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</si>
  <si>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</si>
  <si>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</si>
  <si>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</si>
  <si>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</si>
  <si>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</si>
  <si>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</si>
  <si>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</si>
  <si>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</si>
  <si>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</si>
  <si>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</si>
  <si>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</si>
  <si>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</si>
  <si>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</si>
  <si>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</si>
  <si>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</si>
  <si>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</si>
  <si>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</si>
  <si>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</si>
  <si>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</si>
  <si>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</si>
  <si>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</si>
  <si>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</si>
  <si>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</si>
  <si>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</si>
  <si>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</si>
  <si>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</si>
  <si>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</si>
  <si>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</si>
  <si>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</si>
  <si>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</si>
  <si>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</si>
  <si>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</si>
  <si>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</si>
  <si>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</si>
  <si>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</si>
  <si>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</si>
  <si>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</si>
  <si>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</si>
  <si>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</si>
  <si>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</si>
  <si>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</si>
  <si>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</si>
  <si>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</si>
  <si>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</si>
  <si>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</si>
  <si>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</si>
  <si>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</si>
  <si>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</si>
  <si>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</si>
  <si>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</si>
  <si>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</si>
  <si>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</si>
  <si>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</si>
  <si>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</si>
  <si>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</si>
  <si>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</si>
  <si>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</si>
  <si>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</si>
  <si>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</si>
  <si>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</si>
  <si>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</si>
  <si>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</si>
  <si>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</si>
  <si>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</si>
  <si>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</si>
  <si>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</si>
  <si>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</si>
  <si>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</si>
  <si>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</si>
  <si>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</si>
  <si>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</si>
  <si>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</si>
  <si>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</si>
  <si>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</si>
  <si>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</si>
  <si>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</si>
  <si>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</si>
  <si>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</si>
  <si>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</si>
  <si>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</si>
  <si>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</si>
  <si>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</si>
  <si>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</si>
  <si>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</si>
  <si>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</si>
  <si>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</si>
  <si>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</si>
  <si>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</si>
  <si>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</si>
  <si>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</si>
  <si>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</si>
  <si>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</si>
  <si>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</si>
  <si>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</si>
  <si>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</si>
  <si>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</si>
  <si>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</si>
  <si>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</si>
  <si>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</si>
  <si>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</si>
  <si>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</si>
  <si>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</si>
  <si>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</si>
  <si>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</si>
  <si>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</si>
  <si>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</si>
  <si>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</si>
  <si>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</si>
  <si>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</si>
  <si>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</si>
  <si>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</si>
  <si>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</si>
  <si>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</si>
  <si>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</si>
  <si>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</si>
  <si>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</si>
  <si>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</si>
  <si>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</si>
  <si>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</si>
  <si>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</si>
  <si>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</si>
  <si>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</si>
  <si>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</si>
  <si>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</si>
  <si>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</si>
  <si>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</si>
  <si>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</si>
  <si>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</si>
  <si>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</si>
  <si>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</si>
  <si>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</si>
  <si>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</si>
  <si>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</si>
  <si>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</si>
  <si>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</si>
  <si>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</si>
  <si>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</si>
  <si>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</si>
  <si>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</si>
  <si>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</si>
  <si>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</si>
  <si>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</si>
  <si>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</si>
  <si>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</si>
  <si>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</si>
  <si>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</si>
  <si>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</si>
  <si>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</si>
  <si>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</si>
  <si>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</si>
  <si>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</si>
  <si>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</si>
  <si>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</si>
  <si>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</si>
  <si>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</si>
  <si>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</si>
  <si>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</si>
  <si>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</si>
  <si>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</si>
  <si>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</si>
  <si>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</si>
  <si>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</si>
  <si>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</si>
  <si>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</si>
  <si>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</si>
  <si>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</si>
  <si>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</si>
  <si>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</si>
  <si>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</si>
  <si>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</si>
  <si>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</si>
  <si>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</si>
  <si>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</si>
  <si>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</si>
  <si>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</si>
  <si>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</si>
  <si>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</si>
  <si>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</si>
  <si>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</si>
  <si>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</si>
  <si>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</si>
  <si>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</si>
  <si>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</si>
  <si>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</si>
  <si>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</si>
  <si>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</si>
  <si>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</si>
  <si>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</si>
  <si>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</si>
  <si>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</si>
  <si>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</si>
  <si>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</si>
  <si>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</si>
  <si>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</si>
  <si>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</si>
  <si>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</si>
  <si>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</si>
  <si>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</si>
  <si>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</si>
  <si>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</si>
  <si>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</si>
  <si>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</si>
  <si>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</si>
  <si>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</si>
  <si>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</si>
  <si>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</si>
  <si>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</si>
  <si>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</si>
  <si>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</si>
  <si>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</si>
  <si>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</si>
  <si>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</si>
  <si>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</si>
  <si>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</si>
  <si>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</si>
  <si>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</si>
  <si>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</si>
  <si>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</si>
  <si>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</si>
  <si>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</si>
  <si>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</si>
  <si>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</si>
  <si>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</si>
  <si>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</si>
  <si>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</si>
  <si>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</si>
  <si>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</si>
  <si>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</si>
  <si>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</si>
  <si>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</si>
  <si>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</si>
  <si>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</si>
  <si>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</si>
  <si>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</si>
  <si>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</si>
  <si>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</si>
  <si>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</si>
  <si>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</si>
  <si>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</si>
  <si>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</si>
  <si>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</si>
  <si>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</si>
  <si>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</si>
  <si>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</si>
  <si>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</si>
  <si>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</si>
  <si>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</si>
  <si>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</si>
  <si>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</si>
  <si>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</si>
  <si>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</si>
  <si>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</si>
  <si>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</si>
  <si>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</si>
  <si>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</si>
  <si>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</si>
  <si>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</si>
  <si>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</si>
  <si>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</si>
  <si>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</si>
  <si>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</si>
  <si>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</si>
  <si>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</si>
  <si>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</si>
  <si>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</si>
  <si>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</si>
  <si>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</si>
  <si>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</si>
  <si>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</si>
  <si>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</si>
  <si>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</si>
  <si>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</si>
  <si>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</si>
  <si>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</si>
  <si>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</si>
  <si>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</si>
  <si>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</si>
  <si>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</si>
  <si>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</si>
  <si>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</si>
  <si>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</si>
  <si>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</si>
  <si>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</si>
  <si>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</si>
  <si>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</si>
  <si>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</si>
  <si>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</si>
  <si>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</si>
  <si>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</si>
  <si>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</si>
  <si>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</si>
  <si>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</si>
  <si>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</si>
  <si>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</si>
  <si>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</si>
  <si>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</si>
  <si>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</si>
  <si>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</si>
  <si>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</si>
  <si>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</si>
  <si>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</si>
  <si>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</si>
  <si>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</si>
  <si>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</si>
  <si>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</si>
  <si>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</si>
  <si>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</si>
  <si>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</si>
  <si>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</si>
  <si>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</si>
  <si>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</si>
  <si>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</si>
  <si>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</si>
  <si>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</si>
  <si>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</si>
  <si>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</si>
  <si>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</si>
  <si>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</si>
  <si>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</si>
  <si>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</si>
  <si>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</si>
  <si>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</si>
  <si>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</si>
  <si>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</si>
  <si>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</si>
  <si>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</si>
  <si>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</si>
  <si>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</si>
  <si>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</si>
  <si>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</si>
  <si>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</si>
  <si>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</si>
  <si>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</si>
  <si>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</si>
  <si>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</si>
  <si>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</si>
  <si>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</si>
  <si>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</si>
  <si>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</si>
  <si>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</si>
  <si>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</si>
  <si>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</si>
  <si>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</si>
  <si>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</si>
  <si>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</si>
  <si>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</si>
  <si>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</si>
  <si>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</si>
  <si>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</si>
  <si>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</si>
  <si>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</si>
  <si>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</si>
  <si>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</si>
  <si>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</si>
  <si>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</si>
  <si>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</si>
  <si>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</si>
  <si>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</si>
  <si>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</si>
  <si>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</si>
  <si>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</si>
  <si>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</si>
  <si>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</si>
  <si>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</si>
  <si>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</si>
  <si>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</si>
  <si>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</si>
  <si>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</si>
  <si>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</si>
  <si>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</si>
  <si>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</si>
  <si>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</si>
  <si>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</si>
  <si>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</si>
  <si>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</si>
  <si>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</si>
  <si>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</si>
  <si>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</si>
  <si>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</si>
  <si>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</si>
  <si>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</si>
  <si>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</si>
  <si>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</si>
  <si>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</si>
  <si>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</si>
  <si>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</si>
  <si>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</si>
  <si>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</si>
  <si>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</si>
  <si>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</si>
  <si>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</si>
  <si>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</si>
  <si>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</si>
  <si>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</si>
  <si>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</si>
  <si>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</si>
  <si>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</si>
  <si>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</si>
  <si>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</si>
  <si>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</si>
  <si>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</si>
  <si>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</si>
  <si>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</si>
  <si>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</si>
  <si>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</si>
  <si>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</si>
  <si>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</si>
  <si>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</si>
  <si>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</si>
  <si>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</si>
  <si>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</si>
  <si>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</si>
  <si>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</si>
  <si>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</si>
  <si>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</si>
  <si>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</si>
  <si>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</si>
  <si>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</si>
  <si>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</si>
  <si>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</si>
  <si>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</si>
  <si>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</si>
  <si>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</si>
  <si>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</si>
  <si>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</si>
  <si>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</si>
  <si>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</si>
  <si>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</si>
  <si>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</si>
  <si>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</si>
  <si>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</si>
  <si>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</si>
  <si>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</si>
  <si>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</si>
  <si>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</si>
  <si>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</si>
  <si>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</si>
  <si>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</si>
  <si>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</si>
  <si>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</si>
  <si>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</si>
  <si>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</si>
  <si>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</si>
  <si>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</si>
  <si>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</si>
  <si>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</si>
  <si>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</si>
  <si>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</si>
  <si>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</si>
  <si>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</si>
  <si>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</si>
  <si>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</si>
  <si>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</si>
  <si>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</si>
  <si>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</si>
  <si>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</si>
  <si>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</si>
  <si>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</si>
  <si>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</si>
  <si>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</si>
  <si>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</si>
  <si>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</si>
  <si>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</si>
  <si>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</si>
  <si>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</si>
  <si>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</si>
  <si>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</si>
  <si>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</si>
  <si>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</si>
  <si>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</si>
  <si>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</si>
  <si>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</si>
  <si>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</si>
  <si>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</si>
  <si>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</si>
  <si>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</si>
  <si>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</si>
  <si>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</si>
  <si>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</si>
  <si>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</si>
  <si>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</si>
  <si>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</si>
  <si>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</si>
  <si>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</si>
  <si>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</si>
  <si>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</si>
  <si>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</si>
  <si>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</si>
  <si>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</si>
  <si>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</si>
  <si>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</si>
  <si>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</si>
  <si>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</si>
  <si>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</si>
  <si>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</si>
  <si>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</si>
  <si>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</si>
  <si>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</si>
  <si>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</si>
  <si>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</si>
  <si>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</si>
  <si>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</si>
  <si>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</si>
  <si>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</si>
  <si>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</si>
  <si>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</si>
  <si>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</si>
  <si>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</si>
  <si>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</si>
  <si>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</si>
  <si>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</si>
  <si>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</si>
  <si>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</si>
  <si>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</si>
  <si>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</si>
  <si>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</si>
  <si>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</si>
  <si>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</si>
  <si>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</si>
  <si>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</si>
  <si>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</si>
  <si>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</si>
  <si>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</si>
  <si>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</si>
  <si>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</si>
  <si>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</si>
  <si>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</si>
  <si>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</si>
  <si>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</si>
  <si>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</si>
  <si>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</si>
  <si>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</si>
  <si>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</si>
  <si>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</si>
  <si>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</si>
  <si>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</si>
  <si>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</si>
  <si>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</si>
  <si>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</si>
  <si>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</si>
  <si>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</si>
  <si>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</si>
  <si>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</si>
  <si>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</si>
  <si>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</si>
  <si>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</si>
  <si>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</si>
  <si>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</si>
  <si>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</si>
  <si>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</si>
  <si>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</si>
  <si>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</si>
  <si>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</si>
  <si>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</si>
  <si>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</si>
  <si>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</si>
  <si>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</si>
  <si>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</si>
  <si>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</si>
  <si>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</si>
  <si>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</si>
  <si>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</si>
  <si>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</si>
  <si>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</si>
  <si>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</si>
  <si>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</si>
  <si>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</si>
  <si>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</si>
  <si>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</si>
  <si>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</si>
  <si>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</si>
  <si>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</si>
  <si>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</si>
  <si>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</si>
  <si>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</si>
  <si>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</si>
  <si>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</si>
  <si>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</si>
  <si>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</si>
  <si>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</si>
  <si>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</si>
  <si>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</si>
  <si>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</si>
  <si>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</si>
  <si>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</si>
  <si>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</si>
  <si>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</si>
  <si>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</si>
  <si>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</si>
  <si>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</si>
  <si>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</si>
  <si>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</si>
  <si>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</si>
  <si>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</si>
  <si>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</si>
  <si>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</si>
  <si>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</si>
  <si>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</si>
  <si>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</si>
  <si>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</si>
  <si>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</si>
  <si>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</si>
  <si>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</si>
  <si>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</si>
  <si>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</si>
  <si>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</si>
  <si>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</si>
  <si>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</si>
  <si>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</si>
  <si>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</si>
  <si>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</si>
  <si>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</si>
  <si>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</si>
  <si>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</si>
  <si>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</si>
  <si>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</si>
  <si>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</si>
  <si>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</si>
  <si>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</si>
  <si>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</si>
  <si>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</si>
  <si>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</si>
  <si>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</si>
  <si>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</si>
  <si>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</si>
  <si>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</si>
  <si>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</si>
  <si>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</si>
  <si>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</si>
  <si>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</si>
  <si>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</si>
  <si>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</si>
  <si>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</si>
  <si>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</si>
  <si>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</si>
  <si>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</si>
  <si>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</si>
  <si>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</si>
  <si>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</si>
  <si>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</si>
  <si>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</si>
  <si>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</si>
  <si>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</si>
  <si>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</si>
  <si>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</si>
  <si>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</si>
  <si>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</si>
  <si>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</si>
  <si>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</si>
  <si>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</si>
  <si>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</si>
  <si>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</si>
  <si>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</si>
  <si>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</si>
  <si>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</si>
  <si>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</si>
  <si>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</si>
  <si>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</si>
  <si>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</si>
  <si>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</si>
  <si>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</si>
  <si>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</si>
  <si>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</si>
  <si>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</si>
  <si>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</si>
  <si>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</si>
  <si>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</si>
  <si>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</si>
  <si>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</si>
  <si>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</si>
  <si>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</si>
  <si>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</si>
  <si>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</si>
  <si>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</si>
  <si>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</si>
  <si>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</si>
  <si>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</si>
  <si>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</si>
  <si>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</si>
  <si>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</si>
  <si>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</si>
  <si>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</si>
  <si>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</si>
  <si>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</si>
  <si>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</si>
  <si>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</si>
  <si>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</si>
  <si>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</si>
  <si>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</si>
  <si>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</si>
  <si>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</si>
  <si>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</si>
  <si>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</si>
  <si>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</si>
  <si>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</si>
  <si>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</si>
  <si>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</si>
  <si>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</si>
  <si>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</si>
  <si>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</si>
  <si>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</si>
  <si>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</si>
  <si>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</si>
  <si>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</si>
  <si>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</si>
  <si>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</si>
  <si>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</si>
  <si>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</si>
  <si>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</si>
  <si>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</si>
  <si>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</si>
  <si>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</si>
  <si>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</si>
  <si>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</si>
  <si>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</si>
  <si>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</si>
  <si>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</si>
  <si>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</si>
  <si>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</si>
  <si>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</si>
  <si>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</si>
  <si>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</si>
  <si>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</si>
  <si>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</si>
  <si>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</si>
  <si>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</si>
  <si>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</si>
  <si>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</si>
  <si>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</si>
  <si>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</si>
  <si>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</si>
  <si>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</si>
  <si>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</si>
  <si>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</si>
  <si>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</si>
  <si>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</si>
  <si>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</si>
  <si>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</si>
  <si>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</si>
  <si>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</si>
  <si>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</si>
  <si>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</si>
  <si>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</si>
  <si>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</si>
  <si>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</si>
  <si>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</si>
  <si>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</si>
  <si>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</si>
  <si>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</si>
  <si>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</si>
  <si>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</si>
  <si>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</si>
  <si>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</si>
  <si>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</si>
  <si>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</si>
  <si>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</si>
  <si>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</si>
  <si>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</si>
  <si>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</si>
  <si>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</si>
  <si>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</si>
  <si>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</si>
  <si>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</si>
  <si>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</si>
  <si>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</si>
  <si>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</si>
  <si>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</si>
  <si>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</si>
  <si>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</si>
  <si>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</si>
  <si>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</si>
  <si>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</si>
  <si>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</si>
  <si>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</si>
  <si>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</si>
  <si>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</si>
  <si>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</si>
  <si>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</si>
  <si>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</si>
  <si>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</si>
  <si>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</si>
  <si>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</si>
  <si>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</si>
  <si>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</si>
  <si>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</si>
  <si>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</si>
  <si>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</si>
  <si>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</si>
  <si>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</si>
  <si>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</si>
  <si>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</si>
  <si>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</si>
  <si>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</si>
  <si>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</si>
  <si>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</si>
  <si>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</si>
  <si>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</si>
  <si>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</si>
  <si>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</si>
  <si>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</si>
  <si>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</si>
  <si>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</si>
  <si>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</si>
  <si>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</si>
  <si>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</si>
  <si>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</si>
  <si>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</si>
  <si>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</si>
  <si>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</si>
  <si>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</si>
  <si>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</si>
  <si>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</si>
  <si>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</si>
  <si>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</si>
  <si>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</si>
  <si>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</si>
  <si>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</si>
  <si>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</si>
  <si>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</si>
  <si>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</si>
  <si>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</si>
  <si>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</si>
  <si>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</si>
  <si>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</si>
  <si>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</si>
  <si>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</si>
  <si>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</si>
  <si>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</si>
  <si>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</si>
  <si>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</si>
  <si>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</si>
  <si>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</si>
  <si>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</si>
  <si>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</si>
  <si>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</si>
  <si>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</si>
  <si>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</si>
  <si>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</si>
  <si>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</si>
  <si>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</si>
  <si>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</si>
  <si>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</si>
  <si>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</si>
  <si>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</si>
  <si>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</si>
  <si>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</si>
  <si>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</si>
  <si>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</si>
  <si>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</si>
  <si>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</si>
  <si>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</si>
  <si>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</si>
  <si>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</si>
  <si>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</si>
  <si>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</si>
  <si>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</si>
  <si>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</si>
  <si>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</si>
  <si>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</si>
  <si>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</si>
  <si>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</si>
  <si>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</si>
  <si>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</si>
  <si>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</si>
  <si>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</si>
  <si>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</si>
  <si>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</si>
  <si>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</si>
  <si>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</si>
  <si>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</si>
  <si>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</si>
  <si>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</si>
  <si>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</si>
  <si>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</si>
  <si>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</si>
  <si>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</si>
  <si>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</si>
  <si>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</si>
  <si>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</si>
  <si>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</si>
  <si>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</si>
  <si>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</si>
  <si>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</si>
  <si>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</si>
  <si>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</si>
  <si>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</si>
  <si>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</si>
  <si>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</si>
  <si>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</si>
  <si>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</si>
  <si>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</si>
  <si>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</si>
  <si>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</si>
  <si>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</si>
  <si>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</si>
  <si>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</si>
  <si>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</si>
  <si>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</si>
  <si>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</si>
  <si>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</si>
  <si>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</si>
  <si>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</si>
  <si>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</si>
  <si>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</si>
  <si>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</si>
  <si>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</si>
  <si>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</si>
  <si>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</si>
  <si>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</si>
  <si>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</si>
  <si>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</si>
  <si>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</si>
  <si>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</si>
  <si>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</si>
  <si>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</si>
  <si>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</si>
  <si>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</si>
  <si>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</si>
  <si>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</si>
  <si>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</si>
  <si>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</si>
  <si>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</si>
  <si>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</si>
  <si>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</si>
  <si>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</si>
  <si>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</si>
  <si>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</si>
  <si>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</si>
  <si>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</si>
  <si>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</si>
  <si>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</si>
  <si>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</si>
  <si>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</si>
  <si>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</si>
  <si>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</si>
  <si>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</si>
  <si>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</si>
  <si>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</si>
  <si>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</si>
  <si>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</si>
  <si>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</si>
  <si>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</si>
  <si>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</si>
  <si>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</si>
  <si>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</si>
  <si>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</si>
  <si>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</si>
  <si>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</si>
  <si>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</si>
  <si>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</si>
  <si>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</si>
  <si>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</si>
  <si>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</si>
  <si>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</si>
  <si>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</si>
  <si>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</si>
  <si>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</si>
  <si>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</si>
  <si>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</si>
  <si>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</si>
  <si>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</si>
  <si>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</si>
  <si>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</si>
  <si>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</si>
  <si>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</si>
  <si>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</si>
  <si>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</si>
  <si>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</si>
  <si>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</si>
  <si>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</si>
  <si>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</si>
  <si>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</si>
  <si>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</si>
  <si>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</si>
  <si>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</si>
  <si>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</si>
  <si>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</si>
  <si>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</si>
  <si>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</si>
  <si>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</si>
  <si>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</si>
  <si>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</si>
  <si>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</si>
  <si>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</si>
  <si>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</si>
  <si>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</si>
  <si>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</si>
  <si>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</si>
  <si>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</si>
  <si>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</si>
  <si>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</si>
  <si>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</si>
  <si>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</si>
  <si>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</si>
  <si>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</si>
  <si>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</si>
  <si>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</si>
  <si>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</si>
  <si>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</si>
  <si>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</si>
  <si>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</si>
  <si>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</si>
  <si>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</si>
  <si>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</si>
  <si>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</si>
  <si>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</si>
  <si>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</si>
  <si>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</si>
  <si>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</si>
  <si>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</si>
  <si>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</si>
  <si>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</si>
  <si>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</si>
  <si>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</si>
  <si>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</si>
  <si>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</si>
  <si>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</si>
  <si>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</si>
  <si>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</si>
  <si>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</si>
  <si>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</si>
  <si>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</si>
  <si>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</si>
  <si>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</si>
  <si>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</si>
  <si>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</si>
  <si>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</si>
  <si>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</si>
  <si>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</si>
  <si>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</si>
  <si>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</si>
  <si>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</si>
  <si>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</si>
  <si>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</si>
  <si>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</si>
  <si>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</si>
  <si>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</si>
  <si>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</si>
  <si>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</si>
  <si>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</si>
  <si>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</si>
  <si>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</si>
  <si>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</si>
  <si>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</si>
  <si>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</si>
  <si>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</si>
  <si>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</si>
  <si>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</si>
  <si>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</si>
  <si>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</si>
  <si>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</si>
  <si>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</si>
  <si>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</si>
  <si>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</si>
  <si>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</si>
  <si>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</si>
  <si>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</si>
  <si>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</si>
  <si>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</si>
  <si>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</si>
  <si>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</si>
  <si>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</si>
  <si>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</si>
  <si>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</si>
  <si>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</si>
  <si>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</si>
  <si>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</si>
  <si>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</si>
  <si>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</si>
  <si>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</si>
  <si>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</si>
  <si>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</si>
  <si>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</si>
  <si>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</si>
  <si>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</si>
  <si>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</si>
  <si>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</si>
  <si>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</si>
  <si>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</si>
  <si>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</si>
  <si>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</si>
  <si>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</si>
  <si>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</si>
  <si>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</si>
  <si>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</si>
  <si>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</si>
  <si>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</si>
  <si>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</si>
  <si>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</si>
  <si>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</si>
  <si>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</si>
  <si>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</si>
  <si>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</si>
  <si>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</si>
  <si>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</si>
  <si>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</si>
  <si>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</si>
  <si>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</si>
  <si>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</si>
  <si>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</si>
  <si>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</si>
  <si>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</si>
  <si>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</si>
  <si>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</si>
  <si>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</si>
  <si>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</si>
  <si>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</si>
  <si>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</si>
  <si>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</si>
  <si>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</si>
  <si>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</si>
  <si>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</si>
  <si>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</si>
  <si>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</si>
  <si>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</si>
  <si>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</si>
  <si>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</si>
  <si>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</si>
  <si>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</si>
  <si>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</si>
  <si>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</si>
  <si>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</si>
  <si>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</si>
  <si>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</si>
  <si>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</si>
  <si>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</si>
  <si>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</si>
  <si>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</si>
  <si>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</si>
  <si>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</si>
  <si>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</si>
  <si>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</si>
  <si>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</si>
  <si>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</si>
  <si>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</si>
  <si>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</si>
  <si>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</si>
  <si>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</si>
  <si>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</si>
  <si>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</si>
  <si>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</si>
  <si>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</si>
  <si>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</si>
  <si>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</si>
  <si>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</si>
  <si>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</si>
  <si>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</si>
  <si>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</si>
  <si>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</si>
  <si>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</si>
  <si>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</si>
  <si>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</si>
  <si>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</si>
  <si>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</si>
  <si>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</si>
  <si>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</si>
  <si>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</si>
  <si>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</si>
  <si>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</si>
  <si>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</si>
  <si>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</si>
  <si>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</si>
  <si>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</si>
  <si>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</si>
  <si>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</si>
  <si>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</si>
  <si>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</si>
  <si>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</si>
  <si>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</si>
  <si>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</si>
  <si>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</si>
  <si>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</si>
  <si>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</si>
  <si>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</si>
  <si>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</si>
  <si>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</si>
  <si>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</si>
  <si>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</si>
  <si>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</si>
  <si>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</si>
  <si>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</si>
  <si>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</si>
  <si>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</si>
  <si>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</si>
  <si>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</si>
  <si>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</si>
  <si>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</si>
  <si>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</si>
  <si>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</si>
  <si>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</si>
  <si>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</si>
  <si>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</si>
  <si>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</si>
  <si>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</si>
  <si>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</si>
  <si>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</si>
  <si>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</si>
  <si>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</si>
  <si>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 xml:space="preserve">A reduction of one from last year due to the discontinuance of Llyn Bran water reservoir. Three reservoirs are reported in APR 6A.1 as they are balancing reservoirs and are not included within the 73 reported in 5A.18. </t>
  </si>
  <si>
    <t xml:space="preserve">See line 5A.18  - A decrease of 257Ml for Llyn Bran reservoir. </t>
  </si>
  <si>
    <t xml:space="preserve">In preparing our 2022/23 Average Pumping Head (APH) data we have identified that in previous years Cansaston Bridge pumps were incorrectly allocated to the APH – raw water transport instead of this line. The restated figures are 38.83 m.hd for 2020/21 and 34.17 m.hd for 2021/22. See 6A.6 commentary. 
All sites reported in line have live flow data, so 100% of the APH figure for this line is calculated using live flow data. 37% of the sites reported for this line have live pressure date, which equates to 62%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</si>
  <si>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This relates to the abstraction of raw water from Elan Valley to Severn Trent Water</t>
  </si>
  <si>
    <t xml:space="preserve">In preparing our 2022/23 Average Pumping Head (APH) data we have identified that in previous years Cansaston Bridge pumps were incorrectly allocated to this line instead of the APH – raw water abstraction line. The restated figures are 16.82 m.hd for 2020/21 and 14.95 m.hd for 2021/22. See 5A.23 commentary. 
All sites reported in this line have live flow data so 100% of the APH figure for this line is calculated using live flow data. 15% of the sites reported for this line have live pressure date, which equates to 1%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</si>
  <si>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Import from United Utilities Heronbridge</t>
  </si>
  <si>
    <t xml:space="preserve">During the year we have undertaken a detailed review on the treatment categories at each of our Water Treatment Works (WTW). As a result of this review it has been identified we have incorrectly categorised our WTW in previous years. The majority of the changes have increased our classification. This has primarily resulted from including Dissolved Air Flotation (DAF) treatment as a W4/W5 process. DAF isn’t included as an example in the Ofwat guidance, but our analysis shows that it’s costs more per ML than two other W4/W5 processes (UV and Activated carbon). We have written to Ofwat, separately to restate our figures from 2011/12. This also results in a change to the associated water treated against each WTW categorisation. 
In addition, we have included four bulk import works from Severn Trent Water (two surface water W4 works, one surface water W4 works and one ground water W5 works).  </t>
  </si>
  <si>
    <t>See 6A.13</t>
  </si>
  <si>
    <t>No schemes have been delivered.</t>
  </si>
  <si>
    <t xml:space="preserve">In preparing our 2022/23 Average Pumping Head (APH) data we have identified that in previous years some erroneous historical lift values were being using as part of the calculation for this line, in the absence of measured pressure data. As a resulted we reviewed these and updated with a more representative estimation. This has led to a reduction in the APH for water treatment.  The restated figures are 12.85 m.hd for 2020/21 and 12.96 m.hd for 2021/22. 
All sites reported in this line have live flow data so 100% of the APH figure for this line is calculated using live flow data. None of our treatment works have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</si>
  <si>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 xml:space="preserve">An increase of five from last year. One new water pumping station was commissioned in the year. As a result of data quality improvements we have identified four water pumping stations should have been reported last year.  Restated figure for APR 2021/22 is 536 (Reported figure was 532. </t>
  </si>
  <si>
    <t>A decrease of seven as a result of a new service reservoir being built (Pengarnddu SRV No 3) and eight being decommissioned in the year</t>
  </si>
  <si>
    <t xml:space="preserve">All sites reported in this line have live flow data so 100% of the Average Pumping Head (APH) figure for this line is calculated using live flow data. 70% of the sites reported for this line have live pressure date, which equates to 52% of the APH value for this line being calculated using live pressure data. 
We will continue our data improvement exercise during the year with the aim to increase the number of sites calculated using live pressure data. This improvement could identify some future changes to previous APH figures. 
Bulk supply exports have been excluded in line with RAG 2.09 reporting guidance on the definition of APH. </t>
  </si>
  <si>
    <t>See APR part 3 (En4 Leakage)</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</si>
  <si>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</si>
  <si>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6C.9</t>
  </si>
  <si>
    <t>See 6C.9 - Line 6C.16 definition has changed this year to include mains laid between 2001 and 2020. Previously this line included all mains from 2001 onwards so in previous submissions would have included the mains that are now included in the new line 6C.17</t>
  </si>
  <si>
    <t xml:space="preserve">We have continued to use the lead predictor model (update in APR 2021/22 commentary). </t>
  </si>
  <si>
    <t>The method for estimating the number of galvanised iron communication pipes has improved for this year with a new predictor model.</t>
  </si>
  <si>
    <t xml:space="preserve">We have replaced three lead communication pipes for water quality. </t>
  </si>
  <si>
    <t>Due to the change in line definition we have not excluded the area supplied by NAVs, hence the increase of 2k from last year.</t>
  </si>
  <si>
    <t>Provisional data provided by DWI 28/04/23, revised 25/05/23</t>
  </si>
  <si>
    <t>Provisional data provided by DWI 28/04/23</t>
  </si>
  <si>
    <t xml:space="preserve">During the year we will be undertaking a review of processes used by the Operations teams to monitor and report on low pressure. The aim of this review is to improve consistency and effectiveness of the processes, by using permanent pressure loggers and increased automation of monitoring. This will improve data quality and we will provide an update in the 2023/24 APR.  </t>
  </si>
  <si>
    <t>BANGOR TREBORTH</t>
  </si>
  <si>
    <t>COG MOORS (DINAS POWYS) STW</t>
  </si>
  <si>
    <t>FIVE FORDS (WREXHAM)</t>
  </si>
  <si>
    <t>GANOL STW</t>
  </si>
  <si>
    <t>GARNSWLLT</t>
  </si>
  <si>
    <t>HEREFORD EIGN</t>
  </si>
  <si>
    <t>LLANASA (NR PRESTATYN)</t>
  </si>
  <si>
    <t>LLANELLI COASTAL</t>
  </si>
  <si>
    <t>NEWPORT NASH</t>
  </si>
  <si>
    <t>PEN-Y-BONT (MERTHYR MAWR)</t>
  </si>
  <si>
    <t>PONTHIR WWTW</t>
  </si>
  <si>
    <t>QUEENSFERRY STW</t>
  </si>
  <si>
    <t>ROTHERWAS (HEREFORD) STW</t>
  </si>
  <si>
    <t>Consistent with previous years we have reported the tighter consent of the UWWTD or WRA permits.</t>
  </si>
  <si>
    <t xml:space="preserve">There was one s101A scheme at Middlegates, Abergele delivered in 2022-23 to serve six properties. </t>
  </si>
  <si>
    <t>See 7C.1</t>
  </si>
  <si>
    <t>An increase of 28 compared to last year. One new pumping station has been commissioned in the year and two have been adopted. Two pumping stations have been decommissioned in the year. As a result of data quality improvements, we have identified 27 pumping stations should have been reported last year. The restated figure for 2021/22 is 2,504 (previously submitted as 2,477).</t>
  </si>
  <si>
    <t>We have not made any exclusions for third party incidents.</t>
  </si>
  <si>
    <t xml:space="preserve">See APR Part 3 Rt3 - Sewer collapses. </t>
  </si>
  <si>
    <t>Further to Ofwat's APR clarification question and answer dated 9 June 2023 related to 7C.8 and 10,  as in previous years we have included 11 Pumping stations assets with settled storm discharges within the reported number for this line. To ensure consistency of reporting we will continue to follow this approach until additional clarity/guidance is provided.</t>
  </si>
  <si>
    <t>The total length of Private Sewer Transfer (PST) sewers currently held within GIS represents approximately 27%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to maintain consistency with previous years reported figures</t>
  </si>
  <si>
    <t>Modelled length of sewers based on the WRC model.</t>
  </si>
  <si>
    <t>During the year we have completed one scheme (Presteigne STW - NEP Unique ID: 7CDC0873)</t>
  </si>
  <si>
    <t>We have completed three schemes in the year (Presteigne, Clehonger and Weobley)</t>
  </si>
  <si>
    <t>Private and Inset Area Catchments have been removed</t>
  </si>
  <si>
    <t xml:space="preserve">There are two new designated coastal bathing waters this year (Penarth Beach and Llantwit Major). In addition an inland bathing water has been included this year as per the change in defintion for this line. </t>
  </si>
  <si>
    <t>No completed schemes</t>
  </si>
  <si>
    <t xml:space="preserve">We have completed one scheme at Cardigan to prevent flooding from a combined sewer overflow at high tide. </t>
  </si>
  <si>
    <t>We have interpreted the guidance for this line as measuring the area of surface water drainage separated from the foul or combined sewer network. Our reported figure of 11,500 m2 is based on one scheme (in Prestatyn)  which disconnected private surface water drainage from the combined sewer - this was reconnected to a separated public surface water sewer.</t>
  </si>
  <si>
    <t xml:space="preserve">There are currently no AMP7 scheme delivery requirements. </t>
  </si>
  <si>
    <t xml:space="preserve">In preparing our 2022/23 sludge data we have identified in 2021/22 we double counted liquid sludge imports at Five Fords. This has been corrected which resulted in small reduction in the reported figure. The restated value for 2021/22 is 76.4 ttds/ year, originally reported as 78.8 ttds/ year.  </t>
  </si>
  <si>
    <t xml:space="preserve">Due to issues at four of our advanced anaerobic digestion sites (degrit at Afan, breakdown and maintenance) we utilised a third party Biosolids Assurance Scheme (BAS) approved contractor to lime treat sludge. </t>
  </si>
  <si>
    <t xml:space="preserve">In preparing our 2022/23 sludge data we have identified in 2021/22 we double counted liquid sludge imports at Five Fords. This has been corrected which resulted in small reduction in the reported figure. The restated value for 2021/22 is 77.0 ttds/ year, originally reported as 79.4 ttds/ year.  </t>
  </si>
  <si>
    <t>The recorded value of 1.9 ttds/year is the domestic tankered waste we receive from private companies. This volume is included in line 3.</t>
  </si>
  <si>
    <t xml:space="preserve">In preparing our 2022/23 sludge data we have identified in 2021/22 we double counted liquid sludge imports at Five Fords. This has been corrected which resulted in small reduction in the reported figure. The restated value for 2021/22 is 42.07%, originally reported as 43.82%.  </t>
  </si>
  <si>
    <t>See 8A.2</t>
  </si>
  <si>
    <t>This is the value transported between Rotherwas and Hereford Eign WWTWs.</t>
  </si>
  <si>
    <t xml:space="preserve">An increase this year as a result of the issues at Afan, other maintenance issues  and more use of strategic storage has resulted in more transport of sludge. </t>
  </si>
  <si>
    <t xml:space="preserve">In preparing our 2022/23 sludge data we have identified in 2021/22 we double counted liquid sludge imports at Five Fords. This has been corrected which resulted in small reduction in the reported figure. The restated value for 2021/22 is 30.33%, originally reported as 32.44%.  </t>
  </si>
  <si>
    <t xml:space="preserve">In preparing our 2022/23 Energy consumption data we have identified that we have not been including transport and other fuel types in the total consumption used to calculate the costs reported in this line. The restated value for 2020/21 is £7.436m and for 2021/22 is £7.547m. 
There has been a significant increase in costs for 2022/23 as a result of electricity and gas price increases. </t>
  </si>
  <si>
    <t xml:space="preserve">Unused heat from CHP engines and the biogas flares from waste gas burners. There is a high degree of estimation, which will continue without expenditure to install additional monitoring. </t>
  </si>
  <si>
    <t>Due to issues at four of our advanced anaerobic digestion sites (degrit at Afan, breakdown and maintenance) we utilised a third party Biosolids Assurance Scheme (BAS) approved contractor to lime treat sludge.</t>
  </si>
  <si>
    <t>All sludge recycled to agriculture. For some sludge we have utilised a Biosolids Assurance Scheme (BAS) approved contractor to lime treat sludge and disposal (see 8D.2).</t>
  </si>
  <si>
    <t>Innovation project 1 Reservoir water community monitoring for algal associated risk assessment</t>
  </si>
  <si>
    <t>Innovation project 2 HyValue</t>
  </si>
  <si>
    <t>Innovation project 3 Background Leakage</t>
  </si>
  <si>
    <t xml:space="preserve">This project was completed in January 2023. The reservoir monitoring project developed new methods for sampling and eDNA analysis to identify cyanobacteria that are responsible for taste and odour forming compounds. </t>
  </si>
  <si>
    <t>This project is awaiting final bill but has been completed. The HyValue project looked at making Cardiff Wastewater Treatment Works a hydrogen hub.  The project entailed a desk top study by Costain to look at the feasibility of a hydrogen hub.  Unfortunately, we did not win a further phase of the project in the latest round of OFWAT bids.</t>
  </si>
  <si>
    <t>This project is ongoing. Its aim is to attempt to quantify background leakage and identify the causes by employing a variety of novel monitoring techniques.</t>
  </si>
  <si>
    <t>The new residential properties connected are on a new NAV sewerage only site in our area</t>
  </si>
  <si>
    <t xml:space="preserve">As per the Ofwat Information Notice we have reviewed our data for lines 4R.17 to 4R.27 and identified cattle troughs were previously included in the reported numbers. The restated figure for 2020/21 is - 1,452,324 and for 2021/22 - 1,459,290. Please see further commentary included in APR Parts 4 to 11 document.   </t>
  </si>
  <si>
    <t>Corrected formula error for Business retail (column F) The formula should be the same as for Residential where it includes recharges (2C.17)</t>
  </si>
  <si>
    <t>Amended allowed margin to be formatted as %</t>
  </si>
  <si>
    <t>There is a formula error in column G, amended so that it points to cell D Retail Revenue rather that total revenue in column E.</t>
  </si>
  <si>
    <t>There is a formula error inh column G, amended so that it points to cell D Retail Revenue rather that total revenue in column E.</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</si>
  <si>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</si>
  <si>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</si>
  <si>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</si>
  <si>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</si>
  <si>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</si>
  <si>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</si>
  <si>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</si>
  <si>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</si>
  <si>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</si>
  <si>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</si>
  <si>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</si>
  <si>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</si>
  <si>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</si>
  <si>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</si>
  <si>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</si>
  <si>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</si>
  <si>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</si>
  <si>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</si>
  <si>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</si>
  <si>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</si>
  <si>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</si>
  <si>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</si>
  <si>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</si>
  <si>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</si>
  <si>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</si>
  <si>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The description for each bulk supply match those used on the bulk supply register.</t>
  </si>
  <si>
    <t>DCF UK</t>
  </si>
  <si>
    <t>Bond</t>
  </si>
  <si>
    <t>Callable</t>
  </si>
  <si>
    <t>XS1757830085</t>
  </si>
  <si>
    <t>Senior</t>
  </si>
  <si>
    <t>A-/A3/A</t>
  </si>
  <si>
    <t>GBP</t>
  </si>
  <si>
    <t>DCC</t>
  </si>
  <si>
    <t>EIB loan</t>
  </si>
  <si>
    <t>Amortising</t>
  </si>
  <si>
    <t>EIB 85397 floating portion</t>
  </si>
  <si>
    <t>- / - / -</t>
  </si>
  <si>
    <t>SONIA - 6m</t>
  </si>
  <si>
    <t>24642 tranche 1</t>
  </si>
  <si>
    <t>24642 tranche 2</t>
  </si>
  <si>
    <t>26030 tranche 1</t>
  </si>
  <si>
    <t>26030 tranche 2</t>
  </si>
  <si>
    <t>85397 fixed portion</t>
  </si>
  <si>
    <t>Intercompany loan</t>
  </si>
  <si>
    <t>N/A</t>
  </si>
  <si>
    <t>IFRS16 lease accounting accrual</t>
  </si>
  <si>
    <t>IFRS adjustment</t>
  </si>
  <si>
    <t>Fixed rate instrument 1 - B7</t>
  </si>
  <si>
    <t>Fixed rate instrument 2</t>
  </si>
  <si>
    <t>Fixed rate instrument 3</t>
  </si>
  <si>
    <t>Fixed rate instrument 4</t>
  </si>
  <si>
    <t>Fixed rate instrument 5</t>
  </si>
  <si>
    <t>Fixed rate instrument 6</t>
  </si>
  <si>
    <t>Fixed rate instrument 7</t>
  </si>
  <si>
    <t>Fixed rate instrument 8</t>
  </si>
  <si>
    <t>Loan (non-EIB)</t>
  </si>
  <si>
    <t>KfW</t>
  </si>
  <si>
    <t>LA loans</t>
  </si>
  <si>
    <t>Unalloc. Swap notional (floating to I-L)</t>
  </si>
  <si>
    <t>Liquidity facility</t>
  </si>
  <si>
    <t>Revolving</t>
  </si>
  <si>
    <t>Liquidity facility commitment fee</t>
  </si>
  <si>
    <t>Barclays - RCF commitment fee</t>
  </si>
  <si>
    <t>BNPP - RCF commitment fee</t>
  </si>
  <si>
    <t>HSBC - RCF commitment fee</t>
  </si>
  <si>
    <t>Floating rate instrument 12</t>
  </si>
  <si>
    <t>Natwest - RCF commitment fee</t>
  </si>
  <si>
    <t>Floating rate instrument 1</t>
  </si>
  <si>
    <t>Floating rate instrument 2</t>
  </si>
  <si>
    <t>Floating rate instrument 4</t>
  </si>
  <si>
    <t>Floating rate instrument 5</t>
  </si>
  <si>
    <t>Floating rate instrument 8</t>
  </si>
  <si>
    <t>Floating rate instrument 9</t>
  </si>
  <si>
    <t>Floating rate instrument 10</t>
  </si>
  <si>
    <t>Floating rate instrument 11</t>
  </si>
  <si>
    <t>SONIA - 3m</t>
  </si>
  <si>
    <t>SONIA</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</si>
  <si>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</si>
  <si>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</si>
  <si>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</si>
  <si>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</si>
  <si>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</si>
  <si>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</si>
  <si>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</si>
  <si>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</si>
  <si>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</si>
  <si>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</si>
  <si>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</si>
  <si>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</si>
  <si>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</si>
  <si>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</si>
  <si>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</si>
  <si>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</si>
  <si>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</si>
  <si>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</si>
  <si>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</si>
  <si>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</si>
  <si>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</si>
  <si>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</si>
  <si>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</si>
  <si>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</si>
  <si>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</si>
  <si>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Finance lease</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</si>
  <si>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</si>
  <si>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</si>
  <si>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</si>
  <si>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</si>
  <si>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</si>
  <si>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</si>
  <si>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</si>
  <si>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</si>
  <si>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</si>
  <si>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</si>
  <si>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</si>
  <si>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</si>
  <si>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</si>
  <si>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</si>
  <si>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</si>
  <si>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</si>
  <si>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</si>
  <si>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</si>
  <si>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</si>
  <si>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</si>
  <si>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</si>
  <si>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</si>
  <si>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</si>
  <si>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</si>
  <si>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Swap - paying leg</t>
  </si>
  <si>
    <t>MD23694698 (NWM D561202390)</t>
  </si>
  <si>
    <t>RPI linked instrument 24</t>
  </si>
  <si>
    <t>MD23694616 (NWM D80057187)</t>
  </si>
  <si>
    <t>RPI linked instrument 25</t>
  </si>
  <si>
    <t>627423L (449483ML)</t>
  </si>
  <si>
    <t>RPI linked instrument 26</t>
  </si>
  <si>
    <t>15982141CM (HSBC 447767ML)</t>
  </si>
  <si>
    <t>RPI linked instrument 27</t>
  </si>
  <si>
    <t>12412567CM-1 (5002061LS)</t>
  </si>
  <si>
    <t>RPI linked instrument 28</t>
  </si>
  <si>
    <t>12412463CM-1 (5001904LS)</t>
  </si>
  <si>
    <t>RPI linked instrument 29</t>
  </si>
  <si>
    <t>MD23693707 (NWM D820150192)</t>
  </si>
  <si>
    <t>RPI linked instrument 30</t>
  </si>
  <si>
    <t>658256L (467484ML)</t>
  </si>
  <si>
    <t>RPI linked instrument 31</t>
  </si>
  <si>
    <t>Swap - receiving leg</t>
  </si>
  <si>
    <t>RPI linked instrument 32</t>
  </si>
  <si>
    <t>RPI linked instrument 33</t>
  </si>
  <si>
    <t>RPI linked instrument 34</t>
  </si>
  <si>
    <t>RPI linked instrument 35</t>
  </si>
  <si>
    <t>RPI linked instrument 36</t>
  </si>
  <si>
    <t>RPI linked instrument 37</t>
  </si>
  <si>
    <t>RPI linked instrument 38</t>
  </si>
  <si>
    <t>Wrapped</t>
  </si>
  <si>
    <t>Unwrapped</t>
  </si>
  <si>
    <t>A</t>
  </si>
  <si>
    <t>PAYG inflation</t>
  </si>
  <si>
    <t>Formula amended as confirmed by Ofwat 22.06.23</t>
  </si>
  <si>
    <t>Pension service charge</t>
  </si>
  <si>
    <t>Cost of living payments</t>
  </si>
  <si>
    <t>PSC claim</t>
  </si>
  <si>
    <t>Pension service cost</t>
  </si>
  <si>
    <t>Compensation claim</t>
  </si>
  <si>
    <t>Cwm Taf Scheme</t>
  </si>
  <si>
    <t>Year 3 spend was £4.857m, on an approved budget of £6.3m.  The underspend was primarily due to the postponement of intrusive GI along the pipeline routes.  This has been added to the forecast for Year 4.  Alongside progressing with the current single site solution we have initiated a thorough review of the other multi-site engineering options to achieve the WQ and resilience improvements required.  The cumulative expenditure is the total expenditure to date in outturn costs.</t>
  </si>
  <si>
    <t>A (Stable)</t>
  </si>
  <si>
    <t>A3 (Stable)</t>
  </si>
  <si>
    <t>A- (Negative)</t>
  </si>
  <si>
    <t>DCWW Pension Scheme</t>
  </si>
  <si>
    <t xml:space="preserve">Closed </t>
  </si>
  <si>
    <t>6.2% Growth portfolio,         2.3% CDI portfolio</t>
  </si>
  <si>
    <t>n/a as no deficit</t>
  </si>
  <si>
    <t>none</t>
  </si>
  <si>
    <t>Afon Dysynni Abstraction</t>
  </si>
  <si>
    <t>Canaston Bridge</t>
  </si>
  <si>
    <t>Llysyfran Reservoir to Preseli WTW Raw W</t>
  </si>
  <si>
    <t>WRMP Vowchurch</t>
  </si>
  <si>
    <t>Cartref</t>
  </si>
  <si>
    <t>Longwood Grange Lisvane Raw Water Main R</t>
  </si>
  <si>
    <t>Crai WTW supernatant return</t>
  </si>
  <si>
    <t>Drought Plan DP25 Environmental Studies</t>
  </si>
  <si>
    <t>The combination of Canaston Bridge and Llys-y-Fran schemes improves Pembrokeshire capacity available to deliver an overall 13.6 Ml/d SDB benefit, allocated to the Canaston line</t>
  </si>
  <si>
    <t>Early stages of design</t>
  </si>
  <si>
    <t>This is for the production of the drought plan so no direct benefits</t>
  </si>
  <si>
    <t>WSHBUILTH WELLS STW (7CDC0278)</t>
  </si>
  <si>
    <t>WSHDenbigh (7CDC1118)</t>
  </si>
  <si>
    <t>WSHLLANDRINDOD WELLS STW7CDC0603</t>
  </si>
  <si>
    <t>WSHNorton (7CDC0794)7CDC0794</t>
  </si>
  <si>
    <t>WSHPONTYBEREM WWTW  PONTYBEREM CARMS 7CDC0859</t>
  </si>
  <si>
    <t>WSHPRESTEIGNE STW 7CDC0873</t>
  </si>
  <si>
    <t>WSHRHAYADER STW 7CDC0900</t>
  </si>
  <si>
    <t>WSHRuthin (7CDC1130) 7CDC1130</t>
  </si>
  <si>
    <t>WSHSPITTAL WWTW 7CDC0956</t>
  </si>
  <si>
    <t>WSHCARWAY WWTW CARWAY CARMS 7CDC0278</t>
  </si>
  <si>
    <t>WSHEglwysbach (7CDC1117)</t>
  </si>
  <si>
    <t>WSHLLANARTH STW  LLANARTH  MONMOUTHSHI 7CDC0577</t>
  </si>
  <si>
    <t>WSHRhiwlas  (7CDC1116)</t>
  </si>
  <si>
    <t>WSHCLYRO (6DC002875)</t>
  </si>
  <si>
    <t>WSHCROSSHANDS WWTW 7CDC0348 6DC002869</t>
  </si>
  <si>
    <t>WSHBrynmawr (6DC002876)</t>
  </si>
  <si>
    <t>WSHCowbridge (6DC002873)</t>
  </si>
  <si>
    <t>WSHDyserth (6DC002871)</t>
  </si>
  <si>
    <t>WSHLletty Brongu (6DC002882)</t>
  </si>
  <si>
    <t>WSHNewlands WWTW6DC002685</t>
  </si>
  <si>
    <t>WSHRaglan (6DC002880)</t>
  </si>
  <si>
    <t>WSHWeycock (6DC002881) 6DC002881</t>
  </si>
  <si>
    <t>WSHHEREFORD EIGN STW  (7DC200048)</t>
  </si>
  <si>
    <t>WSHKINGSTONE AND MADELY STW 7DC200050</t>
  </si>
  <si>
    <t>WSHLEOMINSTER STW  7DC200051</t>
  </si>
  <si>
    <t>WSHMalpas WwTW7DC200029</t>
  </si>
  <si>
    <t>WSHNo Man's Heath WwTW7DC200030</t>
  </si>
  <si>
    <t>WSHPONTRILAS STW 7DC300008</t>
  </si>
  <si>
    <t>WSHROTHERWAS STW 7DC200055</t>
  </si>
  <si>
    <t>WSHTattenhall WwTW 7DC200031</t>
  </si>
  <si>
    <t>WSHWEOBLEY STW 7DC200058</t>
  </si>
  <si>
    <t>WSHWhitchurch WwTW amber 7DC200033</t>
  </si>
  <si>
    <t>Gwili / Gwendraeth Feasibility and WFD</t>
  </si>
  <si>
    <t>Brecon WWTW</t>
  </si>
  <si>
    <t>Monmouth WWTW</t>
  </si>
  <si>
    <t>N</t>
  </si>
  <si>
    <t>Y</t>
  </si>
  <si>
    <t>Please see commentary included in APR Parts 4 to 11 document.</t>
  </si>
  <si>
    <t>total 6549.22 (diff is  Retail)</t>
  </si>
  <si>
    <t>We have not separated scope 3 emissions as per Lines 33 to 36. This is because the current version of the industry wide Carbon Accounting Workbook that is used to generate these figures cannot calculate these figures with a high degree of accuracy.</t>
  </si>
  <si>
    <t>See 11A.33</t>
  </si>
  <si>
    <t>Additional Line- Impounding Reservoirs</t>
  </si>
  <si>
    <t>Additional Line- Cwm Taf Water Supply</t>
  </si>
  <si>
    <t>Additional Line- Visitor Centre</t>
  </si>
  <si>
    <t>Additional Line- LOW PRESSURE</t>
  </si>
  <si>
    <t>Additional Line- Water Growth Scheme</t>
  </si>
  <si>
    <t>Additional Line-DWMPs</t>
  </si>
  <si>
    <t>Additional Line- Loughor</t>
  </si>
  <si>
    <t>Additional line- Gowerton /Llanelli UWWTD</t>
  </si>
  <si>
    <t>Reason for change</t>
  </si>
  <si>
    <t>First published</t>
  </si>
  <si>
    <t>Response to Ofwat query WSH-APR-FR-001 amendment to RCV Growth in table 1F line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</si>
</sst>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8">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2"/>
      <name val="Arial"/>
      <scheme val="minor"/>
    </font>
  </fonts>
  <fills count="4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
      <patternFill patternType="solid">
        <fgColor theme="4" tint="0.79998168889431442"/>
        <bgColor indexed="64"/>
      </patternFill>
    </fill>
  </fills>
  <borders count="17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7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67" fontId="43" fillId="12" borderId="66" xfId="0"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71" fontId="43" fillId="12" borderId="63" xfId="39" applyNumberFormat="1" applyFont="1" applyFill="1" applyBorder="1" applyAlignment="1" applyProtection="1">
      <alignment horizontal="center" vertical="center" wrapText="1"/>
      <protection locked="0"/>
    </xf>
    <xf numFmtId="171" fontId="43" fillId="12" borderId="33" xfId="39" applyNumberFormat="1" applyFont="1" applyFill="1" applyBorder="1" applyAlignment="1" applyProtection="1">
      <alignment horizontal="center" vertical="center" wrapText="1"/>
      <protection locked="0"/>
    </xf>
    <xf numFmtId="171" fontId="43" fillId="12" borderId="76" xfId="39" applyNumberFormat="1" applyFont="1" applyFill="1" applyBorder="1" applyAlignment="1" applyProtection="1">
      <alignment horizontal="center" vertical="center" wrapText="1"/>
      <protection locked="0"/>
    </xf>
    <xf numFmtId="167" fontId="157" fillId="12" borderId="87" xfId="3" applyNumberFormat="1" applyFont="1" applyFill="1" applyBorder="1" applyAlignment="1" applyProtection="1">
      <alignment horizontal="left" vertical="top"/>
      <protection locked="0"/>
    </xf>
    <xf numFmtId="167" fontId="157" fillId="12" borderId="95" xfId="3" applyNumberFormat="1" applyFont="1" applyFill="1" applyBorder="1" applyAlignment="1" applyProtection="1">
      <alignment horizontal="left" vertical="top"/>
      <protection locked="0"/>
    </xf>
    <xf numFmtId="172" fontId="43" fillId="12" borderId="33" xfId="0" applyNumberFormat="1" applyFont="1" applyFill="1" applyBorder="1" applyAlignment="1">
      <alignment horizontal="center" vertical="center" wrapText="1"/>
    </xf>
    <xf numFmtId="172" fontId="157" fillId="12" borderId="63" xfId="3" applyNumberFormat="1" applyFont="1" applyFill="1" applyBorder="1" applyAlignment="1">
      <alignment horizontal="center" vertical="center"/>
    </xf>
    <xf numFmtId="172" fontId="157" fillId="12" borderId="33" xfId="3" applyNumberFormat="1" applyFont="1" applyFill="1" applyBorder="1" applyAlignment="1">
      <alignment horizontal="center" vertical="center"/>
    </xf>
    <xf numFmtId="0" fontId="38" fillId="0" borderId="106" xfId="0" applyFont="1" applyBorder="1" applyProtection="1">
      <protection locked="0"/>
    </xf>
    <xf numFmtId="0" fontId="144" fillId="39" borderId="178" xfId="0" applyFont="1" applyFill="1" applyBorder="1"/>
    <xf numFmtId="0" fontId="0" fillId="0" borderId="178" xfId="0" applyBorder="1"/>
    <xf numFmtId="14" fontId="0" fillId="0" borderId="178" xfId="0" applyNumberFormat="1" applyBorder="1"/>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7">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19" customWidth="1"/>
    <col min="2" max="2" width="38.09765625" style="219" bestFit="1" customWidth="1"/>
    <col min="3" max="3" width="34.69921875" style="219" bestFit="1" customWidth="1"/>
    <col min="4" max="4" width="10.09765625" style="219" bestFit="1" customWidth="1"/>
    <col min="5" max="5" width="14.59765625" style="219" bestFit="1" customWidth="1"/>
    <col min="6" max="6" width="9" style="219"/>
    <col min="7" max="7" width="25.09765625" style="219" bestFit="1" customWidth="1"/>
    <col min="8" max="8" width="38.09765625" style="219" bestFit="1" customWidth="1"/>
    <col min="9" max="9" width="24.5" style="219" bestFit="1" customWidth="1"/>
    <col min="10" max="10" width="43.09765625" style="219" bestFit="1" customWidth="1"/>
    <col min="11" max="11" width="30.19921875" style="219" bestFit="1" customWidth="1"/>
    <col min="12" max="12" width="38.5" style="219" bestFit="1" customWidth="1"/>
    <col min="13" max="13" width="34" style="219" bestFit="1" customWidth="1"/>
    <col min="14" max="14" width="22" style="219" bestFit="1" customWidth="1"/>
    <col min="15" max="15" width="23.09765625" style="219" bestFit="1" customWidth="1"/>
    <col min="16" max="16" width="33.5" style="219" bestFit="1" customWidth="1"/>
    <col min="17" max="17" width="29.69921875" style="219" bestFit="1" customWidth="1"/>
    <col min="18" max="18" width="9" style="219"/>
    <col min="19" max="19" width="30.09765625" style="219" bestFit="1" customWidth="1"/>
    <col min="20" max="20" width="9" style="219"/>
    <col min="21" max="21" width="76.2968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17459</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17460</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17458</v>
      </c>
      <c r="C17" s="231" t="s">
        <v>17461</v>
      </c>
      <c r="D17" s="231" t="s">
        <v>17462</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4" thickBot="1">
      <c r="G59" s="234" t="s">
        <v>542</v>
      </c>
      <c r="H59" s="234" t="s">
        <v>543</v>
      </c>
      <c r="I59" s="234"/>
      <c r="J59" s="234" t="s">
        <v>544</v>
      </c>
      <c r="K59" s="234"/>
      <c r="L59" s="234" t="s">
        <v>545</v>
      </c>
      <c r="M59" s="234"/>
      <c r="N59" s="234" t="s">
        <v>546</v>
      </c>
      <c r="O59" s="234"/>
      <c r="P59" s="234"/>
      <c r="Q59" s="234"/>
    </row>
    <row r="60" spans="2:17" ht="14.4" thickBot="1">
      <c r="B60" s="244" t="str">
        <f>INDEX(Lists!D5:D33,MATCH(SelectCompany!B4,Lists!C5:C33,0))</f>
        <v>WSH</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3.8"/>
  <cols>
    <col min="1" max="1" width="9" style="219"/>
    <col min="2" max="2" width="19.19921875" style="219" bestFit="1" customWidth="1"/>
    <col min="3" max="3" width="61.09765625" style="219" customWidth="1"/>
    <col min="4" max="4" width="11" style="219" bestFit="1" customWidth="1"/>
    <col min="5" max="5" width="17.19921875" style="219" bestFit="1" customWidth="1"/>
    <col min="6" max="6" width="8.69921875" style="219" bestFit="1" customWidth="1"/>
    <col min="7" max="16384" width="9" style="219"/>
  </cols>
  <sheetData>
    <row r="1" spans="1:6">
      <c r="C1" s="219" t="str">
        <f>CONCATENATE(Lists!$B$60,"_APR2022_F6")</f>
        <v>WSH_APR2022_F6</v>
      </c>
    </row>
    <row r="2" spans="1:6">
      <c r="A2" s="219" t="s">
        <v>3</v>
      </c>
      <c r="B2" s="249" t="s">
        <v>628</v>
      </c>
      <c r="C2" s="249" t="s">
        <v>629</v>
      </c>
      <c r="D2" s="249" t="s">
        <v>630</v>
      </c>
      <c r="E2" s="249" t="s">
        <v>631</v>
      </c>
      <c r="F2" s="249" t="s">
        <v>632</v>
      </c>
    </row>
    <row r="3" spans="1:6">
      <c r="B3" s="239"/>
      <c r="C3" s="250"/>
      <c r="D3" s="249"/>
      <c r="E3" s="249"/>
    </row>
    <row r="4" spans="1:6">
      <c r="B4" s="219" t="str">
        <f>'6A'!V8</f>
        <v>B0005RWTSTNBR</v>
      </c>
      <c r="C4" s="219" t="s">
        <v>3806</v>
      </c>
      <c r="E4" s="249" t="s">
        <v>634</v>
      </c>
      <c r="F4" s="255">
        <f>IF(ISBLANK('6A'!E8),"##BLANK",'6A'!E8)</f>
        <v>3</v>
      </c>
    </row>
    <row r="5" spans="1:6">
      <c r="B5" s="219" t="str">
        <f>'6A'!V9</f>
        <v>B0005RWTSTVBR</v>
      </c>
      <c r="C5" s="219" t="s">
        <v>3807</v>
      </c>
      <c r="E5" s="249" t="s">
        <v>634</v>
      </c>
      <c r="F5" s="255">
        <f>IF(ISBLANK('6A'!E9),"##BLANK",'6A'!E9)</f>
        <v>311</v>
      </c>
    </row>
    <row r="6" spans="1:6">
      <c r="B6" s="219" t="str">
        <f>'6A'!V10</f>
        <v>WR001</v>
      </c>
      <c r="C6" s="219" t="s">
        <v>3808</v>
      </c>
      <c r="E6" s="249" t="s">
        <v>634</v>
      </c>
      <c r="F6" s="255">
        <f>IF(ISBLANK('6A'!E10),"##BLANK",'6A'!E10)</f>
        <v>13</v>
      </c>
    </row>
    <row r="7" spans="1:6">
      <c r="B7" s="219" t="str">
        <f>'6A'!V11</f>
        <v>B0005RWTSTIPS</v>
      </c>
      <c r="C7" s="219" t="s">
        <v>3809</v>
      </c>
      <c r="E7" s="249" t="s">
        <v>634</v>
      </c>
      <c r="F7" s="255">
        <f>IF(ISBLANK('6A'!E11),"##BLANK",'6A'!E11)</f>
        <v>6891</v>
      </c>
    </row>
    <row r="8" spans="1:6">
      <c r="B8" s="219" t="str">
        <f>'6A'!V12</f>
        <v>BN10290_6A</v>
      </c>
      <c r="C8" s="219" t="s">
        <v>3810</v>
      </c>
      <c r="E8" s="249" t="s">
        <v>634</v>
      </c>
      <c r="F8" s="255">
        <f>IF(ISBLANK('6A'!E12),"##BLANK",'6A'!E12)</f>
        <v>381.36</v>
      </c>
    </row>
    <row r="9" spans="1:6">
      <c r="B9" s="219" t="str">
        <f>'6A'!V13</f>
        <v>BN4862</v>
      </c>
      <c r="C9" s="219" t="s">
        <v>3811</v>
      </c>
      <c r="E9" s="249" t="s">
        <v>634</v>
      </c>
      <c r="F9" s="255">
        <f>IF(ISBLANK('6A'!E13),"##BLANK",'6A'!E13)</f>
        <v>16.940000000000001</v>
      </c>
    </row>
    <row r="10" spans="1:6">
      <c r="B10" s="219" t="str">
        <f>'6A'!V14</f>
        <v>B0005RWTSEC</v>
      </c>
      <c r="C10" s="219" t="s">
        <v>3812</v>
      </c>
      <c r="E10" s="249" t="s">
        <v>634</v>
      </c>
      <c r="F10" s="255">
        <f>IF(ISBLANK('6A'!E14),"##BLANK",'6A'!E14)</f>
        <v>24724.989000000001</v>
      </c>
    </row>
    <row r="11" spans="1:6">
      <c r="B11" s="219" t="str">
        <f>'6A'!V15</f>
        <v>B0005RWTSTNI</v>
      </c>
      <c r="C11" s="219" t="s">
        <v>3813</v>
      </c>
      <c r="E11" s="249" t="s">
        <v>634</v>
      </c>
      <c r="F11" s="255">
        <f>IF(ISBLANK('6A'!E15),"##BLANK",'6A'!E15)</f>
        <v>1</v>
      </c>
    </row>
    <row r="12" spans="1:6">
      <c r="B12" s="219" t="str">
        <f>'6A'!V16</f>
        <v>B0005RWTSWI3</v>
      </c>
      <c r="C12" s="219" t="s">
        <v>3814</v>
      </c>
      <c r="E12" s="249" t="s">
        <v>634</v>
      </c>
      <c r="F12" s="255">
        <f>IF(ISBLANK('6A'!E16),"##BLANK",'6A'!E16)</f>
        <v>6.71</v>
      </c>
    </row>
    <row r="13" spans="1:6">
      <c r="B13" s="219" t="str">
        <f>'6A'!V17</f>
        <v>B0005RWTSTNE</v>
      </c>
      <c r="C13" s="219" t="s">
        <v>3815</v>
      </c>
      <c r="E13" s="249" t="s">
        <v>634</v>
      </c>
      <c r="F13" s="255">
        <f>IF(ISBLANK('6A'!E17),"##BLANK",'6A'!E17)</f>
        <v>13</v>
      </c>
    </row>
    <row r="14" spans="1:6">
      <c r="B14" s="219" t="str">
        <f>'6A'!V18</f>
        <v>B0005RWTSWE3</v>
      </c>
      <c r="C14" s="219" t="s">
        <v>3816</v>
      </c>
      <c r="E14" s="249" t="s">
        <v>634</v>
      </c>
      <c r="F14" s="255">
        <f>IF(ISBLANK('6A'!E18),"##BLANK",'6A'!E18)</f>
        <v>25.82</v>
      </c>
    </row>
    <row r="15" spans="1:6">
      <c r="B15" s="219" t="str">
        <f>'6A'!V19</f>
        <v>BN4858</v>
      </c>
      <c r="C15" s="219" t="s">
        <v>3817</v>
      </c>
      <c r="E15" s="249" t="s">
        <v>634</v>
      </c>
      <c r="F15" s="255">
        <f>IF(ISBLANK('6A'!E19),"##BLANK",'6A'!E19)</f>
        <v>152.24</v>
      </c>
    </row>
    <row r="16" spans="1:6">
      <c r="B16" s="1781"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81" t="str">
        <f>'6A'!X25</f>
        <v>CPMW0027</v>
      </c>
      <c r="C18" s="219" t="s">
        <v>3820</v>
      </c>
      <c r="E18" s="249" t="s">
        <v>634</v>
      </c>
      <c r="F18" s="255">
        <f>IF(ISBLANK('6A'!E25),"##BLANK",'6A'!E25)</f>
        <v>0</v>
      </c>
    </row>
    <row r="19" spans="2:6">
      <c r="B19" s="219" t="str">
        <f>'6A'!Y25</f>
        <v>CPMW0021</v>
      </c>
      <c r="C19" s="219" t="s">
        <v>3821</v>
      </c>
      <c r="E19" s="249" t="s">
        <v>634</v>
      </c>
      <c r="F19" s="255">
        <f>IF(ISBLANK('6A'!F25),"##BLANK",'6A'!F25)</f>
        <v>0</v>
      </c>
    </row>
    <row r="20" spans="2:6">
      <c r="B20" s="1781"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81"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81"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81" t="str">
        <f>'6A'!X27</f>
        <v>CPMW0039</v>
      </c>
      <c r="C26" s="219" t="s">
        <v>3828</v>
      </c>
      <c r="E26" s="249" t="s">
        <v>634</v>
      </c>
      <c r="F26" s="255">
        <f>IF(ISBLANK('6A'!E27),"##BLANK",'6A'!E27)</f>
        <v>0</v>
      </c>
    </row>
    <row r="27" spans="2:6">
      <c r="B27" s="219" t="str">
        <f>'6A'!Y27</f>
        <v>BN10790</v>
      </c>
      <c r="C27" s="219" t="s">
        <v>3829</v>
      </c>
      <c r="E27" s="249" t="s">
        <v>634</v>
      </c>
      <c r="F27" s="255">
        <f>IF(ISBLANK('6A'!F27),"##BLANK",'6A'!F27)</f>
        <v>0</v>
      </c>
    </row>
    <row r="28" spans="2:6">
      <c r="B28" s="1781" t="str">
        <f>'6A'!V28</f>
        <v>CPMW0116</v>
      </c>
      <c r="C28" s="219" t="s">
        <v>3830</v>
      </c>
      <c r="E28" s="249" t="s">
        <v>634</v>
      </c>
      <c r="F28" s="255">
        <f>IF(ISBLANK('6A'!C28),"##BLANK",'6A'!C28)</f>
        <v>7.1140830385973217</v>
      </c>
    </row>
    <row r="29" spans="2:6">
      <c r="B29" s="219" t="str">
        <f>'6A'!W28</f>
        <v>BN10590</v>
      </c>
      <c r="C29" s="219" t="s">
        <v>3831</v>
      </c>
      <c r="E29" s="249" t="s">
        <v>634</v>
      </c>
      <c r="F29" s="255">
        <f>IF(ISBLANK('6A'!D28),"##BLANK",'6A'!D28)</f>
        <v>2</v>
      </c>
    </row>
    <row r="30" spans="2:6">
      <c r="B30" s="1781"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81" t="str">
        <f>'6A'!V29</f>
        <v>CPMW0165</v>
      </c>
      <c r="C32" s="219" t="s">
        <v>3834</v>
      </c>
      <c r="E32" s="249" t="s">
        <v>634</v>
      </c>
      <c r="F32" s="255">
        <f>IF(ISBLANK('6A'!C29),"##BLANK",'6A'!C29)</f>
        <v>359.72682740806675</v>
      </c>
    </row>
    <row r="33" spans="2:6">
      <c r="B33" s="219" t="str">
        <f>'6A'!W29</f>
        <v>BN10597</v>
      </c>
      <c r="C33" s="219" t="s">
        <v>3835</v>
      </c>
      <c r="E33" s="249" t="s">
        <v>634</v>
      </c>
      <c r="F33" s="255">
        <f>IF(ISBLANK('6A'!D29),"##BLANK",'6A'!D29)</f>
        <v>23</v>
      </c>
    </row>
    <row r="34" spans="2:6">
      <c r="B34" s="1781" t="str">
        <f>'6A'!X29</f>
        <v>CPMW0185</v>
      </c>
      <c r="C34" s="219" t="s">
        <v>3836</v>
      </c>
      <c r="E34" s="249" t="s">
        <v>634</v>
      </c>
      <c r="F34" s="255">
        <f>IF(ISBLANK('6A'!E29),"##BLANK",'6A'!E29)</f>
        <v>20.723205411283072</v>
      </c>
    </row>
    <row r="35" spans="2:6">
      <c r="B35" s="219" t="str">
        <f>'6A'!Y29</f>
        <v>BN10897</v>
      </c>
      <c r="C35" s="219" t="s">
        <v>3837</v>
      </c>
      <c r="E35" s="249" t="s">
        <v>634</v>
      </c>
      <c r="F35" s="255">
        <f>IF(ISBLANK('6A'!F29),"##BLANK",'6A'!F29)</f>
        <v>9</v>
      </c>
    </row>
    <row r="36" spans="2:6">
      <c r="B36" s="1781" t="str">
        <f>'6A'!V30</f>
        <v>CPMW0166</v>
      </c>
      <c r="C36" s="219" t="s">
        <v>3838</v>
      </c>
      <c r="E36" s="249" t="s">
        <v>634</v>
      </c>
      <c r="F36" s="255">
        <f>IF(ISBLANK('6A'!C30),"##BLANK",'6A'!C30)</f>
        <v>481.36252566787374</v>
      </c>
    </row>
    <row r="37" spans="2:6">
      <c r="B37" s="219" t="str">
        <f>'6A'!W30</f>
        <v>BN10598</v>
      </c>
      <c r="C37" s="219" t="s">
        <v>3839</v>
      </c>
      <c r="E37" s="249" t="s">
        <v>634</v>
      </c>
      <c r="F37" s="255">
        <f>IF(ISBLANK('6A'!D30),"##BLANK",'6A'!D30)</f>
        <v>25</v>
      </c>
    </row>
    <row r="38" spans="2:6">
      <c r="B38" s="1781" t="str">
        <f>'6A'!X30</f>
        <v>CPMW0197</v>
      </c>
      <c r="C38" s="219" t="s">
        <v>3840</v>
      </c>
      <c r="E38" s="249" t="s">
        <v>634</v>
      </c>
      <c r="F38" s="255">
        <f>IF(ISBLANK('6A'!E30),"##BLANK",'6A'!E30)</f>
        <v>8.7992865756466241</v>
      </c>
    </row>
    <row r="39" spans="2:6">
      <c r="B39" s="219" t="str">
        <f>'6A'!Y30</f>
        <v>BN10898</v>
      </c>
      <c r="C39" s="219" t="s">
        <v>3841</v>
      </c>
      <c r="E39" s="249" t="s">
        <v>634</v>
      </c>
      <c r="F39" s="255">
        <f>IF(ISBLANK('6A'!F30),"##BLANK",'6A'!F30)</f>
        <v>6</v>
      </c>
    </row>
    <row r="40" spans="2:6">
      <c r="B40" s="1781"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81"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0.16840300268741196</v>
      </c>
    </row>
    <row r="45" spans="2:6">
      <c r="B45" s="219" t="str">
        <f>'6A'!W36</f>
        <v>WTW001NR</v>
      </c>
      <c r="C45" s="219" t="s">
        <v>3847</v>
      </c>
      <c r="E45" s="249" t="s">
        <v>634</v>
      </c>
      <c r="F45" s="255">
        <f>IF(ISBLANK('6A'!D36),"##BLANK",'6A'!D36)</f>
        <v>7</v>
      </c>
    </row>
    <row r="46" spans="2:6">
      <c r="B46" s="219" t="str">
        <f>'6A'!V37</f>
        <v>WTW002PN</v>
      </c>
      <c r="C46" s="219" t="s">
        <v>3848</v>
      </c>
      <c r="E46" s="249" t="s">
        <v>634</v>
      </c>
      <c r="F46" s="255">
        <f>IF(ISBLANK('6A'!C37),"##BLANK",'6A'!C37)</f>
        <v>2.9883643956905148</v>
      </c>
    </row>
    <row r="47" spans="2:6">
      <c r="B47" s="219" t="str">
        <f>'6A'!W37</f>
        <v>WTW002NR</v>
      </c>
      <c r="C47" s="219" t="s">
        <v>3849</v>
      </c>
      <c r="E47" s="249" t="s">
        <v>634</v>
      </c>
      <c r="F47" s="255">
        <f>IF(ISBLANK('6A'!D37),"##BLANK",'6A'!D37)</f>
        <v>16</v>
      </c>
    </row>
    <row r="48" spans="2:6">
      <c r="B48" s="219" t="str">
        <f>'6A'!V38</f>
        <v>WTW003PN</v>
      </c>
      <c r="C48" s="219" t="s">
        <v>3850</v>
      </c>
      <c r="E48" s="249" t="s">
        <v>634</v>
      </c>
      <c r="F48" s="255">
        <f>IF(ISBLANK('6A'!C38),"##BLANK",'6A'!C38)</f>
        <v>2.8646510293862484</v>
      </c>
    </row>
    <row r="49" spans="2:6">
      <c r="B49" s="219" t="str">
        <f>'6A'!W38</f>
        <v>WTW003NR</v>
      </c>
      <c r="C49" s="219" t="s">
        <v>3851</v>
      </c>
      <c r="E49" s="249" t="s">
        <v>634</v>
      </c>
      <c r="F49" s="255">
        <f>IF(ISBLANK('6A'!D38),"##BLANK",'6A'!D38)</f>
        <v>8</v>
      </c>
    </row>
    <row r="50" spans="2:6">
      <c r="B50" s="219" t="str">
        <f>'6A'!V39</f>
        <v>WTW004PN</v>
      </c>
      <c r="C50" s="219" t="s">
        <v>3852</v>
      </c>
      <c r="E50" s="249" t="s">
        <v>634</v>
      </c>
      <c r="F50" s="255">
        <f>IF(ISBLANK('6A'!C39),"##BLANK",'6A'!C39)</f>
        <v>9.340303810448134</v>
      </c>
    </row>
    <row r="51" spans="2:6">
      <c r="B51" s="219" t="str">
        <f>'6A'!W39</f>
        <v>WTW004NR</v>
      </c>
      <c r="C51" s="219" t="s">
        <v>3853</v>
      </c>
      <c r="E51" s="249" t="s">
        <v>634</v>
      </c>
      <c r="F51" s="255">
        <f>IF(ISBLANK('6A'!D39),"##BLANK",'6A'!D39)</f>
        <v>11</v>
      </c>
    </row>
    <row r="52" spans="2:6">
      <c r="B52" s="219" t="str">
        <f>'6A'!V40</f>
        <v>WTW005PN</v>
      </c>
      <c r="C52" s="219" t="s">
        <v>3854</v>
      </c>
      <c r="E52" s="249" t="s">
        <v>634</v>
      </c>
      <c r="F52" s="255">
        <f>IF(ISBLANK('6A'!C40),"##BLANK",'6A'!C40)</f>
        <v>12.675525382772765</v>
      </c>
    </row>
    <row r="53" spans="2:6">
      <c r="B53" s="219" t="str">
        <f>'6A'!W40</f>
        <v>WTW005NR</v>
      </c>
      <c r="C53" s="219" t="s">
        <v>3855</v>
      </c>
      <c r="E53" s="249" t="s">
        <v>634</v>
      </c>
      <c r="F53" s="255">
        <f>IF(ISBLANK('6A'!D40),"##BLANK",'6A'!D40)</f>
        <v>9</v>
      </c>
    </row>
    <row r="54" spans="2:6">
      <c r="B54" s="219" t="str">
        <f>'6A'!V41</f>
        <v>WTW006PN</v>
      </c>
      <c r="C54" s="219" t="s">
        <v>3856</v>
      </c>
      <c r="E54" s="249" t="s">
        <v>634</v>
      </c>
      <c r="F54" s="255">
        <f>IF(ISBLANK('6A'!C41),"##BLANK",'6A'!C41)</f>
        <v>26.930259064777406</v>
      </c>
    </row>
    <row r="55" spans="2:6">
      <c r="B55" s="219" t="str">
        <f>'6A'!W41</f>
        <v>WTW006NR</v>
      </c>
      <c r="C55" s="219" t="s">
        <v>3857</v>
      </c>
      <c r="E55" s="249" t="s">
        <v>634</v>
      </c>
      <c r="F55" s="255">
        <f>IF(ISBLANK('6A'!D41),"##BLANK",'6A'!D41)</f>
        <v>10</v>
      </c>
    </row>
    <row r="56" spans="2:6">
      <c r="B56" s="219" t="str">
        <f>'6A'!V42</f>
        <v>WTW007PN</v>
      </c>
      <c r="C56" s="219" t="s">
        <v>3858</v>
      </c>
      <c r="E56" s="249" t="s">
        <v>634</v>
      </c>
      <c r="F56" s="255">
        <f>IF(ISBLANK('6A'!C42),"##BLANK",'6A'!C42)</f>
        <v>16.16737615154555</v>
      </c>
    </row>
    <row r="57" spans="2:6">
      <c r="B57" s="219" t="str">
        <f>'6A'!W42</f>
        <v>WTW007NR</v>
      </c>
      <c r="C57" s="219" t="s">
        <v>3859</v>
      </c>
      <c r="E57" s="249" t="s">
        <v>634</v>
      </c>
      <c r="F57" s="255">
        <f>IF(ISBLANK('6A'!D42),"##BLANK",'6A'!D42)</f>
        <v>2</v>
      </c>
    </row>
    <row r="58" spans="2:6">
      <c r="B58" s="219" t="str">
        <f>'6A'!V43</f>
        <v>WTW008PN</v>
      </c>
      <c r="C58" s="219" t="s">
        <v>3860</v>
      </c>
      <c r="E58" s="249" t="s">
        <v>634</v>
      </c>
      <c r="F58" s="255">
        <f>IF(ISBLANK('6A'!C43),"##BLANK",'6A'!C43)</f>
        <v>28.865117162691973</v>
      </c>
    </row>
    <row r="59" spans="2:6">
      <c r="B59" s="219" t="str">
        <f>'6A'!W43</f>
        <v>WTW008NR</v>
      </c>
      <c r="C59" s="219" t="s">
        <v>3861</v>
      </c>
      <c r="E59" s="249" t="s">
        <v>634</v>
      </c>
      <c r="F59" s="255">
        <f>IF(ISBLANK('6A'!D43),"##BLANK",'6A'!D43)</f>
        <v>2</v>
      </c>
    </row>
    <row r="60" spans="2:6">
      <c r="B60" s="219" t="str">
        <f>'6A'!V46</f>
        <v>BNARPC_WT0</v>
      </c>
      <c r="C60" s="219" t="str">
        <f>'6A'!B46</f>
        <v>Peak week production capacity (PWPC)</v>
      </c>
      <c r="E60" s="249" t="s">
        <v>634</v>
      </c>
      <c r="F60" s="255">
        <f>IF(ISBLANK('6A'!E46),"##BLANK",'6A'!E46)</f>
        <v>1291.8699999999999</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0</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0</v>
      </c>
    </row>
    <row r="65" spans="2:6">
      <c r="B65" s="219" t="str">
        <f>'6A'!V51</f>
        <v>BN10901</v>
      </c>
      <c r="C65" s="219" t="s">
        <v>3863</v>
      </c>
      <c r="E65" s="249" t="s">
        <v>634</v>
      </c>
      <c r="F65" s="255">
        <f>IF(ISBLANK('6A'!E51),"##BLANK",'6A'!E51)</f>
        <v>3062.598</v>
      </c>
    </row>
    <row r="66" spans="2:6">
      <c r="B66" s="219" t="str">
        <f>'6A'!V52</f>
        <v>BN10902</v>
      </c>
      <c r="C66" s="219" t="s">
        <v>3864</v>
      </c>
      <c r="E66" s="249" t="s">
        <v>634</v>
      </c>
      <c r="F66" s="255">
        <f>IF(ISBLANK('6A'!E52),"##BLANK",'6A'!E52)</f>
        <v>12.44</v>
      </c>
    </row>
    <row r="67" spans="2:6">
      <c r="B67" s="219" t="str">
        <f>'6A'!V53</f>
        <v>B0005WTEC</v>
      </c>
      <c r="C67" s="219" t="s">
        <v>3865</v>
      </c>
      <c r="E67" s="249" t="s">
        <v>634</v>
      </c>
      <c r="F67" s="255">
        <f>IF(ISBLANK('6A'!E53),"##BLANK",'6A'!E53)</f>
        <v>65270.184999999998</v>
      </c>
    </row>
    <row r="68" spans="2:6">
      <c r="B68" s="219" t="str">
        <f>'6A'!V54</f>
        <v>B0005WTTNI</v>
      </c>
      <c r="C68" s="219" t="s">
        <v>3866</v>
      </c>
      <c r="E68" s="249" t="s">
        <v>634</v>
      </c>
      <c r="F68" s="255">
        <f>IF(ISBLANK('6A'!E54),"##BLANK",'6A'!E54)</f>
        <v>1</v>
      </c>
    </row>
    <row r="69" spans="2:6">
      <c r="B69" s="219" t="str">
        <f>'6A'!V55</f>
        <v>B0005WTWI3</v>
      </c>
      <c r="C69" s="219" t="s">
        <v>3867</v>
      </c>
      <c r="E69" s="249" t="s">
        <v>634</v>
      </c>
      <c r="F69" s="255">
        <f>IF(ISBLANK('6A'!E55),"##BLANK",'6A'!E55)</f>
        <v>6.65</v>
      </c>
    </row>
    <row r="70" spans="2:6">
      <c r="B70" s="219" t="str">
        <f>'6A'!V56</f>
        <v>B0005WTTNE</v>
      </c>
      <c r="C70" s="219" t="s">
        <v>3868</v>
      </c>
      <c r="E70" s="249" t="s">
        <v>634</v>
      </c>
      <c r="F70" s="255">
        <f>IF(ISBLANK('6A'!E56),"##BLANK",'6A'!E56)</f>
        <v>2</v>
      </c>
    </row>
    <row r="71" spans="2:6">
      <c r="B71" s="219" t="str">
        <f>'6A'!V57</f>
        <v>B0005WTWE3</v>
      </c>
      <c r="C71" s="219" t="s">
        <v>3869</v>
      </c>
      <c r="E71" s="249" t="s">
        <v>634</v>
      </c>
      <c r="F71" s="255">
        <f>IF(ISBLANK('6A'!E57),"##BLANK",'6A'!E57)</f>
        <v>300.77999999999997</v>
      </c>
    </row>
  </sheetData>
  <sheetProtection sort="0"/>
  <conditionalFormatting sqref="B2">
    <cfRule type="duplicateValues" dxfId="221" priority="1"/>
    <cfRule type="duplicateValues" dxfId="220" priority="3"/>
  </conditionalFormatting>
  <conditionalFormatting sqref="B2:F2">
    <cfRule type="expression" dxfId="219" priority="2">
      <formula>$C2="New Bon"</formula>
    </cfRule>
  </conditionalFormatting>
  <conditionalFormatting sqref="B4:F71">
    <cfRule type="expression" dxfId="218"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3.8"/>
  <cols>
    <col min="1" max="1" width="9" style="219"/>
    <col min="2" max="2" width="9.59765625" style="219" customWidth="1"/>
    <col min="3" max="3" width="99.09765625" style="219" bestFit="1" customWidth="1"/>
    <col min="4" max="4" width="11.59765625" style="219" bestFit="1" customWidth="1"/>
    <col min="5" max="5" width="16.69921875" style="219" bestFit="1" customWidth="1"/>
    <col min="6" max="6" width="9.69921875" style="219" bestFit="1" customWidth="1"/>
    <col min="7" max="16384" width="9" style="219"/>
  </cols>
  <sheetData>
    <row r="1" spans="1:6">
      <c r="C1" s="219" t="str">
        <f>CONCATENATE(Lists!$B$60,"_APR2022_F7")</f>
        <v>WSH_APR2022_F7</v>
      </c>
    </row>
    <row r="2" spans="1:6">
      <c r="A2" s="219" t="s">
        <v>3</v>
      </c>
      <c r="B2" s="219" t="s">
        <v>628</v>
      </c>
      <c r="C2" s="219" t="s">
        <v>629</v>
      </c>
      <c r="D2" s="219" t="s">
        <v>630</v>
      </c>
      <c r="E2" s="219" t="s">
        <v>631</v>
      </c>
      <c r="F2" s="219" t="s">
        <v>632</v>
      </c>
    </row>
    <row r="3" spans="1:6">
      <c r="B3" s="239"/>
      <c r="C3" s="250"/>
      <c r="D3" s="249"/>
      <c r="E3" s="249"/>
    </row>
    <row r="4" spans="1:6">
      <c r="B4" s="219" t="str">
        <f>'7A'!R8</f>
        <v>STWF011</v>
      </c>
      <c r="C4" s="219" t="s">
        <v>3871</v>
      </c>
      <c r="E4" s="249" t="s">
        <v>634</v>
      </c>
      <c r="F4" s="255">
        <f>IF(ISBLANK('7A'!E8),"##BLANK",'7A'!E8)</f>
        <v>7729.4859999999999</v>
      </c>
    </row>
    <row r="5" spans="1:6">
      <c r="B5" s="219" t="str">
        <f>'7A'!R9</f>
        <v>STWF025</v>
      </c>
      <c r="C5" s="219" t="s">
        <v>3872</v>
      </c>
      <c r="E5" s="249" t="s">
        <v>634</v>
      </c>
      <c r="F5" s="255">
        <f>IF(ISBLANK('7A'!E9),"##BLANK",'7A'!E9)</f>
        <v>2441.7240000000002</v>
      </c>
    </row>
    <row r="6" spans="1:6">
      <c r="B6" s="219" t="str">
        <f>'7A'!R10</f>
        <v>STWF039</v>
      </c>
      <c r="C6" s="219" t="s">
        <v>3873</v>
      </c>
      <c r="E6" s="249" t="s">
        <v>634</v>
      </c>
      <c r="F6" s="255">
        <f>IF(ISBLANK('7A'!E10),"##BLANK",'7A'!E10)</f>
        <v>5891.9110000000001</v>
      </c>
    </row>
    <row r="7" spans="1:6">
      <c r="B7" s="219" t="str">
        <f>'7A'!R11</f>
        <v>STWF053</v>
      </c>
      <c r="C7" s="219" t="s">
        <v>3874</v>
      </c>
      <c r="E7" s="249" t="s">
        <v>634</v>
      </c>
      <c r="F7" s="255">
        <f>IF(ISBLANK('7A'!E11),"##BLANK",'7A'!E11)</f>
        <v>8988.3150000000005</v>
      </c>
    </row>
    <row r="8" spans="1:6">
      <c r="B8" s="219" t="str">
        <f>'7A'!R12</f>
        <v>STWF067</v>
      </c>
      <c r="C8" s="219" t="s">
        <v>3875</v>
      </c>
      <c r="E8" s="249" t="s">
        <v>634</v>
      </c>
      <c r="F8" s="255">
        <f>IF(ISBLANK('7A'!E12),"##BLANK",'7A'!E12)</f>
        <v>8722.7090000000007</v>
      </c>
    </row>
    <row r="9" spans="1:6">
      <c r="B9" s="219" t="str">
        <f>'7A'!R13</f>
        <v>S3026</v>
      </c>
      <c r="C9" s="219" t="s">
        <v>3876</v>
      </c>
      <c r="E9" s="249" t="s">
        <v>634</v>
      </c>
      <c r="F9" s="255">
        <f>IF(ISBLANK('7A'!E13),"##BLANK",'7A'!E13)</f>
        <v>4437.3819999999996</v>
      </c>
    </row>
    <row r="10" spans="1:6">
      <c r="B10" s="219" t="str">
        <f>'7A'!R14</f>
        <v>STWF012</v>
      </c>
      <c r="C10" s="219" t="s">
        <v>3877</v>
      </c>
      <c r="E10" s="249" t="s">
        <v>634</v>
      </c>
      <c r="F10" s="255">
        <f>IF(ISBLANK('7A'!E14),"##BLANK",'7A'!E14)</f>
        <v>38211.527000000002</v>
      </c>
    </row>
    <row r="11" spans="1:6">
      <c r="B11" s="219" t="str">
        <f>'7A'!R25</f>
        <v>STWB043TOT</v>
      </c>
      <c r="C11" s="219" t="s">
        <v>3878</v>
      </c>
      <c r="E11" s="249" t="s">
        <v>634</v>
      </c>
      <c r="F11" s="255">
        <f>IF(ISBLANK('7A'!E25),"##BLANK",'7A'!E25)</f>
        <v>77021.638000000006</v>
      </c>
    </row>
    <row r="12" spans="1:6">
      <c r="B12" s="219" t="str">
        <f>'7C'!R8</f>
        <v>S4002</v>
      </c>
      <c r="C12" s="219" t="s">
        <v>3879</v>
      </c>
      <c r="E12" s="249" t="s">
        <v>634</v>
      </c>
      <c r="F12" s="255">
        <f>IF(ISBLANK('7C'!E8),"##BLANK",'7C'!E8)</f>
        <v>6</v>
      </c>
    </row>
    <row r="13" spans="1:6">
      <c r="B13" s="219" t="str">
        <f>'7C'!R9</f>
        <v>S4002A</v>
      </c>
      <c r="C13" s="219" t="s">
        <v>3880</v>
      </c>
      <c r="E13" s="249" t="s">
        <v>634</v>
      </c>
      <c r="F13" s="255">
        <f>IF(ISBLANK('7C'!E9),"##BLANK",'7C'!E9)</f>
        <v>1</v>
      </c>
    </row>
    <row r="14" spans="1:6">
      <c r="B14" s="219" t="str">
        <f>'7C'!R10</f>
        <v>S4029</v>
      </c>
      <c r="C14" s="219" t="s">
        <v>3881</v>
      </c>
      <c r="E14" s="249" t="s">
        <v>634</v>
      </c>
      <c r="F14" s="255">
        <f>IF(ISBLANK('7C'!E10),"##BLANK",'7C'!E10)</f>
        <v>64975</v>
      </c>
    </row>
    <row r="15" spans="1:6">
      <c r="B15" s="219" t="str">
        <f>'7C'!R11</f>
        <v>S6019</v>
      </c>
      <c r="C15" s="219" t="s">
        <v>3882</v>
      </c>
      <c r="E15" s="249" t="s">
        <v>634</v>
      </c>
      <c r="F15" s="255">
        <f>IF(ISBLANK('7C'!E11),"##BLANK",'7C'!E11)</f>
        <v>2505</v>
      </c>
    </row>
    <row r="16" spans="1:6">
      <c r="B16" s="1784" t="str">
        <f>'7C'!R12</f>
        <v>BN13522</v>
      </c>
      <c r="C16" s="219" t="s">
        <v>3883</v>
      </c>
      <c r="E16" s="249" t="s">
        <v>634</v>
      </c>
      <c r="F16" s="255">
        <f>IF(ISBLANK('7C'!E12),"##BLANK",'7C'!E12)</f>
        <v>23038</v>
      </c>
    </row>
    <row r="17" spans="2:6">
      <c r="B17" s="219" t="str">
        <f>'7C'!R13</f>
        <v>BN13521</v>
      </c>
      <c r="C17" s="219" t="s">
        <v>3884</v>
      </c>
      <c r="E17" s="249" t="s">
        <v>634</v>
      </c>
      <c r="F17" s="255">
        <f>IF(ISBLANK('7C'!E13),"##BLANK",'7C'!E13)</f>
        <v>151</v>
      </c>
    </row>
    <row r="18" spans="2:6">
      <c r="B18" s="219" t="str">
        <f>'7C'!R14</f>
        <v>BN13520</v>
      </c>
      <c r="C18" s="219" t="s">
        <v>3885</v>
      </c>
      <c r="E18" s="249" t="s">
        <v>634</v>
      </c>
      <c r="F18" s="255">
        <f>IF(ISBLANK('7C'!E14),"##BLANK",'7C'!E14)</f>
        <v>97</v>
      </c>
    </row>
    <row r="19" spans="2:6">
      <c r="B19" s="219" t="str">
        <f>'7C'!R15</f>
        <v>CPMS2005</v>
      </c>
      <c r="C19" s="219" t="s">
        <v>3886</v>
      </c>
      <c r="E19" s="249" t="s">
        <v>634</v>
      </c>
      <c r="F19" s="255">
        <f>IF(ISBLANK('7C'!E15),"##BLANK",'7C'!E15)</f>
        <v>2205</v>
      </c>
    </row>
    <row r="20" spans="2:6">
      <c r="B20" s="219" t="str">
        <f>'7C'!R16</f>
        <v>CPMS2004</v>
      </c>
      <c r="C20" s="219" t="s">
        <v>3887</v>
      </c>
      <c r="E20" s="249" t="s">
        <v>634</v>
      </c>
      <c r="F20" s="255">
        <f>IF(ISBLANK('7C'!E16),"##BLANK",'7C'!E16)</f>
        <v>446</v>
      </c>
    </row>
    <row r="21" spans="2:6">
      <c r="B21" s="219" t="str">
        <f>'7C'!R17</f>
        <v>CPMS2014</v>
      </c>
      <c r="C21" s="219" t="s">
        <v>3888</v>
      </c>
      <c r="E21" s="249" t="s">
        <v>634</v>
      </c>
      <c r="F21" s="255">
        <f>IF(ISBLANK('7C'!E17),"##BLANK",'7C'!E17)</f>
        <v>211</v>
      </c>
    </row>
    <row r="22" spans="2:6">
      <c r="B22" s="257" t="str">
        <f>'7C'!R18</f>
        <v>BB2370</v>
      </c>
      <c r="C22" s="219" t="s">
        <v>3889</v>
      </c>
      <c r="E22" s="249" t="s">
        <v>634</v>
      </c>
      <c r="F22" s="255">
        <f>IF(ISBLANK('7C'!E18),"##BLANK",'7C'!E18)</f>
        <v>2326</v>
      </c>
    </row>
    <row r="23" spans="2:6">
      <c r="B23" s="219" t="str">
        <f>'7C'!R19</f>
        <v>CPMS2012</v>
      </c>
      <c r="C23" s="219" t="s">
        <v>3890</v>
      </c>
      <c r="E23" s="249" t="s">
        <v>634</v>
      </c>
      <c r="F23" s="255">
        <f>IF(ISBLANK('7C'!E19),"##BLANK",'7C'!E19)</f>
        <v>10792.51</v>
      </c>
    </row>
    <row r="24" spans="2:6">
      <c r="B24" s="1785" t="str">
        <f>'7C'!R20</f>
        <v>CPMS2015</v>
      </c>
      <c r="C24" s="219" t="s">
        <v>3891</v>
      </c>
      <c r="E24" s="249" t="s">
        <v>634</v>
      </c>
      <c r="F24" s="255">
        <f>IF(ISBLANK('7C'!E20),"##BLANK",'7C'!E20)</f>
        <v>532408.23349584569</v>
      </c>
    </row>
    <row r="25" spans="2:6">
      <c r="B25" s="219" t="str">
        <f>'7C'!R21</f>
        <v>BN13519</v>
      </c>
      <c r="C25" s="219" t="s">
        <v>3892</v>
      </c>
      <c r="E25" s="249" t="s">
        <v>634</v>
      </c>
      <c r="F25" s="255">
        <f>IF(ISBLANK('7C'!E21),"##BLANK",'7C'!E21)</f>
        <v>0</v>
      </c>
    </row>
    <row r="26" spans="2:6">
      <c r="B26" s="219" t="str">
        <f>'7C'!R22</f>
        <v>BN13523</v>
      </c>
      <c r="C26" s="219" t="s">
        <v>3893</v>
      </c>
      <c r="E26" s="249" t="s">
        <v>634</v>
      </c>
      <c r="F26" s="255">
        <f>IF(ISBLANK('7C'!E22),"##BLANK",'7C'!E22)</f>
        <v>0</v>
      </c>
    </row>
    <row r="27" spans="2:6">
      <c r="B27" s="257" t="str">
        <f>'7C'!R23</f>
        <v>BN13524</v>
      </c>
      <c r="C27" s="219" t="s">
        <v>3894</v>
      </c>
      <c r="E27" s="249" t="s">
        <v>634</v>
      </c>
      <c r="F27" s="255">
        <f>IF(ISBLANK('7C'!E23),"##BLANK",'7C'!E23)</f>
        <v>5612</v>
      </c>
    </row>
    <row r="28" spans="2:6">
      <c r="B28" s="257" t="str">
        <f>'7C'!R24</f>
        <v>BN13525</v>
      </c>
      <c r="C28" s="219" t="s">
        <v>3895</v>
      </c>
      <c r="E28" s="249" t="s">
        <v>634</v>
      </c>
      <c r="F28" s="255">
        <f>IF(ISBLANK('7C'!E24),"##BLANK",'7C'!E24)</f>
        <v>3674</v>
      </c>
    </row>
    <row r="29" spans="2:6">
      <c r="B29" s="257" t="str">
        <f>'7C'!R25</f>
        <v>BN13526</v>
      </c>
      <c r="C29" s="219" t="s">
        <v>3896</v>
      </c>
      <c r="E29" s="249" t="s">
        <v>634</v>
      </c>
      <c r="F29" s="255">
        <f>IF(ISBLANK('7C'!E25),"##BLANK",'7C'!E25)</f>
        <v>8899</v>
      </c>
    </row>
    <row r="30" spans="2:6">
      <c r="B30" s="257" t="str">
        <f>'7C'!R26</f>
        <v>BN13527</v>
      </c>
      <c r="C30" s="219" t="s">
        <v>3897</v>
      </c>
      <c r="E30" s="249" t="s">
        <v>634</v>
      </c>
      <c r="F30" s="255">
        <f>IF(ISBLANK('7C'!E26),"##BLANK",'7C'!E26)</f>
        <v>1323</v>
      </c>
    </row>
    <row r="31" spans="2:6">
      <c r="B31" s="257" t="str">
        <f>'7C'!R27</f>
        <v>BN13534</v>
      </c>
      <c r="C31" s="219" t="s">
        <v>3898</v>
      </c>
      <c r="E31" s="249" t="s">
        <v>634</v>
      </c>
      <c r="F31" s="255">
        <f>IF(ISBLANK('7C'!E27),"##BLANK",'7C'!E27)</f>
        <v>442</v>
      </c>
    </row>
    <row r="32" spans="2:6">
      <c r="B32" s="257" t="str">
        <f>'7C'!R28</f>
        <v>BN13535</v>
      </c>
      <c r="C32" s="219" t="s">
        <v>3899</v>
      </c>
      <c r="E32" s="249" t="s">
        <v>634</v>
      </c>
      <c r="F32" s="255">
        <f>IF(ISBLANK('7C'!E28),"##BLANK",'7C'!E28)</f>
        <v>19950</v>
      </c>
    </row>
    <row r="33" spans="2:6">
      <c r="B33" s="257" t="str">
        <f>'7C'!R29</f>
        <v>BN13528</v>
      </c>
      <c r="C33" s="219" t="s">
        <v>3900</v>
      </c>
      <c r="E33" s="249" t="s">
        <v>634</v>
      </c>
      <c r="F33" s="255">
        <f>IF(ISBLANK('7C'!E29),"##BLANK",'7C'!E29)</f>
        <v>17175</v>
      </c>
    </row>
  </sheetData>
  <sheetProtection sort="0"/>
  <conditionalFormatting sqref="E4:E33">
    <cfRule type="expression" dxfId="217"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120.19921875" style="219" bestFit="1" customWidth="1"/>
    <col min="4" max="4" width="10.69921875" style="219" bestFit="1" customWidth="1"/>
    <col min="5" max="5" width="16.69921875" style="219" bestFit="1" customWidth="1"/>
    <col min="6" max="16384" width="9" style="219"/>
  </cols>
  <sheetData>
    <row r="1" spans="1:6">
      <c r="C1" s="219" t="str">
        <f>CONCATENATE(Lists!$B$60,"_APR2022_F8")</f>
        <v>WSH_APR2022_F8</v>
      </c>
    </row>
    <row r="2" spans="1:6">
      <c r="A2" s="219" t="s">
        <v>3</v>
      </c>
      <c r="B2" s="219" t="s">
        <v>628</v>
      </c>
      <c r="C2" s="219" t="s">
        <v>629</v>
      </c>
      <c r="D2" s="219" t="s">
        <v>630</v>
      </c>
      <c r="E2" s="219" t="s">
        <v>631</v>
      </c>
      <c r="F2" s="219" t="s">
        <v>632</v>
      </c>
    </row>
    <row r="3" spans="1:6">
      <c r="B3" s="239"/>
      <c r="C3" s="250"/>
      <c r="D3" s="249"/>
      <c r="E3" s="249"/>
    </row>
    <row r="4" spans="1:6">
      <c r="B4" s="219" t="str">
        <f>'8A'!R7</f>
        <v>BP05613</v>
      </c>
      <c r="C4" s="219" t="s">
        <v>3904</v>
      </c>
      <c r="E4" s="249" t="s">
        <v>634</v>
      </c>
      <c r="F4" s="255">
        <f>IF(ISBLANK('8A'!E7),"##BLANK",'8A'!E7)</f>
        <v>72.099999999999994</v>
      </c>
    </row>
    <row r="5" spans="1:6">
      <c r="B5" s="219" t="str">
        <f>'8A'!R8</f>
        <v>MP05614</v>
      </c>
      <c r="C5" s="219" t="s">
        <v>3905</v>
      </c>
      <c r="E5" s="249" t="s">
        <v>634</v>
      </c>
      <c r="F5" s="255">
        <f>IF(ISBLANK('8A'!E8),"##BLANK",'8A'!E8)</f>
        <v>2.2000000000000002</v>
      </c>
    </row>
    <row r="6" spans="1:6">
      <c r="B6" s="219" t="str">
        <f>'8A'!R9</f>
        <v>MP05611</v>
      </c>
      <c r="C6" s="219" t="s">
        <v>3906</v>
      </c>
      <c r="E6" s="249" t="s">
        <v>634</v>
      </c>
      <c r="F6" s="255">
        <f>IF(ISBLANK('8A'!E9),"##BLANK",'8A'!E9)</f>
        <v>74.3</v>
      </c>
    </row>
    <row r="7" spans="1:6">
      <c r="B7" s="219" t="str">
        <f>'8A'!R10</f>
        <v>MP05613</v>
      </c>
      <c r="C7" s="219" t="s">
        <v>3907</v>
      </c>
      <c r="E7" s="249" t="s">
        <v>634</v>
      </c>
      <c r="F7" s="255">
        <f>IF(ISBLANK('8A'!E10),"##BLANK",'8A'!E10)</f>
        <v>1.9</v>
      </c>
    </row>
    <row r="8" spans="1:6">
      <c r="B8" s="219" t="str">
        <f>'8A'!R12</f>
        <v>MP05615</v>
      </c>
      <c r="C8" s="219" t="s">
        <v>3908</v>
      </c>
      <c r="E8" s="249" t="s">
        <v>634</v>
      </c>
      <c r="F8" s="255">
        <f>IF(ISBLANK('8A'!E12),"##BLANK",'8A'!E12)</f>
        <v>41.62</v>
      </c>
    </row>
    <row r="9" spans="1:6">
      <c r="B9" s="219" t="str">
        <f>'8A'!R14</f>
        <v>BN1623</v>
      </c>
      <c r="C9" s="219" t="s">
        <v>3909</v>
      </c>
      <c r="E9" s="249" t="s">
        <v>634</v>
      </c>
      <c r="F9" s="255">
        <f>IF(ISBLANK('8A'!E14),"##BLANK",'8A'!E14)</f>
        <v>32.700000000000003</v>
      </c>
    </row>
    <row r="10" spans="1:6">
      <c r="B10" s="219" t="str">
        <f>'8A'!R15</f>
        <v>BN1622</v>
      </c>
      <c r="C10" s="219" t="s">
        <v>3910</v>
      </c>
      <c r="E10" s="249" t="s">
        <v>634</v>
      </c>
      <c r="F10" s="255">
        <f>IF(ISBLANK('8A'!E15),"##BLANK",'8A'!E15)</f>
        <v>1.8</v>
      </c>
    </row>
    <row r="11" spans="1:6">
      <c r="B11" s="219" t="str">
        <f>'8A'!R16</f>
        <v>BN1621</v>
      </c>
      <c r="C11" s="219" t="s">
        <v>3911</v>
      </c>
      <c r="E11" s="249" t="s">
        <v>634</v>
      </c>
      <c r="F11" s="255">
        <f>IF(ISBLANK('8A'!E16),"##BLANK",'8A'!E16)</f>
        <v>34.5</v>
      </c>
    </row>
    <row r="12" spans="1:6">
      <c r="B12" s="219" t="str">
        <f>'8A'!R18</f>
        <v>BN1640</v>
      </c>
      <c r="C12" s="219" t="s">
        <v>3912</v>
      </c>
      <c r="E12" s="249" t="s">
        <v>634</v>
      </c>
      <c r="F12" s="255">
        <f>IF(ISBLANK('8A'!E18),"##BLANK",'8A'!E18)</f>
        <v>3</v>
      </c>
    </row>
    <row r="13" spans="1:6">
      <c r="B13" s="219" t="str">
        <f>'8A'!R19</f>
        <v>BN1641</v>
      </c>
      <c r="C13" s="219" t="s">
        <v>3913</v>
      </c>
      <c r="E13" s="249" t="s">
        <v>634</v>
      </c>
      <c r="F13" s="255">
        <f>IF(ISBLANK('8A'!E19),"##BLANK",'8A'!E19)</f>
        <v>281</v>
      </c>
    </row>
    <row r="14" spans="1:6">
      <c r="B14" s="219" t="str">
        <f>'8A'!R20</f>
        <v>BN1642</v>
      </c>
      <c r="C14" s="219" t="s">
        <v>3914</v>
      </c>
      <c r="E14" s="249" t="s">
        <v>634</v>
      </c>
      <c r="F14" s="255">
        <f>IF(ISBLANK('8A'!E20),"##BLANK",'8A'!E20)</f>
        <v>2667</v>
      </c>
    </row>
    <row r="15" spans="1:6">
      <c r="B15" s="257" t="str">
        <f>'8A'!R21</f>
        <v>BN1643</v>
      </c>
      <c r="C15" s="219" t="s">
        <v>3915</v>
      </c>
      <c r="E15" s="249" t="s">
        <v>634</v>
      </c>
      <c r="F15" s="255">
        <f>IF(ISBLANK('8A'!E21),"##BLANK",'8A'!E21)</f>
        <v>2951</v>
      </c>
    </row>
    <row r="16" spans="1:6">
      <c r="B16" s="1784" t="str">
        <f>'8A'!R23</f>
        <v>BN1644</v>
      </c>
      <c r="C16" s="219" t="s">
        <v>3916</v>
      </c>
      <c r="E16" s="249" t="s">
        <v>634</v>
      </c>
      <c r="F16" s="255">
        <f>IF(ISBLANK('8A'!E23),"##BLANK",'8A'!E23)</f>
        <v>8834109</v>
      </c>
    </row>
    <row r="17" spans="2:6">
      <c r="B17" s="219" t="str">
        <f>'8A'!R25</f>
        <v>BN1648</v>
      </c>
      <c r="C17" s="219" t="s">
        <v>3917</v>
      </c>
      <c r="E17" s="249" t="s">
        <v>634</v>
      </c>
      <c r="F17" s="255">
        <f>IF(ISBLANK('8A'!E25),"##BLANK",'8A'!E25)</f>
        <v>0</v>
      </c>
    </row>
    <row r="18" spans="2:6">
      <c r="B18" s="219" t="str">
        <f>'8A'!R26</f>
        <v>BN1645</v>
      </c>
      <c r="C18" s="219" t="s">
        <v>3918</v>
      </c>
      <c r="E18" s="249" t="s">
        <v>634</v>
      </c>
      <c r="F18" s="255">
        <f>IF(ISBLANK('8A'!E26),"##BLANK",'8A'!E26)</f>
        <v>0</v>
      </c>
    </row>
    <row r="19" spans="2:6">
      <c r="B19" s="219" t="str">
        <f>'8A'!R27</f>
        <v>BN1646</v>
      </c>
      <c r="C19" s="219" t="s">
        <v>3919</v>
      </c>
      <c r="E19" s="249" t="s">
        <v>634</v>
      </c>
      <c r="F19" s="255">
        <f>IF(ISBLANK('8A'!E27),"##BLANK",'8A'!E27)</f>
        <v>2124</v>
      </c>
    </row>
    <row r="20" spans="2:6">
      <c r="B20" s="219" t="str">
        <f>'8A'!R28</f>
        <v>BN1647</v>
      </c>
      <c r="C20" s="219" t="s">
        <v>3920</v>
      </c>
      <c r="E20" s="249" t="s">
        <v>634</v>
      </c>
      <c r="F20" s="255">
        <f>IF(ISBLANK('8A'!E28),"##BLANK",'8A'!E28)</f>
        <v>2124</v>
      </c>
    </row>
    <row r="21" spans="2:6">
      <c r="B21" s="219" t="str">
        <f>'8A'!R30</f>
        <v>BN1649</v>
      </c>
      <c r="C21" s="219" t="s">
        <v>3921</v>
      </c>
      <c r="E21" s="249" t="s">
        <v>634</v>
      </c>
      <c r="F21" s="255">
        <f>IF(ISBLANK('8A'!E30),"##BLANK",'8A'!E30)</f>
        <v>0</v>
      </c>
    </row>
    <row r="22" spans="2:6">
      <c r="B22" s="1781" t="str">
        <f>'8A'!R31</f>
        <v>MP05616</v>
      </c>
      <c r="C22" s="219" t="s">
        <v>3922</v>
      </c>
      <c r="E22" s="249" t="s">
        <v>634</v>
      </c>
      <c r="F22" s="255">
        <f>IF(ISBLANK('8A'!E31),"##BLANK",'8A'!E31)</f>
        <v>30.81</v>
      </c>
    </row>
    <row r="23" spans="2:6">
      <c r="B23" s="219" t="str">
        <f>'8B'!AG8</f>
        <v>WWS1001STPPP</v>
      </c>
      <c r="C23" s="219" t="s">
        <v>3923</v>
      </c>
      <c r="E23" s="249" t="s">
        <v>634</v>
      </c>
      <c r="F23" s="255">
        <f>IF(ISBLANK('8B'!E8),"##BLANK",'8B'!E8)</f>
        <v>4.0000000000000001E-3</v>
      </c>
    </row>
    <row r="24" spans="2:6">
      <c r="B24" s="219" t="str">
        <f>'8B'!AH8</f>
        <v>WWS1001STPTK</v>
      </c>
      <c r="C24" s="219" t="s">
        <v>3924</v>
      </c>
      <c r="E24" s="249" t="s">
        <v>634</v>
      </c>
      <c r="F24" s="255">
        <f>IF(ISBLANK('8B'!F8),"##BLANK",'8B'!F8)</f>
        <v>1.0329999999999999</v>
      </c>
    </row>
    <row r="25" spans="2:6">
      <c r="B25" s="219" t="str">
        <f>'8B'!AI8</f>
        <v>WWS1001STPTR</v>
      </c>
      <c r="C25" s="219" t="s">
        <v>3925</v>
      </c>
      <c r="E25" s="249" t="s">
        <v>634</v>
      </c>
      <c r="F25" s="255">
        <f>IF(ISBLANK('8B'!G8),"##BLANK",'8B'!G8)</f>
        <v>0</v>
      </c>
    </row>
    <row r="26" spans="2:6">
      <c r="B26" s="219" t="str">
        <f>'8B'!AJ8</f>
        <v>WWS1001STPTOT</v>
      </c>
      <c r="C26" s="219" t="s">
        <v>3926</v>
      </c>
      <c r="E26" s="249" t="s">
        <v>634</v>
      </c>
      <c r="F26" s="255">
        <f>IF(ISBLANK('8B'!H8),"##BLANK",'8B'!H8)</f>
        <v>1.0369999999999999</v>
      </c>
    </row>
    <row r="27" spans="2:6">
      <c r="B27" s="219" t="str">
        <f>'8B'!AG9</f>
        <v>WWS1002STPPP</v>
      </c>
      <c r="C27" s="219" t="s">
        <v>3927</v>
      </c>
      <c r="E27" s="249" t="s">
        <v>634</v>
      </c>
      <c r="F27" s="255">
        <f>IF(ISBLANK('8B'!E9),"##BLANK",'8B'!E9)</f>
        <v>0</v>
      </c>
    </row>
    <row r="28" spans="2:6">
      <c r="B28" s="219" t="str">
        <f>'8B'!AH9</f>
        <v>WWS1002STPTK</v>
      </c>
      <c r="C28" s="219" t="s">
        <v>3928</v>
      </c>
      <c r="E28" s="249" t="s">
        <v>634</v>
      </c>
      <c r="F28" s="255">
        <f>IF(ISBLANK('8B'!F9),"##BLANK",'8B'!F9)</f>
        <v>0</v>
      </c>
    </row>
    <row r="29" spans="2:6">
      <c r="B29" s="219" t="str">
        <f>'8B'!AI9</f>
        <v>WWS1002STPTR</v>
      </c>
      <c r="C29" s="219" t="s">
        <v>3929</v>
      </c>
      <c r="E29" s="249" t="s">
        <v>634</v>
      </c>
      <c r="F29" s="255">
        <f>IF(ISBLANK('8B'!G9),"##BLANK",'8B'!G9)</f>
        <v>0</v>
      </c>
    </row>
    <row r="30" spans="2:6">
      <c r="B30" s="219" t="str">
        <f>'8B'!AJ9</f>
        <v>WWS1002STPTOT</v>
      </c>
      <c r="C30" s="219" t="s">
        <v>3930</v>
      </c>
      <c r="E30" s="249" t="s">
        <v>634</v>
      </c>
      <c r="F30" s="255">
        <f>IF(ISBLANK('8B'!H9),"##BLANK",'8B'!H9)</f>
        <v>0</v>
      </c>
    </row>
    <row r="31" spans="2:6">
      <c r="B31" s="219" t="str">
        <f>'8B'!AG10</f>
        <v>WWS1003STPPP</v>
      </c>
      <c r="C31" s="219" t="s">
        <v>3931</v>
      </c>
      <c r="E31" s="249" t="s">
        <v>634</v>
      </c>
      <c r="F31" s="255">
        <f>IF(ISBLANK('8B'!E10),"##BLANK",'8B'!E10)</f>
        <v>0</v>
      </c>
    </row>
    <row r="32" spans="2:6">
      <c r="B32" s="219" t="str">
        <f>'8B'!AH10</f>
        <v>WWS1003STPTK</v>
      </c>
      <c r="C32" s="219" t="s">
        <v>3932</v>
      </c>
      <c r="E32" s="249" t="s">
        <v>634</v>
      </c>
      <c r="F32" s="255">
        <f>IF(ISBLANK('8B'!F10),"##BLANK",'8B'!F10)</f>
        <v>0</v>
      </c>
    </row>
    <row r="33" spans="2:6">
      <c r="B33" s="219" t="str">
        <f>'8B'!AI10</f>
        <v>WWS1003STPTR</v>
      </c>
      <c r="C33" s="219" t="s">
        <v>3933</v>
      </c>
      <c r="E33" s="249" t="s">
        <v>634</v>
      </c>
      <c r="F33" s="255">
        <f>IF(ISBLANK('8B'!G10),"##BLANK",'8B'!G10)</f>
        <v>0</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f>IF(ISBLANK('8B'!E11),"##BLANK",'8B'!E11)</f>
        <v>0</v>
      </c>
    </row>
    <row r="36" spans="2:6">
      <c r="B36" s="219" t="str">
        <f>'8B'!AH11</f>
        <v>WWS1004STPTK</v>
      </c>
      <c r="C36" s="219" t="s">
        <v>3936</v>
      </c>
      <c r="E36" s="249" t="s">
        <v>634</v>
      </c>
      <c r="F36" s="255">
        <f>IF(ISBLANK('8B'!F11),"##BLANK",'8B'!F11)</f>
        <v>0</v>
      </c>
    </row>
    <row r="37" spans="2:6">
      <c r="B37" s="219" t="str">
        <f>'8B'!AI11</f>
        <v>WWS1004STPTR</v>
      </c>
      <c r="C37" s="219" t="s">
        <v>3937</v>
      </c>
      <c r="E37" s="249" t="s">
        <v>634</v>
      </c>
      <c r="F37" s="255">
        <f>IF(ISBLANK('8B'!G11),"##BLANK",'8B'!G11)</f>
        <v>0</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f>IF(ISBLANK('8B'!E14),"##BLANK",'8B'!E14)</f>
        <v>0</v>
      </c>
    </row>
    <row r="40" spans="2:6">
      <c r="B40" s="219" t="str">
        <f>'8B'!AH14</f>
        <v>WWS1005STPTK</v>
      </c>
      <c r="C40" s="219" t="s">
        <v>3940</v>
      </c>
      <c r="E40" s="249" t="s">
        <v>634</v>
      </c>
      <c r="F40" s="255">
        <f>IF(ISBLANK('8B'!F14),"##BLANK",'8B'!F14)</f>
        <v>0</v>
      </c>
    </row>
    <row r="41" spans="2:6">
      <c r="B41" s="219" t="str">
        <f>'8B'!AI14</f>
        <v>WWS1005STPTR</v>
      </c>
      <c r="C41" s="219" t="s">
        <v>3941</v>
      </c>
      <c r="E41" s="249" t="s">
        <v>634</v>
      </c>
      <c r="F41" s="255">
        <f>IF(ISBLANK('8B'!G14),"##BLANK",'8B'!G14)</f>
        <v>0</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f>IF(ISBLANK('8B'!E15),"##BLANK",'8B'!E15)</f>
        <v>0</v>
      </c>
    </row>
    <row r="44" spans="2:6">
      <c r="B44" s="219" t="str">
        <f>'8B'!AH15</f>
        <v>WWS1006STPTK</v>
      </c>
      <c r="C44" s="219" t="s">
        <v>3944</v>
      </c>
      <c r="E44" s="249" t="s">
        <v>634</v>
      </c>
      <c r="F44" s="255">
        <f>IF(ISBLANK('8B'!F15),"##BLANK",'8B'!F15)</f>
        <v>0</v>
      </c>
    </row>
    <row r="45" spans="2:6">
      <c r="B45" s="219" t="str">
        <f>'8B'!AI15</f>
        <v>WWS1006STPTR</v>
      </c>
      <c r="C45" s="219" t="s">
        <v>3945</v>
      </c>
      <c r="E45" s="249" t="s">
        <v>634</v>
      </c>
      <c r="F45" s="255">
        <f>IF(ISBLANK('8B'!G15),"##BLANK",'8B'!G15)</f>
        <v>0</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f>IF(ISBLANK('8B'!E16),"##BLANK",'8B'!E16)</f>
        <v>0</v>
      </c>
    </row>
    <row r="48" spans="2:6">
      <c r="B48" s="219" t="str">
        <f>'8B'!AH16</f>
        <v>WWS1007DISTPTK</v>
      </c>
      <c r="C48" s="219" t="s">
        <v>3948</v>
      </c>
      <c r="E48" s="249" t="s">
        <v>634</v>
      </c>
      <c r="F48" s="255">
        <f>IF(ISBLANK('8B'!F16),"##BLANK",'8B'!F16)</f>
        <v>6.0469999999999997</v>
      </c>
    </row>
    <row r="49" spans="2:6">
      <c r="B49" s="219" t="str">
        <f>'8B'!AI16</f>
        <v>WWS1007DISTPTR</v>
      </c>
      <c r="C49" s="219" t="s">
        <v>3949</v>
      </c>
      <c r="E49" s="249" t="s">
        <v>634</v>
      </c>
      <c r="F49" s="255">
        <f>IF(ISBLANK('8B'!G16),"##BLANK",'8B'!G16)</f>
        <v>0</v>
      </c>
    </row>
    <row r="50" spans="2:6">
      <c r="B50" s="219" t="str">
        <f>'8B'!AJ16</f>
        <v>WWS1007DISTPTOT</v>
      </c>
      <c r="C50" s="219" t="s">
        <v>3950</v>
      </c>
      <c r="E50" s="249" t="s">
        <v>634</v>
      </c>
      <c r="F50" s="255">
        <f>IF(ISBLANK('8B'!H16),"##BLANK",'8B'!H16)</f>
        <v>6.0469999999999997</v>
      </c>
    </row>
    <row r="51" spans="2:6">
      <c r="B51" s="219" t="str">
        <f>'8B'!AG17</f>
        <v>BM816STPPP</v>
      </c>
      <c r="C51" s="219" t="s">
        <v>3951</v>
      </c>
      <c r="E51" s="249" t="s">
        <v>634</v>
      </c>
      <c r="F51" s="255">
        <f>IF(ISBLANK('8B'!E17),"##BLANK",'8B'!E17)</f>
        <v>4.0000000000000001E-3</v>
      </c>
    </row>
    <row r="52" spans="2:6">
      <c r="B52" s="219" t="str">
        <f>'8B'!AH17</f>
        <v>BM816STPTK</v>
      </c>
      <c r="C52" s="219" t="s">
        <v>3952</v>
      </c>
      <c r="E52" s="249" t="s">
        <v>634</v>
      </c>
      <c r="F52" s="255">
        <f>IF(ISBLANK('8B'!F17),"##BLANK",'8B'!F17)</f>
        <v>7.08</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7.0839999999999996</v>
      </c>
    </row>
    <row r="55" spans="2:6">
      <c r="B55" s="219" t="str">
        <f>'8B'!AG18</f>
        <v>WWS1008STPPP</v>
      </c>
      <c r="C55" s="219" t="s">
        <v>3955</v>
      </c>
      <c r="E55" s="249" t="s">
        <v>634</v>
      </c>
      <c r="F55" s="255">
        <f>IF(ISBLANK('8B'!E18),"##BLANK",'8B'!E18)</f>
        <v>0</v>
      </c>
    </row>
    <row r="56" spans="2:6">
      <c r="B56" s="219" t="str">
        <f>'8B'!AH18</f>
        <v>WWS1008STPTK</v>
      </c>
      <c r="C56" s="219" t="s">
        <v>3956</v>
      </c>
      <c r="E56" s="249" t="s">
        <v>634</v>
      </c>
      <c r="F56" s="255">
        <f>IF(ISBLANK('8B'!F18),"##BLANK",'8B'!F18)</f>
        <v>7.0000000000000001E-3</v>
      </c>
    </row>
    <row r="57" spans="2:6">
      <c r="B57" s="219" t="str">
        <f>'8B'!AI18</f>
        <v>WWS1008STPTR</v>
      </c>
      <c r="C57" s="219" t="s">
        <v>3957</v>
      </c>
      <c r="E57" s="249" t="s">
        <v>634</v>
      </c>
      <c r="F57" s="255">
        <f>IF(ISBLANK('8B'!G18),"##BLANK",'8B'!G18)</f>
        <v>0</v>
      </c>
    </row>
    <row r="58" spans="2:6">
      <c r="B58" s="219" t="str">
        <f>'8B'!AJ18</f>
        <v>WWS1008STPTOT</v>
      </c>
      <c r="C58" s="219" t="s">
        <v>3958</v>
      </c>
      <c r="E58" s="249" t="s">
        <v>634</v>
      </c>
      <c r="F58" s="255">
        <f>IF(ISBLANK('8B'!H18),"##BLANK",'8B'!H18)</f>
        <v>7.0000000000000001E-3</v>
      </c>
    </row>
    <row r="59" spans="2:6">
      <c r="B59" s="219" t="str">
        <f>'8B'!AG19</f>
        <v>WWS1009STPPP</v>
      </c>
      <c r="C59" s="219" t="s">
        <v>3959</v>
      </c>
      <c r="E59" s="249" t="s">
        <v>634</v>
      </c>
      <c r="F59" s="255">
        <f>IF(ISBLANK('8B'!E19),"##BLANK",'8B'!E19)</f>
        <v>4.0000000000000001E-3</v>
      </c>
    </row>
    <row r="60" spans="2:6">
      <c r="B60" s="219" t="str">
        <f>'8B'!AH19</f>
        <v>WWS1009STPTK</v>
      </c>
      <c r="C60" s="219" t="s">
        <v>3960</v>
      </c>
      <c r="E60" s="249" t="s">
        <v>634</v>
      </c>
      <c r="F60" s="255">
        <f>IF(ISBLANK('8B'!F19),"##BLANK",'8B'!F19)</f>
        <v>7.0869999999999997</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7.0909999999999993</v>
      </c>
    </row>
    <row r="63" spans="2:6">
      <c r="B63" s="219" t="str">
        <f>'8B'!AG24</f>
        <v>BM402STUTS</v>
      </c>
      <c r="C63" s="219" t="s">
        <v>3963</v>
      </c>
      <c r="E63" s="249" t="s">
        <v>634</v>
      </c>
      <c r="F63" s="255">
        <f>IF(ISBLANK('8B'!E24),"##BLANK",'8B'!E24)</f>
        <v>0</v>
      </c>
    </row>
    <row r="64" spans="2:6">
      <c r="B64" s="219" t="str">
        <f>'8B'!AH24</f>
        <v>BM402STRSL</v>
      </c>
      <c r="C64" s="219" t="s">
        <v>3964</v>
      </c>
      <c r="E64" s="249" t="s">
        <v>634</v>
      </c>
      <c r="F64" s="255">
        <f>IF(ISBLANK('8B'!F24),"##BLANK",'8B'!F24)</f>
        <v>0</v>
      </c>
    </row>
    <row r="65" spans="2:6">
      <c r="B65" s="219" t="str">
        <f>'8B'!AI24</f>
        <v>BM402STCAD</v>
      </c>
      <c r="C65" s="219" t="s">
        <v>3965</v>
      </c>
      <c r="E65" s="249" t="s">
        <v>634</v>
      </c>
      <c r="F65" s="255">
        <f>IF(ISBLANK('8B'!G24),"##BLANK",'8B'!G24)</f>
        <v>0</v>
      </c>
    </row>
    <row r="66" spans="2:6">
      <c r="B66" s="219" t="str">
        <f>'8B'!AJ24</f>
        <v>BM402STIRS</v>
      </c>
      <c r="C66" s="219" t="s">
        <v>3966</v>
      </c>
      <c r="E66" s="249" t="s">
        <v>634</v>
      </c>
      <c r="F66" s="255">
        <f>IF(ISBLANK('8B'!H24),"##BLANK",'8B'!H24)</f>
        <v>0</v>
      </c>
    </row>
    <row r="67" spans="2:6">
      <c r="B67" s="219" t="str">
        <f>'8B'!AK24</f>
        <v>BM402STPCC</v>
      </c>
      <c r="C67" s="219" t="s">
        <v>3967</v>
      </c>
      <c r="E67" s="249" t="s">
        <v>634</v>
      </c>
      <c r="F67" s="255">
        <f>IF(ISBLANK('8B'!I24),"##BLANK",'8B'!I24)</f>
        <v>0</v>
      </c>
    </row>
    <row r="68" spans="2:6">
      <c r="B68" s="219" t="str">
        <f>'8B'!AL24</f>
        <v>BM402STAD</v>
      </c>
      <c r="C68" s="219" t="s">
        <v>3968</v>
      </c>
      <c r="E68" s="249" t="s">
        <v>634</v>
      </c>
      <c r="F68" s="255">
        <f>IF(ISBLANK('8B'!J24),"##BLANK",'8B'!J24)</f>
        <v>5.069</v>
      </c>
    </row>
    <row r="69" spans="2:6">
      <c r="B69" s="219" t="str">
        <f>'8B'!AM24</f>
        <v>BM402STSLOT</v>
      </c>
      <c r="C69" s="219" t="s">
        <v>3969</v>
      </c>
      <c r="E69" s="249" t="s">
        <v>634</v>
      </c>
      <c r="F69" s="255">
        <f>IF(ISBLANK('8B'!K24),"##BLANK",'8B'!K24)</f>
        <v>0</v>
      </c>
    </row>
    <row r="70" spans="2:6">
      <c r="B70" s="219" t="str">
        <f>'8B'!AN24</f>
        <v>BM402STTOT</v>
      </c>
      <c r="C70" s="219" t="s">
        <v>3970</v>
      </c>
      <c r="E70" s="249" t="s">
        <v>634</v>
      </c>
      <c r="F70" s="255">
        <f>IF(ISBLANK('8B'!L24),"##BLANK",'8B'!L24)</f>
        <v>5.069</v>
      </c>
    </row>
    <row r="71" spans="2:6">
      <c r="B71" s="219" t="str">
        <f>'8B'!AG25</f>
        <v>BM836STUTS</v>
      </c>
      <c r="C71" s="219" t="s">
        <v>3971</v>
      </c>
      <c r="E71" s="249" t="s">
        <v>634</v>
      </c>
      <c r="F71" s="255">
        <f>IF(ISBLANK('8B'!E25),"##BLANK",'8B'!E25)</f>
        <v>0</v>
      </c>
    </row>
    <row r="72" spans="2:6">
      <c r="B72" s="219" t="str">
        <f>'8B'!AH25</f>
        <v>BM836STRSL</v>
      </c>
      <c r="C72" s="219" t="s">
        <v>3972</v>
      </c>
      <c r="E72" s="249" t="s">
        <v>634</v>
      </c>
      <c r="F72" s="255">
        <f>IF(ISBLANK('8B'!F25),"##BLANK",'8B'!F25)</f>
        <v>0</v>
      </c>
    </row>
    <row r="73" spans="2:6">
      <c r="B73" s="219" t="str">
        <f>'8B'!AI25</f>
        <v>BM836STCAD</v>
      </c>
      <c r="C73" s="219" t="s">
        <v>3973</v>
      </c>
      <c r="E73" s="249" t="s">
        <v>634</v>
      </c>
      <c r="F73" s="255">
        <f>IF(ISBLANK('8B'!G25),"##BLANK",'8B'!G25)</f>
        <v>0</v>
      </c>
    </row>
    <row r="74" spans="2:6">
      <c r="B74" s="219" t="str">
        <f>'8B'!AJ25</f>
        <v>BM836STIRS</v>
      </c>
      <c r="C74" s="219" t="s">
        <v>3974</v>
      </c>
      <c r="E74" s="249" t="s">
        <v>634</v>
      </c>
      <c r="F74" s="255">
        <f>IF(ISBLANK('8B'!H25),"##BLANK",'8B'!H25)</f>
        <v>0</v>
      </c>
    </row>
    <row r="75" spans="2:6">
      <c r="B75" s="219" t="str">
        <f>'8B'!AK25</f>
        <v>BM836STPCC</v>
      </c>
      <c r="C75" s="219" t="s">
        <v>3975</v>
      </c>
      <c r="E75" s="249" t="s">
        <v>634</v>
      </c>
      <c r="F75" s="255">
        <f>IF(ISBLANK('8B'!I25),"##BLANK",'8B'!I25)</f>
        <v>0</v>
      </c>
    </row>
    <row r="76" spans="2:6">
      <c r="B76" s="219" t="str">
        <f>'8B'!AL25</f>
        <v>BM836STAD</v>
      </c>
      <c r="C76" s="219" t="s">
        <v>3976</v>
      </c>
      <c r="E76" s="249" t="s">
        <v>634</v>
      </c>
      <c r="F76" s="255">
        <f>IF(ISBLANK('8B'!J25),"##BLANK",'8B'!J25)</f>
        <v>-11.722999999999999</v>
      </c>
    </row>
    <row r="77" spans="2:6">
      <c r="B77" s="219" t="str">
        <f>'8B'!AM25</f>
        <v>BM836STSLOT</v>
      </c>
      <c r="C77" s="219" t="s">
        <v>3977</v>
      </c>
      <c r="E77" s="249" t="s">
        <v>634</v>
      </c>
      <c r="F77" s="255">
        <f>IF(ISBLANK('8B'!K25),"##BLANK",'8B'!K25)</f>
        <v>0</v>
      </c>
    </row>
    <row r="78" spans="2:6">
      <c r="B78" s="219" t="str">
        <f>'8B'!AN25</f>
        <v>BM836STTOT</v>
      </c>
      <c r="C78" s="219" t="s">
        <v>3978</v>
      </c>
      <c r="E78" s="249" t="s">
        <v>634</v>
      </c>
      <c r="F78" s="255">
        <f>IF(ISBLANK('8B'!L25),"##BLANK",'8B'!L25)</f>
        <v>-11.722999999999999</v>
      </c>
    </row>
    <row r="79" spans="2:6">
      <c r="B79" s="219" t="str">
        <f>'8B'!AG26</f>
        <v>WWS1003STUTS</v>
      </c>
      <c r="C79" s="219" t="s">
        <v>3979</v>
      </c>
      <c r="E79" s="249" t="s">
        <v>634</v>
      </c>
      <c r="F79" s="255">
        <f>IF(ISBLANK('8B'!E26),"##BLANK",'8B'!E26)</f>
        <v>0</v>
      </c>
    </row>
    <row r="80" spans="2:6">
      <c r="B80" s="219" t="str">
        <f>'8B'!AH26</f>
        <v>WWS1003STRSL</v>
      </c>
      <c r="C80" s="219" t="s">
        <v>3980</v>
      </c>
      <c r="E80" s="249" t="s">
        <v>634</v>
      </c>
      <c r="F80" s="255">
        <f>IF(ISBLANK('8B'!F26),"##BLANK",'8B'!F26)</f>
        <v>0</v>
      </c>
    </row>
    <row r="81" spans="2:6">
      <c r="B81" s="219" t="str">
        <f>'8B'!AI26</f>
        <v>WWS1003STCAD</v>
      </c>
      <c r="C81" s="219" t="s">
        <v>3981</v>
      </c>
      <c r="E81" s="249" t="s">
        <v>634</v>
      </c>
      <c r="F81" s="255">
        <f>IF(ISBLANK('8B'!G26),"##BLANK",'8B'!G26)</f>
        <v>0</v>
      </c>
    </row>
    <row r="82" spans="2:6">
      <c r="B82" s="219" t="str">
        <f>'8B'!AJ26</f>
        <v>WWS1003STIRS</v>
      </c>
      <c r="C82" s="219" t="s">
        <v>3982</v>
      </c>
      <c r="E82" s="249" t="s">
        <v>634</v>
      </c>
      <c r="F82" s="255">
        <f>IF(ISBLANK('8B'!H26),"##BLANK",'8B'!H26)</f>
        <v>0</v>
      </c>
    </row>
    <row r="83" spans="2:6">
      <c r="B83" s="219" t="str">
        <f>'8B'!AK26</f>
        <v>WWS1003STPCC</v>
      </c>
      <c r="C83" s="219" t="s">
        <v>3983</v>
      </c>
      <c r="E83" s="249" t="s">
        <v>634</v>
      </c>
      <c r="F83" s="255">
        <f>IF(ISBLANK('8B'!I26),"##BLANK",'8B'!I26)</f>
        <v>0</v>
      </c>
    </row>
    <row r="84" spans="2:6">
      <c r="B84" s="219" t="str">
        <f>'8B'!AL26</f>
        <v>WWS1003STAD</v>
      </c>
      <c r="C84" s="219" t="s">
        <v>3984</v>
      </c>
      <c r="E84" s="249" t="s">
        <v>634</v>
      </c>
      <c r="F84" s="255">
        <f>IF(ISBLANK('8B'!J26),"##BLANK",'8B'!J26)</f>
        <v>3.2000000000000001E-2</v>
      </c>
    </row>
    <row r="85" spans="2:6">
      <c r="B85" s="219" t="str">
        <f>'8B'!AM26</f>
        <v>WWS1003STSLOT</v>
      </c>
      <c r="C85" s="219" t="s">
        <v>3985</v>
      </c>
      <c r="E85" s="249" t="s">
        <v>634</v>
      </c>
      <c r="F85" s="255">
        <f>IF(ISBLANK('8B'!K26),"##BLANK",'8B'!K26)</f>
        <v>0</v>
      </c>
    </row>
    <row r="86" spans="2:6">
      <c r="B86" s="219" t="str">
        <f>'8B'!AN26</f>
        <v>WWS1003STTOT</v>
      </c>
      <c r="C86" s="219" t="s">
        <v>3986</v>
      </c>
      <c r="E86" s="249" t="s">
        <v>634</v>
      </c>
      <c r="F86" s="255">
        <f>IF(ISBLANK('8B'!L26),"##BLANK",'8B'!L26)</f>
        <v>3.2000000000000001E-2</v>
      </c>
    </row>
    <row r="87" spans="2:6">
      <c r="B87" s="219" t="str">
        <f>'8B'!AG27</f>
        <v>BM240STUTS</v>
      </c>
      <c r="C87" s="219" t="s">
        <v>3987</v>
      </c>
      <c r="E87" s="249" t="s">
        <v>634</v>
      </c>
      <c r="F87" s="255">
        <f>IF(ISBLANK('8B'!E27),"##BLANK",'8B'!E27)</f>
        <v>0</v>
      </c>
    </row>
    <row r="88" spans="2:6">
      <c r="B88" s="219" t="str">
        <f>'8B'!AH27</f>
        <v>BM240STRSL</v>
      </c>
      <c r="C88" s="219" t="s">
        <v>3988</v>
      </c>
      <c r="E88" s="249" t="s">
        <v>634</v>
      </c>
      <c r="F88" s="255">
        <f>IF(ISBLANK('8B'!F27),"##BLANK",'8B'!F27)</f>
        <v>0</v>
      </c>
    </row>
    <row r="89" spans="2:6">
      <c r="B89" s="219" t="str">
        <f>'8B'!AI27</f>
        <v>BM240STCAD</v>
      </c>
      <c r="C89" s="219" t="s">
        <v>3989</v>
      </c>
      <c r="E89" s="249" t="s">
        <v>634</v>
      </c>
      <c r="F89" s="255">
        <f>IF(ISBLANK('8B'!G27),"##BLANK",'8B'!G27)</f>
        <v>0</v>
      </c>
    </row>
    <row r="90" spans="2:6">
      <c r="B90" s="219" t="str">
        <f>'8B'!AJ27</f>
        <v>BM240STIRS</v>
      </c>
      <c r="C90" s="219" t="s">
        <v>3990</v>
      </c>
      <c r="E90" s="249" t="s">
        <v>634</v>
      </c>
      <c r="F90" s="255">
        <f>IF(ISBLANK('8B'!H27),"##BLANK",'8B'!H27)</f>
        <v>0</v>
      </c>
    </row>
    <row r="91" spans="2:6">
      <c r="B91" s="219" t="str">
        <f>'8B'!AK27</f>
        <v>BM240STPCC</v>
      </c>
      <c r="C91" s="219" t="s">
        <v>3991</v>
      </c>
      <c r="E91" s="249" t="s">
        <v>634</v>
      </c>
      <c r="F91" s="255">
        <f>IF(ISBLANK('8B'!I27),"##BLANK",'8B'!I27)</f>
        <v>0</v>
      </c>
    </row>
    <row r="92" spans="2:6">
      <c r="B92" s="219" t="str">
        <f>'8B'!AL27</f>
        <v>BM240STAD</v>
      </c>
      <c r="C92" s="219" t="s">
        <v>3992</v>
      </c>
      <c r="E92" s="249" t="s">
        <v>634</v>
      </c>
      <c r="F92" s="255">
        <f>IF(ISBLANK('8B'!J27),"##BLANK",'8B'!J27)</f>
        <v>0</v>
      </c>
    </row>
    <row r="93" spans="2:6">
      <c r="B93" s="219" t="str">
        <f>'8B'!AM27</f>
        <v>BM240STSLOT</v>
      </c>
      <c r="C93" s="219" t="s">
        <v>3993</v>
      </c>
      <c r="E93" s="249" t="s">
        <v>634</v>
      </c>
      <c r="F93" s="255">
        <f>IF(ISBLANK('8B'!K27),"##BLANK",'8B'!K27)</f>
        <v>0</v>
      </c>
    </row>
    <row r="94" spans="2:6">
      <c r="B94" s="219" t="str">
        <f>'8B'!AN27</f>
        <v>BM240STTOT</v>
      </c>
      <c r="C94" s="219" t="s">
        <v>3994</v>
      </c>
      <c r="E94" s="249" t="s">
        <v>634</v>
      </c>
      <c r="F94" s="255">
        <f>IF(ISBLANK('8B'!L27),"##BLANK",'8B'!L27)</f>
        <v>0</v>
      </c>
    </row>
    <row r="95" spans="2:6">
      <c r="B95" s="219" t="str">
        <f>'8B'!AG30</f>
        <v>WWS1005STUTS</v>
      </c>
      <c r="C95" s="219" t="s">
        <v>3995</v>
      </c>
      <c r="E95" s="249" t="s">
        <v>634</v>
      </c>
      <c r="F95" s="255">
        <f>IF(ISBLANK('8B'!E30),"##BLANK",'8B'!E30)</f>
        <v>0</v>
      </c>
    </row>
    <row r="96" spans="2:6">
      <c r="B96" s="219" t="str">
        <f>'8B'!AH30</f>
        <v>WWS1005STRSL</v>
      </c>
      <c r="C96" s="219" t="s">
        <v>3996</v>
      </c>
      <c r="E96" s="249" t="s">
        <v>634</v>
      </c>
      <c r="F96" s="255">
        <f>IF(ISBLANK('8B'!F30),"##BLANK",'8B'!F30)</f>
        <v>0</v>
      </c>
    </row>
    <row r="97" spans="2:6">
      <c r="B97" s="219" t="str">
        <f>'8B'!AI30</f>
        <v>WWS1005STCAD</v>
      </c>
      <c r="C97" s="219" t="s">
        <v>3997</v>
      </c>
      <c r="E97" s="249" t="s">
        <v>634</v>
      </c>
      <c r="F97" s="255">
        <f>IF(ISBLANK('8B'!G30),"##BLANK",'8B'!G30)</f>
        <v>0</v>
      </c>
    </row>
    <row r="98" spans="2:6">
      <c r="B98" s="219" t="str">
        <f>'8B'!AJ30</f>
        <v>WWS1005STIRS</v>
      </c>
      <c r="C98" s="219" t="s">
        <v>3998</v>
      </c>
      <c r="E98" s="249" t="s">
        <v>634</v>
      </c>
      <c r="F98" s="255">
        <f>IF(ISBLANK('8B'!H30),"##BLANK",'8B'!H30)</f>
        <v>0</v>
      </c>
    </row>
    <row r="99" spans="2:6">
      <c r="B99" s="219" t="str">
        <f>'8B'!AK30</f>
        <v>WWS1005STPCC</v>
      </c>
      <c r="C99" s="219" t="s">
        <v>3999</v>
      </c>
      <c r="E99" s="249" t="s">
        <v>634</v>
      </c>
      <c r="F99" s="255">
        <f>IF(ISBLANK('8B'!I30),"##BLANK",'8B'!I30)</f>
        <v>0</v>
      </c>
    </row>
    <row r="100" spans="2:6">
      <c r="B100" s="219" t="str">
        <f>'8B'!AL30</f>
        <v>WWS1005STAD</v>
      </c>
      <c r="C100" s="219" t="s">
        <v>4000</v>
      </c>
      <c r="E100" s="249" t="s">
        <v>634</v>
      </c>
      <c r="F100" s="255">
        <f>IF(ISBLANK('8B'!J30),"##BLANK",'8B'!J30)</f>
        <v>0</v>
      </c>
    </row>
    <row r="101" spans="2:6">
      <c r="B101" s="219" t="str">
        <f>'8B'!AM30</f>
        <v>WWS1005STSLOT</v>
      </c>
      <c r="C101" s="219" t="s">
        <v>4001</v>
      </c>
      <c r="E101" s="249" t="s">
        <v>634</v>
      </c>
      <c r="F101" s="255">
        <f>IF(ISBLANK('8B'!K30),"##BLANK",'8B'!K30)</f>
        <v>0</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f>IF(ISBLANK('8B'!E31),"##BLANK",'8B'!E31)</f>
        <v>0</v>
      </c>
    </row>
    <row r="104" spans="2:6">
      <c r="B104" s="219" t="str">
        <f>'8B'!AH31</f>
        <v>WWS1006STRSL</v>
      </c>
      <c r="C104" s="219" t="s">
        <v>4004</v>
      </c>
      <c r="E104" s="249" t="s">
        <v>634</v>
      </c>
      <c r="F104" s="255">
        <f>IF(ISBLANK('8B'!F31),"##BLANK",'8B'!F31)</f>
        <v>0</v>
      </c>
    </row>
    <row r="105" spans="2:6">
      <c r="B105" s="219" t="str">
        <f>'8B'!AI31</f>
        <v>WWS1006STCAD</v>
      </c>
      <c r="C105" s="219" t="s">
        <v>4005</v>
      </c>
      <c r="E105" s="249" t="s">
        <v>634</v>
      </c>
      <c r="F105" s="255">
        <f>IF(ISBLANK('8B'!G31),"##BLANK",'8B'!G31)</f>
        <v>0</v>
      </c>
    </row>
    <row r="106" spans="2:6">
      <c r="B106" s="219" t="str">
        <f>'8B'!AJ31</f>
        <v>WWS1006STIRS</v>
      </c>
      <c r="C106" s="219" t="s">
        <v>4006</v>
      </c>
      <c r="E106" s="249" t="s">
        <v>634</v>
      </c>
      <c r="F106" s="255">
        <f>IF(ISBLANK('8B'!H31),"##BLANK",'8B'!H31)</f>
        <v>0</v>
      </c>
    </row>
    <row r="107" spans="2:6">
      <c r="B107" s="219" t="str">
        <f>'8B'!AK31</f>
        <v>WWS1006STPCC</v>
      </c>
      <c r="C107" s="219" t="s">
        <v>4007</v>
      </c>
      <c r="E107" s="249" t="s">
        <v>634</v>
      </c>
      <c r="F107" s="255">
        <f>IF(ISBLANK('8B'!I31),"##BLANK",'8B'!I31)</f>
        <v>0</v>
      </c>
    </row>
    <row r="108" spans="2:6">
      <c r="B108" s="219" t="str">
        <f>'8B'!AL31</f>
        <v>WWS1006STAD</v>
      </c>
      <c r="C108" s="219" t="s">
        <v>4008</v>
      </c>
      <c r="E108" s="249" t="s">
        <v>634</v>
      </c>
      <c r="F108" s="255">
        <f>IF(ISBLANK('8B'!J31),"##BLANK",'8B'!J31)</f>
        <v>0</v>
      </c>
    </row>
    <row r="109" spans="2:6">
      <c r="B109" s="219" t="str">
        <f>'8B'!AM31</f>
        <v>WWS1006STSLOT</v>
      </c>
      <c r="C109" s="219" t="s">
        <v>4009</v>
      </c>
      <c r="E109" s="249" t="s">
        <v>634</v>
      </c>
      <c r="F109" s="255">
        <f>IF(ISBLANK('8B'!K31),"##BLANK",'8B'!K31)</f>
        <v>0</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f>IF(ISBLANK('8B'!E32),"##BLANK",'8B'!E32)</f>
        <v>0</v>
      </c>
    </row>
    <row r="112" spans="2:6">
      <c r="B112" s="219" t="str">
        <f>'8B'!AH32</f>
        <v>BM408STRSL</v>
      </c>
      <c r="C112" s="219" t="s">
        <v>4012</v>
      </c>
      <c r="E112" s="249" t="s">
        <v>634</v>
      </c>
      <c r="F112" s="255">
        <f>IF(ISBLANK('8B'!F32),"##BLANK",'8B'!F32)</f>
        <v>0</v>
      </c>
    </row>
    <row r="113" spans="2:6">
      <c r="B113" s="219" t="str">
        <f>'8B'!AI32</f>
        <v>BM408STCAD</v>
      </c>
      <c r="C113" s="219" t="s">
        <v>4013</v>
      </c>
      <c r="E113" s="249" t="s">
        <v>634</v>
      </c>
      <c r="F113" s="255">
        <f>IF(ISBLANK('8B'!G32),"##BLANK",'8B'!G32)</f>
        <v>0</v>
      </c>
    </row>
    <row r="114" spans="2:6">
      <c r="B114" s="219" t="str">
        <f>'8B'!AJ32</f>
        <v>BM408STIRS</v>
      </c>
      <c r="C114" s="219" t="s">
        <v>4014</v>
      </c>
      <c r="E114" s="249" t="s">
        <v>634</v>
      </c>
      <c r="F114" s="255">
        <f>IF(ISBLANK('8B'!H32),"##BLANK",'8B'!H32)</f>
        <v>0</v>
      </c>
    </row>
    <row r="115" spans="2:6">
      <c r="B115" s="219" t="str">
        <f>'8B'!AK32</f>
        <v>BM408STPCC</v>
      </c>
      <c r="C115" s="219" t="s">
        <v>4015</v>
      </c>
      <c r="E115" s="249" t="s">
        <v>634</v>
      </c>
      <c r="F115" s="255">
        <f>IF(ISBLANK('8B'!I32),"##BLANK",'8B'!I32)</f>
        <v>0</v>
      </c>
    </row>
    <row r="116" spans="2:6">
      <c r="B116" s="219" t="str">
        <f>'8B'!AL32</f>
        <v>BM408STAD</v>
      </c>
      <c r="C116" s="219" t="s">
        <v>4016</v>
      </c>
      <c r="E116" s="249" t="s">
        <v>634</v>
      </c>
      <c r="F116" s="255">
        <f>IF(ISBLANK('8B'!J32),"##BLANK",'8B'!J32)</f>
        <v>14.888</v>
      </c>
    </row>
    <row r="117" spans="2:6">
      <c r="B117" s="219" t="str">
        <f>'8B'!AM32</f>
        <v>BM408STSLOT</v>
      </c>
      <c r="C117" s="219" t="s">
        <v>4017</v>
      </c>
      <c r="E117" s="249" t="s">
        <v>634</v>
      </c>
      <c r="F117" s="255">
        <f>IF(ISBLANK('8B'!K32),"##BLANK",'8B'!K32)</f>
        <v>5.1950000000000003</v>
      </c>
    </row>
    <row r="118" spans="2:6">
      <c r="B118" s="219" t="str">
        <f>'8B'!AN32</f>
        <v>BM408STTOT</v>
      </c>
      <c r="C118" s="219" t="s">
        <v>4018</v>
      </c>
      <c r="E118" s="249" t="s">
        <v>634</v>
      </c>
      <c r="F118" s="255">
        <f>IF(ISBLANK('8B'!L32),"##BLANK",'8B'!L32)</f>
        <v>20.082999999999998</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8.2660000000000018</v>
      </c>
    </row>
    <row r="125" spans="2:6">
      <c r="B125" s="219" t="str">
        <f>'8B'!AM33</f>
        <v>BM410STSLOT</v>
      </c>
      <c r="C125" s="219" t="s">
        <v>4025</v>
      </c>
      <c r="E125" s="249" t="s">
        <v>634</v>
      </c>
      <c r="F125" s="255">
        <f>IF(ISBLANK('8B'!K33),"##BLANK",'8B'!K33)</f>
        <v>5.1950000000000003</v>
      </c>
    </row>
    <row r="126" spans="2:6">
      <c r="B126" s="219" t="str">
        <f>'8B'!AN33</f>
        <v>BM410STTOT</v>
      </c>
      <c r="C126" s="219" t="s">
        <v>4026</v>
      </c>
      <c r="E126" s="249" t="s">
        <v>634</v>
      </c>
      <c r="F126" s="255">
        <f>IF(ISBLANK('8B'!L33),"##BLANK",'8B'!L33)</f>
        <v>13.461000000000002</v>
      </c>
    </row>
    <row r="127" spans="2:6">
      <c r="B127" s="219" t="str">
        <f>'8B'!AG34</f>
        <v>BM817STUTS</v>
      </c>
      <c r="C127" s="219" t="s">
        <v>4027</v>
      </c>
      <c r="E127" s="249" t="s">
        <v>634</v>
      </c>
      <c r="F127" s="255">
        <f>IF(ISBLANK('8B'!E34),"##BLANK",'8B'!E34)</f>
        <v>0</v>
      </c>
    </row>
    <row r="128" spans="2:6">
      <c r="B128" s="219" t="str">
        <f>'8B'!AH34</f>
        <v>BM817STRSL</v>
      </c>
      <c r="C128" s="219" t="s">
        <v>4028</v>
      </c>
      <c r="E128" s="249" t="s">
        <v>634</v>
      </c>
      <c r="F128" s="255">
        <f>IF(ISBLANK('8B'!F34),"##BLANK",'8B'!F34)</f>
        <v>0</v>
      </c>
    </row>
    <row r="129" spans="2:6">
      <c r="B129" s="219" t="str">
        <f>'8B'!AI34</f>
        <v>BM817STCAD</v>
      </c>
      <c r="C129" s="219" t="s">
        <v>4029</v>
      </c>
      <c r="E129" s="249" t="s">
        <v>634</v>
      </c>
      <c r="F129" s="255">
        <f>IF(ISBLANK('8B'!G34),"##BLANK",'8B'!G34)</f>
        <v>0</v>
      </c>
    </row>
    <row r="130" spans="2:6">
      <c r="B130" s="219" t="str">
        <f>'8B'!AJ34</f>
        <v>BM817STIRS</v>
      </c>
      <c r="C130" s="219" t="s">
        <v>4030</v>
      </c>
      <c r="E130" s="249" t="s">
        <v>634</v>
      </c>
      <c r="F130" s="255">
        <f>IF(ISBLANK('8B'!H34),"##BLANK",'8B'!H34)</f>
        <v>0</v>
      </c>
    </row>
    <row r="131" spans="2:6">
      <c r="B131" s="219" t="str">
        <f>'8B'!AK34</f>
        <v>BM817STPCC</v>
      </c>
      <c r="C131" s="219" t="s">
        <v>4031</v>
      </c>
      <c r="E131" s="249" t="s">
        <v>634</v>
      </c>
      <c r="F131" s="255">
        <f>IF(ISBLANK('8B'!I34),"##BLANK",'8B'!I34)</f>
        <v>0</v>
      </c>
    </row>
    <row r="132" spans="2:6">
      <c r="B132" s="219" t="str">
        <f>'8B'!AL34</f>
        <v>BM817STAD</v>
      </c>
      <c r="C132" s="219" t="s">
        <v>4032</v>
      </c>
      <c r="E132" s="249" t="s">
        <v>634</v>
      </c>
      <c r="F132" s="255">
        <f>IF(ISBLANK('8B'!J34),"##BLANK",'8B'!J34)</f>
        <v>0.628</v>
      </c>
    </row>
    <row r="133" spans="2:6">
      <c r="B133" s="219" t="str">
        <f>'8B'!AM34</f>
        <v>BM817STSLOT</v>
      </c>
      <c r="C133" s="219" t="s">
        <v>4033</v>
      </c>
      <c r="E133" s="249" t="s">
        <v>634</v>
      </c>
      <c r="F133" s="255">
        <f>IF(ISBLANK('8B'!K34),"##BLANK",'8B'!K34)</f>
        <v>0</v>
      </c>
    </row>
    <row r="134" spans="2:6">
      <c r="B134" s="219" t="str">
        <f>'8B'!AN34</f>
        <v>BM817STTOT</v>
      </c>
      <c r="C134" s="219" t="s">
        <v>4034</v>
      </c>
      <c r="E134" s="249" t="s">
        <v>634</v>
      </c>
      <c r="F134" s="255">
        <f>IF(ISBLANK('8B'!L34),"##BLANK",'8B'!L34)</f>
        <v>0.628</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8.8940000000000019</v>
      </c>
    </row>
    <row r="141" spans="2:6">
      <c r="B141" s="219" t="str">
        <f>'8B'!AM35</f>
        <v>BM8390STSLOT</v>
      </c>
      <c r="C141" s="219" t="s">
        <v>4041</v>
      </c>
      <c r="E141" s="249" t="s">
        <v>634</v>
      </c>
      <c r="F141" s="255">
        <f>IF(ISBLANK('8B'!K35),"##BLANK",'8B'!K35)</f>
        <v>5.1950000000000003</v>
      </c>
    </row>
    <row r="142" spans="2:6">
      <c r="B142" s="219" t="str">
        <f>'8B'!AN35</f>
        <v>BM8390STTOT</v>
      </c>
      <c r="C142" s="219" t="s">
        <v>4042</v>
      </c>
      <c r="E142" s="249" t="s">
        <v>634</v>
      </c>
      <c r="F142" s="255">
        <f>IF(ISBLANK('8B'!L35),"##BLANK",'8B'!L35)</f>
        <v>14.089000000000002</v>
      </c>
    </row>
    <row r="143" spans="2:6">
      <c r="B143" s="219" t="str">
        <f>'8B'!AG40</f>
        <v>BM402SDLFR</v>
      </c>
      <c r="C143" s="219" t="s">
        <v>4043</v>
      </c>
      <c r="E143" s="249" t="s">
        <v>634</v>
      </c>
      <c r="F143" s="255">
        <f>IF(ISBLANK('8B'!E40),"##BLANK",'8B'!E40)</f>
        <v>0</v>
      </c>
    </row>
    <row r="144" spans="2:6">
      <c r="B144" s="219" t="str">
        <f>'8B'!AH40</f>
        <v>BM402SDLFP</v>
      </c>
      <c r="C144" s="219" t="s">
        <v>4044</v>
      </c>
      <c r="E144" s="249" t="s">
        <v>634</v>
      </c>
      <c r="F144" s="255">
        <f>IF(ISBLANK('8B'!F40),"##BLANK",'8B'!F40)</f>
        <v>0</v>
      </c>
    </row>
    <row r="145" spans="2:6">
      <c r="B145" s="219" t="str">
        <f>'8B'!AI40</f>
        <v>BM402SDLRR</v>
      </c>
      <c r="C145" s="219" t="s">
        <v>4045</v>
      </c>
      <c r="E145" s="249" t="s">
        <v>634</v>
      </c>
      <c r="F145" s="255">
        <f>IF(ISBLANK('8B'!G40),"##BLANK",'8B'!G40)</f>
        <v>0</v>
      </c>
    </row>
    <row r="146" spans="2:6">
      <c r="B146" s="219" t="str">
        <f>'8B'!AJ40</f>
        <v>BM402SDRTF</v>
      </c>
      <c r="C146" s="219" t="s">
        <v>4046</v>
      </c>
      <c r="E146" s="249" t="s">
        <v>634</v>
      </c>
      <c r="F146" s="255">
        <f>IF(ISBLANK('8B'!H40),"##BLANK",'8B'!H40)</f>
        <v>1.9E-2</v>
      </c>
    </row>
    <row r="147" spans="2:6">
      <c r="B147" s="219" t="str">
        <f>'8B'!AK40</f>
        <v>BM402SDIDS</v>
      </c>
      <c r="C147" s="219" t="s">
        <v>4047</v>
      </c>
      <c r="E147" s="249" t="s">
        <v>634</v>
      </c>
      <c r="F147" s="255">
        <f>IF(ISBLANK('8B'!I40),"##BLANK",'8B'!I40)</f>
        <v>0</v>
      </c>
    </row>
    <row r="148" spans="2:6">
      <c r="B148" s="219" t="str">
        <f>'8B'!AL40</f>
        <v>BM402SDSOT</v>
      </c>
      <c r="C148" s="219" t="s">
        <v>4048</v>
      </c>
      <c r="E148" s="249" t="s">
        <v>634</v>
      </c>
      <c r="F148" s="255">
        <f>IF(ISBLANK('8B'!J40),"##BLANK",'8B'!J40)</f>
        <v>0</v>
      </c>
    </row>
    <row r="149" spans="2:6">
      <c r="B149" s="219" t="str">
        <f>'8B'!AM40</f>
        <v>BM402SDTOT</v>
      </c>
      <c r="C149" s="219" t="s">
        <v>3970</v>
      </c>
      <c r="E149" s="249" t="s">
        <v>634</v>
      </c>
      <c r="F149" s="255">
        <f>IF(ISBLANK('8B'!K40),"##BLANK",'8B'!K40)</f>
        <v>1.9E-2</v>
      </c>
    </row>
    <row r="150" spans="2:6">
      <c r="B150" s="219" t="str">
        <f>'8B'!AG41</f>
        <v>BM836SDLFR</v>
      </c>
      <c r="C150" s="219" t="s">
        <v>4049</v>
      </c>
      <c r="E150" s="249" t="s">
        <v>634</v>
      </c>
      <c r="F150" s="255">
        <f>IF(ISBLANK('8B'!E41),"##BLANK",'8B'!E41)</f>
        <v>0</v>
      </c>
    </row>
    <row r="151" spans="2:6">
      <c r="B151" s="219" t="str">
        <f>'8B'!AH41</f>
        <v>BM836SDLFP</v>
      </c>
      <c r="C151" s="219" t="s">
        <v>4050</v>
      </c>
      <c r="E151" s="249" t="s">
        <v>634</v>
      </c>
      <c r="F151" s="255">
        <f>IF(ISBLANK('8B'!F41),"##BLANK",'8B'!F41)</f>
        <v>0</v>
      </c>
    </row>
    <row r="152" spans="2:6">
      <c r="B152" s="219" t="str">
        <f>'8B'!AI41</f>
        <v>BM836SDLRR</v>
      </c>
      <c r="C152" s="219" t="s">
        <v>4051</v>
      </c>
      <c r="E152" s="249" t="s">
        <v>634</v>
      </c>
      <c r="F152" s="255">
        <f>IF(ISBLANK('8B'!G41),"##BLANK",'8B'!G41)</f>
        <v>0</v>
      </c>
    </row>
    <row r="153" spans="2:6">
      <c r="B153" s="219" t="str">
        <f>'8B'!AJ41</f>
        <v>BM836SDRTF</v>
      </c>
      <c r="C153" s="219" t="s">
        <v>4052</v>
      </c>
      <c r="E153" s="249" t="s">
        <v>634</v>
      </c>
      <c r="F153" s="255">
        <f>IF(ISBLANK('8B'!H41),"##BLANK",'8B'!H41)</f>
        <v>0</v>
      </c>
    </row>
    <row r="154" spans="2:6">
      <c r="B154" s="219" t="str">
        <f>'8B'!AK41</f>
        <v>BM836SDIDS</v>
      </c>
      <c r="C154" s="219" t="s">
        <v>4053</v>
      </c>
      <c r="E154" s="249" t="s">
        <v>634</v>
      </c>
      <c r="F154" s="255">
        <f>IF(ISBLANK('8B'!I41),"##BLANK",'8B'!I41)</f>
        <v>0</v>
      </c>
    </row>
    <row r="155" spans="2:6">
      <c r="B155" s="219" t="str">
        <f>'8B'!AL41</f>
        <v>BM836SDSOT</v>
      </c>
      <c r="C155" s="219" t="s">
        <v>4054</v>
      </c>
      <c r="E155" s="249" t="s">
        <v>634</v>
      </c>
      <c r="F155" s="255">
        <f>IF(ISBLANK('8B'!J41),"##BLANK",'8B'!J41)</f>
        <v>0</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f>IF(ISBLANK('8B'!E42),"##BLANK",'8B'!E42)</f>
        <v>0</v>
      </c>
    </row>
    <row r="158" spans="2:6">
      <c r="B158" s="219" t="str">
        <f>'8B'!AH42</f>
        <v>WWS1003SDLFP</v>
      </c>
      <c r="C158" s="219" t="s">
        <v>4056</v>
      </c>
      <c r="E158" s="249" t="s">
        <v>634</v>
      </c>
      <c r="F158" s="255">
        <f>IF(ISBLANK('8B'!F42),"##BLANK",'8B'!F42)</f>
        <v>0</v>
      </c>
    </row>
    <row r="159" spans="2:6">
      <c r="B159" s="219" t="str">
        <f>'8B'!AI42</f>
        <v>WWS1003SDLRR</v>
      </c>
      <c r="C159" s="219" t="s">
        <v>4057</v>
      </c>
      <c r="E159" s="249" t="s">
        <v>634</v>
      </c>
      <c r="F159" s="255">
        <f>IF(ISBLANK('8B'!G42),"##BLANK",'8B'!G42)</f>
        <v>0</v>
      </c>
    </row>
    <row r="160" spans="2:6">
      <c r="B160" s="219" t="str">
        <f>'8B'!AJ42</f>
        <v>WWS1003SDRTF</v>
      </c>
      <c r="C160" s="219" t="s">
        <v>4058</v>
      </c>
      <c r="E160" s="249" t="s">
        <v>634</v>
      </c>
      <c r="F160" s="255">
        <f>IF(ISBLANK('8B'!H42),"##BLANK",'8B'!H42)</f>
        <v>0</v>
      </c>
    </row>
    <row r="161" spans="2:6">
      <c r="B161" s="219" t="str">
        <f>'8B'!AK42</f>
        <v>WWS1003SDIDS</v>
      </c>
      <c r="C161" s="219" t="s">
        <v>4059</v>
      </c>
      <c r="E161" s="249" t="s">
        <v>634</v>
      </c>
      <c r="F161" s="255">
        <f>IF(ISBLANK('8B'!I42),"##BLANK",'8B'!I42)</f>
        <v>0</v>
      </c>
    </row>
    <row r="162" spans="2:6">
      <c r="B162" s="219" t="str">
        <f>'8B'!AL42</f>
        <v>WWS1003SDSOT</v>
      </c>
      <c r="C162" s="219" t="s">
        <v>4060</v>
      </c>
      <c r="E162" s="249" t="s">
        <v>634</v>
      </c>
      <c r="F162" s="255">
        <f>IF(ISBLANK('8B'!J42),"##BLANK",'8B'!J42)</f>
        <v>0</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f>IF(ISBLANK('8B'!E43),"##BLANK",'8B'!E43)</f>
        <v>0</v>
      </c>
    </row>
    <row r="165" spans="2:6">
      <c r="B165" s="219" t="str">
        <f>'8B'!AH43</f>
        <v>BM240SDLFP</v>
      </c>
      <c r="C165" s="219" t="s">
        <v>4063</v>
      </c>
      <c r="E165" s="249" t="s">
        <v>634</v>
      </c>
      <c r="F165" s="255">
        <f>IF(ISBLANK('8B'!F43),"##BLANK",'8B'!F43)</f>
        <v>0</v>
      </c>
    </row>
    <row r="166" spans="2:6">
      <c r="B166" s="219" t="str">
        <f>'8B'!AI43</f>
        <v>BM240SDLRR</v>
      </c>
      <c r="C166" s="219" t="s">
        <v>4064</v>
      </c>
      <c r="E166" s="249" t="s">
        <v>634</v>
      </c>
      <c r="F166" s="255">
        <f>IF(ISBLANK('8B'!G43),"##BLANK",'8B'!G43)</f>
        <v>0</v>
      </c>
    </row>
    <row r="167" spans="2:6">
      <c r="B167" s="219" t="str">
        <f>'8B'!AJ43</f>
        <v>BM240SDRTF</v>
      </c>
      <c r="C167" s="219" t="s">
        <v>4065</v>
      </c>
      <c r="E167" s="249" t="s">
        <v>634</v>
      </c>
      <c r="F167" s="255">
        <f>IF(ISBLANK('8B'!H43),"##BLANK",'8B'!H43)</f>
        <v>0</v>
      </c>
    </row>
    <row r="168" spans="2:6">
      <c r="B168" s="219" t="str">
        <f>'8B'!AK43</f>
        <v>BM240SDIDS</v>
      </c>
      <c r="C168" s="219" t="s">
        <v>4066</v>
      </c>
      <c r="E168" s="249" t="s">
        <v>634</v>
      </c>
      <c r="F168" s="255">
        <f>IF(ISBLANK('8B'!I43),"##BLANK",'8B'!I43)</f>
        <v>0</v>
      </c>
    </row>
    <row r="169" spans="2:6">
      <c r="B169" s="219" t="str">
        <f>'8B'!AL43</f>
        <v>BM240SDSOT</v>
      </c>
      <c r="C169" s="219" t="s">
        <v>4067</v>
      </c>
      <c r="E169" s="249" t="s">
        <v>634</v>
      </c>
      <c r="F169" s="255">
        <f>IF(ISBLANK('8B'!J43),"##BLANK",'8B'!J43)</f>
        <v>0</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f>IF(ISBLANK('8B'!E46),"##BLANK",'8B'!E46)</f>
        <v>0</v>
      </c>
    </row>
    <row r="172" spans="2:6">
      <c r="B172" s="219" t="str">
        <f>'8B'!AH46</f>
        <v>WWS1005SDLFP</v>
      </c>
      <c r="C172" s="219" t="s">
        <v>4070</v>
      </c>
      <c r="E172" s="249" t="s">
        <v>634</v>
      </c>
      <c r="F172" s="255">
        <f>IF(ISBLANK('8B'!F46),"##BLANK",'8B'!F46)</f>
        <v>0</v>
      </c>
    </row>
    <row r="173" spans="2:6">
      <c r="B173" s="219" t="str">
        <f>'8B'!AI46</f>
        <v>WWS1005SDLRR</v>
      </c>
      <c r="C173" s="219" t="s">
        <v>4071</v>
      </c>
      <c r="E173" s="249" t="s">
        <v>634</v>
      </c>
      <c r="F173" s="255">
        <f>IF(ISBLANK('8B'!G46),"##BLANK",'8B'!G46)</f>
        <v>0</v>
      </c>
    </row>
    <row r="174" spans="2:6">
      <c r="B174" s="219" t="str">
        <f>'8B'!AJ46</f>
        <v>WWS1005SDRTF</v>
      </c>
      <c r="C174" s="219" t="s">
        <v>4072</v>
      </c>
      <c r="E174" s="249" t="s">
        <v>634</v>
      </c>
      <c r="F174" s="255">
        <f>IF(ISBLANK('8B'!H46),"##BLANK",'8B'!H46)</f>
        <v>0</v>
      </c>
    </row>
    <row r="175" spans="2:6">
      <c r="B175" s="219" t="str">
        <f>'8B'!AK46</f>
        <v>WWS1005SDIDS</v>
      </c>
      <c r="C175" s="219" t="s">
        <v>4073</v>
      </c>
      <c r="E175" s="249" t="s">
        <v>634</v>
      </c>
      <c r="F175" s="255">
        <f>IF(ISBLANK('8B'!I46),"##BLANK",'8B'!I46)</f>
        <v>0</v>
      </c>
    </row>
    <row r="176" spans="2:6">
      <c r="B176" s="219" t="str">
        <f>'8B'!AL46</f>
        <v>WWS1005SDSOT</v>
      </c>
      <c r="C176" s="219" t="s">
        <v>4074</v>
      </c>
      <c r="E176" s="249" t="s">
        <v>634</v>
      </c>
      <c r="F176" s="255">
        <f>IF(ISBLANK('8B'!J46),"##BLANK",'8B'!J46)</f>
        <v>0</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f>IF(ISBLANK('8B'!E47),"##BLANK",'8B'!E47)</f>
        <v>0</v>
      </c>
    </row>
    <row r="179" spans="2:6">
      <c r="B179" s="219" t="str">
        <f>'8B'!AH47</f>
        <v>WWS1006SDLFP</v>
      </c>
      <c r="C179" s="219" t="s">
        <v>4077</v>
      </c>
      <c r="E179" s="249" t="s">
        <v>634</v>
      </c>
      <c r="F179" s="255">
        <f>IF(ISBLANK('8B'!F47),"##BLANK",'8B'!F47)</f>
        <v>0</v>
      </c>
    </row>
    <row r="180" spans="2:6">
      <c r="B180" s="219" t="str">
        <f>'8B'!AI47</f>
        <v>WWS1006SDLRR</v>
      </c>
      <c r="C180" s="219" t="s">
        <v>4078</v>
      </c>
      <c r="E180" s="249" t="s">
        <v>634</v>
      </c>
      <c r="F180" s="255">
        <f>IF(ISBLANK('8B'!G47),"##BLANK",'8B'!G47)</f>
        <v>0</v>
      </c>
    </row>
    <row r="181" spans="2:6">
      <c r="B181" s="219" t="str">
        <f>'8B'!AJ47</f>
        <v>WWS1006SDRTF</v>
      </c>
      <c r="C181" s="219" t="s">
        <v>4079</v>
      </c>
      <c r="E181" s="249" t="s">
        <v>634</v>
      </c>
      <c r="F181" s="255">
        <f>IF(ISBLANK('8B'!H47),"##BLANK",'8B'!H47)</f>
        <v>0</v>
      </c>
    </row>
    <row r="182" spans="2:6">
      <c r="B182" s="219" t="str">
        <f>'8B'!AK47</f>
        <v>WWS1006SDIDS</v>
      </c>
      <c r="C182" s="219" t="s">
        <v>4080</v>
      </c>
      <c r="E182" s="249" t="s">
        <v>634</v>
      </c>
      <c r="F182" s="255">
        <f>IF(ISBLANK('8B'!I47),"##BLANK",'8B'!I47)</f>
        <v>0</v>
      </c>
    </row>
    <row r="183" spans="2:6">
      <c r="B183" s="219" t="str">
        <f>'8B'!AL47</f>
        <v>WWS1006SDSOT</v>
      </c>
      <c r="C183" s="219" t="s">
        <v>4081</v>
      </c>
      <c r="E183" s="249" t="s">
        <v>634</v>
      </c>
      <c r="F183" s="255">
        <f>IF(ISBLANK('8B'!J47),"##BLANK",'8B'!J47)</f>
        <v>0</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f>IF(ISBLANK('8B'!E48),"##BLANK",'8B'!E48)</f>
        <v>0</v>
      </c>
    </row>
    <row r="186" spans="2:6">
      <c r="B186" s="219" t="str">
        <f>'8B'!AH48</f>
        <v>BM408SDLFP</v>
      </c>
      <c r="C186" s="219" t="s">
        <v>4084</v>
      </c>
      <c r="E186" s="249" t="s">
        <v>634</v>
      </c>
      <c r="F186" s="255">
        <f>IF(ISBLANK('8B'!F48),"##BLANK",'8B'!F48)</f>
        <v>0</v>
      </c>
    </row>
    <row r="187" spans="2:6">
      <c r="B187" s="219" t="str">
        <f>'8B'!AI48</f>
        <v>BM408SDLRR</v>
      </c>
      <c r="C187" s="219" t="s">
        <v>4085</v>
      </c>
      <c r="E187" s="249" t="s">
        <v>634</v>
      </c>
      <c r="F187" s="255">
        <f>IF(ISBLANK('8B'!G48),"##BLANK",'8B'!G48)</f>
        <v>0</v>
      </c>
    </row>
    <row r="188" spans="2:6">
      <c r="B188" s="219" t="str">
        <f>'8B'!AJ48</f>
        <v>BM408SDRTF</v>
      </c>
      <c r="C188" s="219" t="s">
        <v>4086</v>
      </c>
      <c r="E188" s="249" t="s">
        <v>634</v>
      </c>
      <c r="F188" s="255">
        <f>IF(ISBLANK('8B'!H48),"##BLANK",'8B'!H48)</f>
        <v>5.14</v>
      </c>
    </row>
    <row r="189" spans="2:6">
      <c r="B189" s="219" t="str">
        <f>'8B'!AK48</f>
        <v>BM408SDIDS</v>
      </c>
      <c r="C189" s="219" t="s">
        <v>4087</v>
      </c>
      <c r="E189" s="249" t="s">
        <v>634</v>
      </c>
      <c r="F189" s="255">
        <f>IF(ISBLANK('8B'!I48),"##BLANK",'8B'!I48)</f>
        <v>0</v>
      </c>
    </row>
    <row r="190" spans="2:6">
      <c r="B190" s="219" t="str">
        <f>'8B'!AL48</f>
        <v>BM408SDSOT</v>
      </c>
      <c r="C190" s="219" t="s">
        <v>4088</v>
      </c>
      <c r="E190" s="249" t="s">
        <v>634</v>
      </c>
      <c r="F190" s="255">
        <f>IF(ISBLANK('8B'!J48),"##BLANK",'8B'!J48)</f>
        <v>0</v>
      </c>
    </row>
    <row r="191" spans="2:6">
      <c r="B191" s="219" t="str">
        <f>'8B'!AM48</f>
        <v>BM408SDTOT</v>
      </c>
      <c r="C191" s="219" t="s">
        <v>4018</v>
      </c>
      <c r="E191" s="249" t="s">
        <v>634</v>
      </c>
      <c r="F191" s="255">
        <f>IF(ISBLANK('8B'!K48),"##BLANK",'8B'!K48)</f>
        <v>5.14</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5.1589999999999998</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5.1589999999999998</v>
      </c>
    </row>
    <row r="199" spans="2:6">
      <c r="B199" s="219" t="str">
        <f>'8B'!AG50</f>
        <v>BM817SDLFR</v>
      </c>
      <c r="C199" s="219" t="s">
        <v>4096</v>
      </c>
      <c r="E199" s="249" t="s">
        <v>634</v>
      </c>
      <c r="F199" s="255">
        <f>IF(ISBLANK('8B'!E50),"##BLANK",'8B'!E50)</f>
        <v>0</v>
      </c>
    </row>
    <row r="200" spans="2:6">
      <c r="B200" s="219" t="str">
        <f>'8B'!AH50</f>
        <v>BM817SDLFP</v>
      </c>
      <c r="C200" s="219" t="s">
        <v>4097</v>
      </c>
      <c r="E200" s="249" t="s">
        <v>634</v>
      </c>
      <c r="F200" s="255">
        <f>IF(ISBLANK('8B'!F50),"##BLANK",'8B'!F50)</f>
        <v>0</v>
      </c>
    </row>
    <row r="201" spans="2:6">
      <c r="B201" s="219" t="str">
        <f>'8B'!AI50</f>
        <v>BM817SDLRR</v>
      </c>
      <c r="C201" s="219" t="s">
        <v>4098</v>
      </c>
      <c r="E201" s="249" t="s">
        <v>634</v>
      </c>
      <c r="F201" s="255">
        <f>IF(ISBLANK('8B'!G50),"##BLANK",'8B'!G50)</f>
        <v>0</v>
      </c>
    </row>
    <row r="202" spans="2:6">
      <c r="B202" s="219" t="str">
        <f>'8B'!AJ50</f>
        <v>BM817SDRTF</v>
      </c>
      <c r="C202" s="219" t="s">
        <v>4099</v>
      </c>
      <c r="E202" s="249" t="s">
        <v>634</v>
      </c>
      <c r="F202" s="255">
        <f>IF(ISBLANK('8B'!H50),"##BLANK",'8B'!H50)</f>
        <v>5.0000000000000001E-3</v>
      </c>
    </row>
    <row r="203" spans="2:6">
      <c r="B203" s="219" t="str">
        <f>'8B'!AK50</f>
        <v>BM817SDIDS</v>
      </c>
      <c r="C203" s="219" t="s">
        <v>4100</v>
      </c>
      <c r="E203" s="249" t="s">
        <v>634</v>
      </c>
      <c r="F203" s="255">
        <f>IF(ISBLANK('8B'!I50),"##BLANK",'8B'!I50)</f>
        <v>0</v>
      </c>
    </row>
    <row r="204" spans="2:6">
      <c r="B204" s="219" t="str">
        <f>'8B'!AL50</f>
        <v>BM817SDSOT</v>
      </c>
      <c r="C204" s="219" t="s">
        <v>4101</v>
      </c>
      <c r="E204" s="249" t="s">
        <v>634</v>
      </c>
      <c r="F204" s="255">
        <f>IF(ISBLANK('8B'!J50),"##BLANK",'8B'!J50)</f>
        <v>0</v>
      </c>
    </row>
    <row r="205" spans="2:6">
      <c r="B205" s="219" t="str">
        <f>'8B'!AM50</f>
        <v>BM817SDTOT</v>
      </c>
      <c r="C205" s="219" t="s">
        <v>4034</v>
      </c>
      <c r="E205" s="249" t="s">
        <v>634</v>
      </c>
      <c r="F205" s="255">
        <f>IF(ISBLANK('8B'!K50),"##BLANK",'8B'!K50)</f>
        <v>5.0000000000000001E-3</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5.1639999999999997</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5.1639999999999997</v>
      </c>
    </row>
    <row r="213" spans="2:6">
      <c r="B213" s="219" t="str">
        <f>'8D'!T8</f>
        <v>BN5611INC</v>
      </c>
      <c r="C213" s="219" t="s">
        <v>4109</v>
      </c>
      <c r="E213" s="249" t="s">
        <v>634</v>
      </c>
      <c r="F213" s="255">
        <f>IF(ISBLANK('8D'!E8),"##BLANK",'8D'!E8)</f>
        <v>0</v>
      </c>
    </row>
    <row r="214" spans="2:6">
      <c r="B214" s="219" t="str">
        <f>'8D'!U8</f>
        <v>BN5611TPS</v>
      </c>
      <c r="C214" s="219" t="s">
        <v>4110</v>
      </c>
      <c r="E214" s="249" t="s">
        <v>634</v>
      </c>
      <c r="F214" s="255">
        <f>IF(ISBLANK('8D'!F8),"##BLANK",'8D'!F8)</f>
        <v>0</v>
      </c>
    </row>
    <row r="215" spans="2:6">
      <c r="B215" s="219" t="str">
        <f>'8D'!T9</f>
        <v>BN5612INC</v>
      </c>
      <c r="C215" s="219" t="s">
        <v>4111</v>
      </c>
      <c r="E215" s="249" t="s">
        <v>634</v>
      </c>
      <c r="F215" s="255">
        <f>IF(ISBLANK('8D'!E9),"##BLANK",'8D'!E9)</f>
        <v>0</v>
      </c>
    </row>
    <row r="216" spans="2:6">
      <c r="B216" s="219" t="str">
        <f>'8D'!U9</f>
        <v>BN5612TPS</v>
      </c>
      <c r="C216" s="219" t="s">
        <v>4112</v>
      </c>
      <c r="E216" s="249" t="s">
        <v>634</v>
      </c>
      <c r="F216" s="255">
        <f>IF(ISBLANK('8D'!F9),"##BLANK",'8D'!F9)</f>
        <v>0.03</v>
      </c>
    </row>
    <row r="217" spans="2:6">
      <c r="B217" s="1781" t="str">
        <f>'8D'!T10</f>
        <v>BN5613INC</v>
      </c>
      <c r="C217" s="219" t="s">
        <v>4113</v>
      </c>
      <c r="E217" s="249" t="s">
        <v>634</v>
      </c>
      <c r="F217" s="255">
        <f>IF(ISBLANK('8D'!E10),"##BLANK",'8D'!E10)</f>
        <v>8.0000000000000002E-3</v>
      </c>
    </row>
    <row r="218" spans="2:6">
      <c r="B218" s="219" t="str">
        <f>'8D'!U10</f>
        <v>BN5613TPS</v>
      </c>
      <c r="C218" s="219" t="s">
        <v>4114</v>
      </c>
      <c r="E218" s="249" t="s">
        <v>634</v>
      </c>
      <c r="F218" s="255">
        <f>IF(ISBLANK('8D'!F10),"##BLANK",'8D'!F10)</f>
        <v>0</v>
      </c>
    </row>
    <row r="219" spans="2:6">
      <c r="B219" s="219" t="str">
        <f>'8D'!T11</f>
        <v>BN5614INC</v>
      </c>
      <c r="C219" s="219" t="s">
        <v>4115</v>
      </c>
      <c r="E219" s="249" t="s">
        <v>634</v>
      </c>
      <c r="F219" s="255">
        <f>IF(ISBLANK('8D'!E11),"##BLANK",'8D'!E11)</f>
        <v>0.96199999999999997</v>
      </c>
    </row>
    <row r="220" spans="2:6">
      <c r="B220" s="219" t="str">
        <f>'8D'!U11</f>
        <v>BN5614TPS</v>
      </c>
      <c r="C220" s="219" t="s">
        <v>4116</v>
      </c>
      <c r="E220" s="249" t="s">
        <v>634</v>
      </c>
      <c r="F220" s="255">
        <f>IF(ISBLANK('8D'!F11),"##BLANK",'8D'!F11)</f>
        <v>0</v>
      </c>
    </row>
    <row r="221" spans="2:6">
      <c r="B221" s="219" t="str">
        <f>'8D'!T12</f>
        <v>BN5615INC</v>
      </c>
      <c r="C221" s="219" t="s">
        <v>4117</v>
      </c>
      <c r="E221" s="249" t="s">
        <v>634</v>
      </c>
      <c r="F221" s="255">
        <f>IF(ISBLANK('8D'!E12),"##BLANK",'8D'!E12)</f>
        <v>0</v>
      </c>
    </row>
    <row r="222" spans="2:6">
      <c r="B222" s="219" t="str">
        <f>'8D'!U12</f>
        <v>BN5615TPS</v>
      </c>
      <c r="C222" s="219" t="s">
        <v>4118</v>
      </c>
      <c r="E222" s="249" t="s">
        <v>634</v>
      </c>
      <c r="F222" s="255">
        <f>IF(ISBLANK('8D'!F12),"##BLANK",'8D'!F12)</f>
        <v>0</v>
      </c>
    </row>
    <row r="223" spans="2:6">
      <c r="B223" s="219" t="str">
        <f>'8D'!T13</f>
        <v>BN5618INC</v>
      </c>
      <c r="C223" s="219" t="s">
        <v>4119</v>
      </c>
      <c r="E223" s="249" t="s">
        <v>634</v>
      </c>
      <c r="F223" s="255">
        <f>IF(ISBLANK('8D'!E13),"##BLANK",'8D'!E13)</f>
        <v>0</v>
      </c>
    </row>
    <row r="224" spans="2:6">
      <c r="B224" s="219" t="str">
        <f>'8D'!U13</f>
        <v>BN5618TPS</v>
      </c>
      <c r="C224" s="219" t="s">
        <v>4120</v>
      </c>
      <c r="E224" s="249" t="s">
        <v>634</v>
      </c>
      <c r="F224" s="255">
        <f>IF(ISBLANK('8D'!F13),"##BLANK",'8D'!F13)</f>
        <v>0</v>
      </c>
    </row>
    <row r="225" spans="2:6">
      <c r="B225" s="219" t="str">
        <f>'8D'!T14</f>
        <v>BN5619INC</v>
      </c>
      <c r="C225" s="219" t="s">
        <v>4121</v>
      </c>
      <c r="E225" s="249" t="s">
        <v>634</v>
      </c>
      <c r="F225" s="255">
        <f>IF(ISBLANK('8D'!E14),"##BLANK",'8D'!E14)</f>
        <v>0.97</v>
      </c>
    </row>
    <row r="226" spans="2:6">
      <c r="B226" s="219" t="str">
        <f>'8D'!U14</f>
        <v>BN5619TPS</v>
      </c>
      <c r="C226" s="219" t="s">
        <v>4122</v>
      </c>
      <c r="E226" s="249" t="s">
        <v>634</v>
      </c>
      <c r="F226" s="255">
        <f>IF(ISBLANK('8D'!F14),"##BLANK",'8D'!F14)</f>
        <v>0.03</v>
      </c>
    </row>
    <row r="227" spans="2:6">
      <c r="B227" s="219" t="str">
        <f>'8D'!T17</f>
        <v>BN5620INC</v>
      </c>
      <c r="C227" s="219" t="s">
        <v>4123</v>
      </c>
      <c r="E227" s="249" t="s">
        <v>634</v>
      </c>
      <c r="F227" s="255">
        <f>IF(ISBLANK('8D'!E17),"##BLANK",'8D'!E17)</f>
        <v>0</v>
      </c>
    </row>
    <row r="228" spans="2:6">
      <c r="B228" s="219" t="str">
        <f>'8D'!U17</f>
        <v>BN5620TPS</v>
      </c>
      <c r="C228" s="219" t="s">
        <v>4124</v>
      </c>
      <c r="E228" s="249" t="s">
        <v>634</v>
      </c>
      <c r="F228" s="255">
        <f>IF(ISBLANK('8D'!F17),"##BLANK",'8D'!F17)</f>
        <v>0</v>
      </c>
    </row>
    <row r="229" spans="2:6">
      <c r="B229" s="219" t="str">
        <f>'8D'!T18</f>
        <v>BN5621INC</v>
      </c>
      <c r="C229" s="219" t="s">
        <v>4125</v>
      </c>
      <c r="E229" s="249" t="s">
        <v>634</v>
      </c>
      <c r="F229" s="255">
        <f>IF(ISBLANK('8D'!E18),"##BLANK",'8D'!E18)</f>
        <v>0</v>
      </c>
    </row>
    <row r="230" spans="2:6">
      <c r="B230" s="219" t="str">
        <f>'8D'!U18</f>
        <v>BN5621TPS</v>
      </c>
      <c r="C230" s="219" t="s">
        <v>4126</v>
      </c>
      <c r="E230" s="249" t="s">
        <v>634</v>
      </c>
      <c r="F230" s="255">
        <f>IF(ISBLANK('8D'!F18),"##BLANK",'8D'!F18)</f>
        <v>0</v>
      </c>
    </row>
    <row r="231" spans="2:6">
      <c r="B231" s="219" t="str">
        <f>'8D'!T19</f>
        <v>BN5622INC</v>
      </c>
      <c r="C231" s="219" t="s">
        <v>4127</v>
      </c>
      <c r="E231" s="249" t="s">
        <v>634</v>
      </c>
      <c r="F231" s="255">
        <f>IF(ISBLANK('8D'!E19),"##BLANK",'8D'!E19)</f>
        <v>0</v>
      </c>
    </row>
    <row r="232" spans="2:6">
      <c r="B232" s="219" t="str">
        <f>'8D'!U19</f>
        <v>BN5622TPS</v>
      </c>
      <c r="C232" s="219" t="s">
        <v>4128</v>
      </c>
      <c r="E232" s="249" t="s">
        <v>634</v>
      </c>
      <c r="F232" s="255">
        <f>IF(ISBLANK('8D'!F19),"##BLANK",'8D'!F19)</f>
        <v>0</v>
      </c>
    </row>
    <row r="233" spans="2:6">
      <c r="B233" s="219" t="str">
        <f>'8D'!T20</f>
        <v>BN5623INC</v>
      </c>
      <c r="C233" s="219" t="s">
        <v>4129</v>
      </c>
      <c r="E233" s="249" t="s">
        <v>634</v>
      </c>
      <c r="F233" s="255">
        <f>IF(ISBLANK('8D'!E20),"##BLANK",'8D'!E20)</f>
        <v>0.94899999999999995</v>
      </c>
    </row>
    <row r="234" spans="2:6">
      <c r="B234" s="219" t="str">
        <f>'8D'!U20</f>
        <v>BN5623TPS</v>
      </c>
      <c r="C234" s="219" t="s">
        <v>4130</v>
      </c>
      <c r="E234" s="249" t="s">
        <v>634</v>
      </c>
      <c r="F234" s="255">
        <f>IF(ISBLANK('8D'!F20),"##BLANK",'8D'!F20)</f>
        <v>5.0999999999999997E-2</v>
      </c>
    </row>
    <row r="235" spans="2:6">
      <c r="B235" s="219" t="str">
        <f>'8D'!T21</f>
        <v>BN5624INC</v>
      </c>
      <c r="C235" s="219" t="s">
        <v>4131</v>
      </c>
      <c r="E235" s="249" t="s">
        <v>634</v>
      </c>
      <c r="F235" s="255">
        <f>IF(ISBLANK('8D'!E21),"##BLANK",'8D'!E21)</f>
        <v>0</v>
      </c>
    </row>
    <row r="236" spans="2:6">
      <c r="B236" s="219" t="str">
        <f>'8D'!U21</f>
        <v>BN5624TPS</v>
      </c>
      <c r="C236" s="219" t="s">
        <v>4132</v>
      </c>
      <c r="E236" s="249" t="s">
        <v>634</v>
      </c>
      <c r="F236" s="255">
        <f>IF(ISBLANK('8D'!F21),"##BLANK",'8D'!F21)</f>
        <v>0</v>
      </c>
    </row>
    <row r="237" spans="2:6">
      <c r="B237" s="219" t="str">
        <f>'8D'!T22</f>
        <v>BN5625INC</v>
      </c>
      <c r="C237" s="219" t="s">
        <v>4133</v>
      </c>
      <c r="E237" s="249" t="s">
        <v>634</v>
      </c>
      <c r="F237" s="255">
        <f>IF(ISBLANK('8D'!E22),"##BLANK",'8D'!E22)</f>
        <v>0.94899999999999995</v>
      </c>
    </row>
    <row r="238" spans="2:6">
      <c r="B238" s="219" t="str">
        <f>'8D'!U22</f>
        <v>BN5625TPS</v>
      </c>
      <c r="C238" s="219" t="s">
        <v>4134</v>
      </c>
      <c r="E238" s="249" t="s">
        <v>634</v>
      </c>
      <c r="F238" s="255">
        <f>IF(ISBLANK('8D'!F22),"##BLANK",'8D'!F22)</f>
        <v>5.0999999999999997E-2</v>
      </c>
    </row>
  </sheetData>
  <sheetProtection sort="0"/>
  <conditionalFormatting sqref="E4:E238">
    <cfRule type="expression" dxfId="216"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3.8"/>
  <cols>
    <col min="1" max="1" width="9" style="219"/>
    <col min="2" max="2" width="19.19921875" style="219" bestFit="1" customWidth="1"/>
    <col min="3" max="3" width="200.19921875" style="219" bestFit="1" customWidth="1"/>
    <col min="4" max="4" width="10.69921875" style="219" bestFit="1" customWidth="1"/>
    <col min="5" max="5" width="16.69921875" style="219" bestFit="1" customWidth="1"/>
    <col min="6" max="6" width="16.69921875" style="219" customWidth="1"/>
    <col min="7" max="16384" width="9" style="219"/>
  </cols>
  <sheetData>
    <row r="1" spans="1:7">
      <c r="C1" s="219" t="str">
        <f>CONCATENATE(Lists!$B$60,"_APR2022_F10")</f>
        <v>WSH_APR2022_F10</v>
      </c>
    </row>
    <row r="2" spans="1:7">
      <c r="A2" s="219" t="s">
        <v>3</v>
      </c>
      <c r="B2" s="219" t="s">
        <v>628</v>
      </c>
      <c r="C2" s="219" t="s">
        <v>629</v>
      </c>
      <c r="D2" s="219" t="s">
        <v>630</v>
      </c>
      <c r="E2" s="219" t="s">
        <v>631</v>
      </c>
      <c r="F2" s="219" t="s">
        <v>4135</v>
      </c>
      <c r="G2" s="219" t="s">
        <v>632</v>
      </c>
    </row>
    <row r="3" spans="1:7">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81" t="str">
        <f>'10A'!X30</f>
        <v>BN12001_AMI_GR</v>
      </c>
      <c r="C20" s="219" t="s">
        <v>4146</v>
      </c>
      <c r="E20" s="249" t="s">
        <v>634</v>
      </c>
      <c r="F20" s="249"/>
      <c r="G20" s="255" t="str">
        <f>IF(ISBLANK('10A'!G30),"##BLANK",'10A'!G30)</f>
        <v>##BLANK</v>
      </c>
    </row>
    <row r="21" spans="2:7">
      <c r="B21" s="1781" t="str">
        <f>'10A'!X31</f>
        <v>BN12002_AMI_GR</v>
      </c>
      <c r="C21" s="219" t="s">
        <v>4147</v>
      </c>
      <c r="E21" s="249" t="s">
        <v>634</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81">
        <f>'10A'!$G$35</f>
        <v>0</v>
      </c>
    </row>
    <row r="28" spans="2:7">
      <c r="B28" s="1781"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81">
        <f>'10A'!$E$44</f>
        <v>0</v>
      </c>
    </row>
    <row r="31" spans="2:7">
      <c r="B31" s="219" t="str">
        <f>'10A'!$V$45</f>
        <v>BN02013_BA</v>
      </c>
      <c r="C31" s="219" t="str">
        <f>'10A'!$B$45</f>
        <v>Additional volume of network storage at CSOs etc to reduce spill frequency (grey infrastructure)</v>
      </c>
      <c r="E31" s="249" t="s">
        <v>634</v>
      </c>
      <c r="F31" s="249"/>
      <c r="G31" s="1781">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81"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F38 E39:E41 E42:F61">
    <cfRule type="expression" dxfId="215"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3.8"/>
  <cols>
    <col min="1" max="1" width="10.5" bestFit="1" customWidth="1"/>
    <col min="2" max="2" width="8.09765625" bestFit="1" customWidth="1"/>
    <col min="3" max="3" width="20.59765625" bestFit="1" customWidth="1"/>
    <col min="4" max="4" width="136.09765625" customWidth="1"/>
    <col min="5" max="5" width="6.296875" customWidth="1"/>
    <col min="6" max="6" width="16.19921875" bestFit="1" customWidth="1"/>
  </cols>
  <sheetData>
    <row r="1" spans="1:7">
      <c r="A1" t="s">
        <v>17466</v>
      </c>
      <c r="B1" t="s">
        <v>3</v>
      </c>
      <c r="C1" t="s">
        <v>628</v>
      </c>
      <c r="D1" t="s">
        <v>629</v>
      </c>
      <c r="E1" t="s">
        <v>630</v>
      </c>
      <c r="F1" t="s">
        <v>631</v>
      </c>
      <c r="G1" t="s">
        <v>13301</v>
      </c>
    </row>
    <row r="2" spans="1:7">
      <c r="A2" t="s">
        <v>17333</v>
      </c>
      <c r="C2" t="str">
        <f>'4I'!$AF$12</f>
        <v>CR2021N0</v>
      </c>
      <c r="D2" t="str">
        <f>_xlfn.CONCAT('4I'!$B$11, "-", '4I'!$B$12, "-", '4I'!$C$9, "-", '4I'!$C$8, "-", '4I'!$C$7, "-", '4I'!$C$6, "-", '4I'!$C$5)</f>
        <v>Interest rate swap (sterling)-Floating to fixed rate-3-£m-0 to 1 years-Nominal value by maturity (net) at 31 March-Financial derivatives – Total</v>
      </c>
      <c r="F2" t="s">
        <v>17467</v>
      </c>
      <c r="G2">
        <f>'4I'!$C$12</f>
        <v>0</v>
      </c>
    </row>
    <row r="3" spans="1:7">
      <c r="A3" t="s">
        <v>17333</v>
      </c>
      <c r="C3" t="str">
        <f>'4I'!$AG$12</f>
        <v>CR2021N1</v>
      </c>
      <c r="D3" t="str">
        <f>_xlfn.CONCAT('4I'!$B$11, "-", '4I'!$B$12, "-", '4I'!$D$9, "-", '4I'!$D$8, "-", '4I'!$D$7, "-", '4I'!$C$6, "-", '4I'!$C$5)</f>
        <v>Interest rate swap (sterling)-Floating to fixed rate-3-£m-1 to 2 years-Nominal value by maturity (net) at 31 March-Financial derivatives – Total</v>
      </c>
      <c r="F3" t="s">
        <v>17467</v>
      </c>
      <c r="G3">
        <f>'4I'!$D$12</f>
        <v>0</v>
      </c>
    </row>
    <row r="4" spans="1:7">
      <c r="A4" t="s">
        <v>17333</v>
      </c>
      <c r="C4" t="str">
        <f>'4I'!$AH$12</f>
        <v>CR2021N2</v>
      </c>
      <c r="D4" t="str">
        <f>_xlfn.CONCAT('4I'!$B$11, "-", '4I'!$B$12, "-", '4I'!$E$9, "-", '4I'!$E$8, "-", '4I'!$E$7, "-", '4I'!$C$6, "-", '4I'!$C$5)</f>
        <v>Interest rate swap (sterling)-Floating to fixed rate-3-£m-2 to 5 years-Nominal value by maturity (net) at 31 March-Financial derivatives – Total</v>
      </c>
      <c r="F4" t="s">
        <v>17467</v>
      </c>
      <c r="G4">
        <f>'4I'!$E$12</f>
        <v>0</v>
      </c>
    </row>
    <row r="5" spans="1:7">
      <c r="A5" t="s">
        <v>17333</v>
      </c>
      <c r="C5" t="str">
        <f>'4I'!$AI$12</f>
        <v>CR2021N5</v>
      </c>
      <c r="D5" t="str">
        <f>_xlfn.CONCAT('4I'!$B$11, "-", '4I'!$B$12, "-", '4I'!$F$9, "-", '4I'!$F$8, "-", '4I'!$F$7, "-", '4I'!$C$6, "-", '4I'!$C$5)</f>
        <v>Interest rate swap (sterling)-Floating to fixed rate-3-£m-Over 5 years-Nominal value by maturity (net) at 31 March-Financial derivatives – Total</v>
      </c>
      <c r="F5" t="s">
        <v>17467</v>
      </c>
      <c r="G5">
        <f>'4I'!$F$12</f>
        <v>192</v>
      </c>
    </row>
    <row r="6" spans="1:7">
      <c r="A6" t="s">
        <v>17333</v>
      </c>
      <c r="C6" t="str">
        <f>'4I'!$AJ$12</f>
        <v>CR2021N6</v>
      </c>
      <c r="D6" t="str">
        <f>_xlfn.CONCAT('4I'!$B$11, "-", '4I'!$B$12, "-", '4I'!$G$9, "-", '4I'!$G$8, "-", '4I'!$G$7, "-", '4I'!$G$6, "-", '4I'!$C$5)</f>
        <v>Interest rate swap (sterling)-Floating to fixed rate-3-£m-Nominal value (net)-Total value at 31 March-Financial derivatives – Total</v>
      </c>
      <c r="F6" t="s">
        <v>17467</v>
      </c>
      <c r="G6">
        <f>'4I'!$G$12</f>
        <v>192</v>
      </c>
    </row>
    <row r="7" spans="1:7">
      <c r="A7" t="s">
        <v>17333</v>
      </c>
      <c r="C7" t="str">
        <f>'4I'!$AK$12</f>
        <v>CR2021MM</v>
      </c>
      <c r="D7" t="str">
        <f>_xlfn.CONCAT('4I'!$B$11, "-", '4I'!$B$12, "-", '4I'!$H$9, "-", '4I'!$H$8, "-", '4I'!$H$7, "-", '4I'!$G$6, "-", '4I'!$C$5)</f>
        <v>Interest rate swap (sterling)-Floating to fixed rate-3-£m-Mark to Market-Total value at 31 March-Financial derivatives – Total</v>
      </c>
      <c r="F7" t="s">
        <v>17467</v>
      </c>
      <c r="G7">
        <f>'4I'!$H$12</f>
        <v>26.155999999999999</v>
      </c>
    </row>
    <row r="8" spans="1:7">
      <c r="A8" t="s">
        <v>17333</v>
      </c>
      <c r="C8" t="str">
        <f>'4I'!$AL$12</f>
        <v>CR2021TA</v>
      </c>
      <c r="D8" t="str">
        <f>_xlfn.CONCAT('4I'!$B$11, "-", '4I'!$B$12, "-", '4I'!$I$9, "-", '4I'!$I$8, "-", '4I'!$I$6, "-", '4I'!$I$6, "-", '4I'!$C$5)</f>
        <v>Interest rate swap (sterling)-Floating to fixed rate-3-£m-Total accretion at 31 March-Total accretion at 31 March-Financial derivatives – Total</v>
      </c>
      <c r="F8" t="s">
        <v>17467</v>
      </c>
      <c r="G8">
        <f>'4I'!$I$12</f>
        <v>0</v>
      </c>
    </row>
    <row r="9" spans="1:7">
      <c r="A9" t="s">
        <v>17333</v>
      </c>
      <c r="C9" t="str">
        <f>'4I'!$AM$12</f>
        <v>CR2021IRP</v>
      </c>
      <c r="D9" t="str">
        <f>_xlfn.CONCAT('4I'!$B$11, "-", '4I'!$B$12, "-", '4I'!$J$9, "-", '4I'!$J$8, "-", '4I'!$J$7, "-", '4I'!$J$6, "-", '4I'!$C$5)</f>
        <v>Interest rate swap (sterling)-Floating to fixed rate-3-%-Payable-Interest rate
(weighted average for 12 months to 31 March 2021)-Financial derivatives – Total</v>
      </c>
      <c r="F9" t="s">
        <v>17467</v>
      </c>
      <c r="G9">
        <f>'4I'!$J$12</f>
        <v>5.67E-2</v>
      </c>
    </row>
    <row r="10" spans="1:7">
      <c r="A10" t="s">
        <v>17333</v>
      </c>
      <c r="C10" t="str">
        <f>'4I'!$AN$12</f>
        <v>CR2021IRR</v>
      </c>
      <c r="D10" t="str">
        <f>_xlfn.CONCAT('4I'!$B$11, "-", '4I'!$B$12, "-", '4I'!$K$9, "-", '4I'!$K$8, "-", '4I'!$K$7, "-", '4I'!$J$6, "-", '4I'!$C$5)</f>
        <v>Interest rate swap (sterling)-Floating to fixed rate-3-%-Receivable-Interest rate
(weighted average for 12 months to 31 March 2021)-Financial derivatives – Total</v>
      </c>
      <c r="F10" t="s">
        <v>17467</v>
      </c>
      <c r="G10">
        <f>'4I'!$K$12</f>
        <v>9.5999999999999992E-3</v>
      </c>
    </row>
    <row r="11" spans="1:7">
      <c r="A11" t="s">
        <v>17333</v>
      </c>
      <c r="C11" t="str">
        <f>'4I'!$AF$13</f>
        <v>CR2022N0</v>
      </c>
      <c r="D11" t="str">
        <f>_xlfn.CONCAT('4I'!$B$11, "-", '4I'!$B$13, "-", '4I'!$C$9, "-", '4I'!$C$8, "-", '4I'!$C$7, "-", '4I'!$C$6, "-", '4I'!$C$5)</f>
        <v>Interest rate swap (sterling)-Floating from fixed rate-3-£m-0 to 1 years-Nominal value by maturity (net) at 31 March-Financial derivatives – Total</v>
      </c>
      <c r="F11" t="s">
        <v>17467</v>
      </c>
      <c r="G11">
        <f>'4I'!$C$13</f>
        <v>0</v>
      </c>
    </row>
    <row r="12" spans="1:7">
      <c r="A12" t="s">
        <v>17333</v>
      </c>
      <c r="C12" t="str">
        <f>'4I'!$AG$13</f>
        <v>CR2022N1</v>
      </c>
      <c r="D12" t="str">
        <f>_xlfn.CONCAT('4I'!$B$11, "-", '4I'!$B$13, "-", '4I'!$D$9, "-", '4I'!$D$8, "-", '4I'!$D$7, "-", '4I'!$C$6, "-", '4I'!$C$5)</f>
        <v>Interest rate swap (sterling)-Floating from fixed rate-3-£m-1 to 2 years-Nominal value by maturity (net) at 31 March-Financial derivatives – Total</v>
      </c>
      <c r="F12" t="s">
        <v>17467</v>
      </c>
      <c r="G12">
        <f>'4I'!$D$13</f>
        <v>0</v>
      </c>
    </row>
    <row r="13" spans="1:7">
      <c r="A13" t="s">
        <v>17333</v>
      </c>
      <c r="C13" t="str">
        <f>'4I'!$AH$13</f>
        <v>CR2022N2</v>
      </c>
      <c r="D13" t="str">
        <f>_xlfn.CONCAT('4I'!$B$11, "-", '4I'!$B$13, "-", '4I'!$E$9, "-", '4I'!$E$8, "-", '4I'!$E$7, "-", '4I'!$C$6, "-", '4I'!$C$5)</f>
        <v>Interest rate swap (sterling)-Floating from fixed rate-3-£m-2 to 5 years-Nominal value by maturity (net) at 31 March-Financial derivatives – Total</v>
      </c>
      <c r="F13" t="s">
        <v>17467</v>
      </c>
      <c r="G13">
        <f>'4I'!$E$13</f>
        <v>0</v>
      </c>
    </row>
    <row r="14" spans="1:7">
      <c r="A14" t="s">
        <v>17333</v>
      </c>
      <c r="C14" t="str">
        <f>'4I'!$AI$13</f>
        <v>CR2022N5</v>
      </c>
      <c r="D14" t="str">
        <f>_xlfn.CONCAT('4I'!$B$11, "-", '4I'!$B$13, "-", '4I'!$F$9, "-", '4I'!$F$8, "-", '4I'!$F$7, "-", '4I'!$C$6, "-", '4I'!$C$5)</f>
        <v>Interest rate swap (sterling)-Floating from fixed rate-3-£m-Over 5 years-Nominal value by maturity (net) at 31 March-Financial derivatives – Total</v>
      </c>
      <c r="F14" t="s">
        <v>17467</v>
      </c>
      <c r="G14">
        <f>'4I'!$F$13</f>
        <v>0</v>
      </c>
    </row>
    <row r="15" spans="1:7">
      <c r="A15" t="s">
        <v>17333</v>
      </c>
      <c r="C15" t="str">
        <f>'4I'!$AJ$13</f>
        <v>CR2022N6</v>
      </c>
      <c r="D15" t="str">
        <f>_xlfn.CONCAT('4I'!$B$11, "-", '4I'!$B$13, "-", '4I'!$G$9, "-", '4I'!$G$8, "-", '4I'!$G$7, "-", '4I'!$G$6, "-", '4I'!$C$5)</f>
        <v>Interest rate swap (sterling)-Floating from fixed rate-3-£m-Nominal value (net)-Total value at 31 March-Financial derivatives – Total</v>
      </c>
      <c r="F15" t="s">
        <v>17467</v>
      </c>
      <c r="G15">
        <f>'4I'!$G$13</f>
        <v>0</v>
      </c>
    </row>
    <row r="16" spans="1:7">
      <c r="A16" t="s">
        <v>17333</v>
      </c>
      <c r="C16" t="str">
        <f>'4I'!$AK$13</f>
        <v>CR2022MM</v>
      </c>
      <c r="D16" t="str">
        <f>_xlfn.CONCAT('4I'!$B$11, "-", '4I'!$B$13, "-", '4I'!$H$9, "-", '4I'!$H$8, "-", '4I'!$H$7, "-", '4I'!$G$6, "-", '4I'!$C$5)</f>
        <v>Interest rate swap (sterling)-Floating from fixed rate-3-£m-Mark to Market-Total value at 31 March-Financial derivatives – Total</v>
      </c>
      <c r="F16" t="s">
        <v>17467</v>
      </c>
      <c r="G16">
        <f>'4I'!$H$13</f>
        <v>0</v>
      </c>
    </row>
    <row r="17" spans="1:7">
      <c r="A17" t="s">
        <v>17333</v>
      </c>
      <c r="C17" t="str">
        <f>'4I'!$AL$13</f>
        <v>CR2022TA</v>
      </c>
      <c r="D17" t="str">
        <f>_xlfn.CONCAT('4I'!$B$11, "-", '4I'!$B$13, "-", '4I'!$I$9, "-", '4I'!$I$8, "-", '4I'!$I$6, "-", '4I'!$I$6, "-", '4I'!$C$5)</f>
        <v>Interest rate swap (sterling)-Floating from fixed rate-3-£m-Total accretion at 31 March-Total accretion at 31 March-Financial derivatives – Total</v>
      </c>
      <c r="F17" t="s">
        <v>17467</v>
      </c>
      <c r="G17">
        <f>'4I'!$I$13</f>
        <v>0</v>
      </c>
    </row>
    <row r="18" spans="1:7">
      <c r="A18" t="s">
        <v>17333</v>
      </c>
      <c r="C18" t="str">
        <f>'4I'!$AM$13</f>
        <v>CR2022IRP</v>
      </c>
      <c r="D18" t="str">
        <f>_xlfn.CONCAT('4I'!$B$11, "-", '4I'!$B$13, "-", '4I'!$J$9, "-", '4I'!$J$8, "-", '4I'!$J$7, "-", '4I'!$J$6, "-", '4I'!$C$5)</f>
        <v>Interest rate swap (sterling)-Floating from fixed rate-3-%-Payable-Interest rate
(weighted average for 12 months to 31 March 2021)-Financial derivatives – Total</v>
      </c>
      <c r="F18" t="s">
        <v>17467</v>
      </c>
      <c r="G18">
        <f>'4I'!$J$13</f>
        <v>0</v>
      </c>
    </row>
    <row r="19" spans="1:7">
      <c r="A19" t="s">
        <v>17333</v>
      </c>
      <c r="C19" t="str">
        <f>'4I'!$AN$13</f>
        <v>CR2022IRR</v>
      </c>
      <c r="D19" t="str">
        <f>_xlfn.CONCAT('4I'!$B$11, "-", '4I'!$B$13, "-", '4I'!$K$9, "-", '4I'!$K$8, "-", '4I'!$K$7, "-", '4I'!$J$6, "-", '4I'!$C$5)</f>
        <v>Interest rate swap (sterling)-Floating from fixed rate-3-%-Receivable-Interest rate
(weighted average for 12 months to 31 March 2021)-Financial derivatives – Total</v>
      </c>
      <c r="F19" t="s">
        <v>17467</v>
      </c>
      <c r="G19">
        <f>'4I'!$K$13</f>
        <v>0</v>
      </c>
    </row>
    <row r="20" spans="1:7">
      <c r="A20" t="s">
        <v>17333</v>
      </c>
      <c r="C20" t="str">
        <f>'4I'!$AF$14</f>
        <v>CR2023N0</v>
      </c>
      <c r="D20" t="str">
        <f>_xlfn.CONCAT('4I'!$B$11, "-", '4I'!$B$14, "-", '4I'!$C$9, "-", '4I'!$C$8, "-", '4I'!$C$7, "-", '4I'!$C$6, "-", '4I'!$C$5)</f>
        <v>Interest rate swap (sterling)-Floating to index linked-3-£m-0 to 1 years-Nominal value by maturity (net) at 31 March-Financial derivatives – Total</v>
      </c>
      <c r="F20" t="s">
        <v>17467</v>
      </c>
      <c r="G20">
        <f>'4I'!$C$14</f>
        <v>0</v>
      </c>
    </row>
    <row r="21" spans="1:7">
      <c r="A21" t="s">
        <v>17333</v>
      </c>
      <c r="C21" t="str">
        <f>'4I'!$AG$14</f>
        <v>CR2023N1</v>
      </c>
      <c r="D21" t="str">
        <f>_xlfn.CONCAT('4I'!$B$11, "-", '4I'!$B$14, "-", '4I'!$D$9, "-", '4I'!$D$8, "-", '4I'!$D$7, "-", '4I'!$C$6, "-", '4I'!$C$5)</f>
        <v>Interest rate swap (sterling)-Floating to index linked-3-£m-1 to 2 years-Nominal value by maturity (net) at 31 March-Financial derivatives – Total</v>
      </c>
      <c r="F21" t="s">
        <v>17467</v>
      </c>
      <c r="G21">
        <f>'4I'!$D$14</f>
        <v>0</v>
      </c>
    </row>
    <row r="22" spans="1:7">
      <c r="A22" t="s">
        <v>17333</v>
      </c>
      <c r="C22" t="str">
        <f>'4I'!$AH$14</f>
        <v>CR2023N2</v>
      </c>
      <c r="D22" t="str">
        <f>_xlfn.CONCAT('4I'!$B$11, "-", '4I'!$B$14, "-", '4I'!$E$9, "-", '4I'!$E$8, "-", '4I'!$E$7, "-", '4I'!$C$6, "-", '4I'!$C$5)</f>
        <v>Interest rate swap (sterling)-Floating to index linked-3-£m-2 to 5 years-Nominal value by maturity (net) at 31 March-Financial derivatives – Total</v>
      </c>
      <c r="F22" t="s">
        <v>17467</v>
      </c>
      <c r="G22">
        <f>'4I'!$E$14</f>
        <v>550</v>
      </c>
    </row>
    <row r="23" spans="1:7">
      <c r="A23" t="s">
        <v>17333</v>
      </c>
      <c r="C23" t="str">
        <f>'4I'!$AI$14</f>
        <v>CR2023N5</v>
      </c>
      <c r="D23" t="str">
        <f>_xlfn.CONCAT('4I'!$B$11, "-", '4I'!$B$14, "-", '4I'!$F$9, "-", '4I'!$F$8, "-", '4I'!$F$7, "-", '4I'!$C$6, "-", '4I'!$C$5)</f>
        <v>Interest rate swap (sterling)-Floating to index linked-3-£m-Over 5 years-Nominal value by maturity (net) at 31 March-Financial derivatives – Total</v>
      </c>
      <c r="F23" t="s">
        <v>17467</v>
      </c>
      <c r="G23">
        <f>'4I'!$F$14</f>
        <v>1138.4839999999999</v>
      </c>
    </row>
    <row r="24" spans="1:7">
      <c r="A24" t="s">
        <v>17333</v>
      </c>
      <c r="C24" t="str">
        <f>'4I'!$AJ$14</f>
        <v>CR2023N6</v>
      </c>
      <c r="D24" t="str">
        <f>_xlfn.CONCAT('4I'!$B$11, "-", '4I'!$B$14, "-", '4I'!$G$9, "-", '4I'!$G$8, "-", '4I'!$G$7, "-", '4I'!$G$6, "-", '4I'!$C$5)</f>
        <v>Interest rate swap (sterling)-Floating to index linked-3-£m-Nominal value (net)-Total value at 31 March-Financial derivatives – Total</v>
      </c>
      <c r="F24" t="s">
        <v>17467</v>
      </c>
      <c r="G24">
        <f>'4I'!$G$14</f>
        <v>1688.4839999999999</v>
      </c>
    </row>
    <row r="25" spans="1:7">
      <c r="A25" t="s">
        <v>17333</v>
      </c>
      <c r="C25" t="str">
        <f>'4I'!$AK$14</f>
        <v>CR2023MM</v>
      </c>
      <c r="D25" t="str">
        <f>_xlfn.CONCAT('4I'!$B$11, "-", '4I'!$B$14, "-", '4I'!$H$9, "-", '4I'!$H$8, "-", '4I'!$H$7, "-", '4I'!$G$6, "-", '4I'!$C$5)</f>
        <v>Interest rate swap (sterling)-Floating to index linked-3-£m-Mark to Market-Total value at 31 March-Financial derivatives – Total</v>
      </c>
      <c r="F25" t="s">
        <v>17467</v>
      </c>
      <c r="G25">
        <f>'4I'!$H$14</f>
        <v>418.45499999999998</v>
      </c>
    </row>
    <row r="26" spans="1:7">
      <c r="A26" t="s">
        <v>17333</v>
      </c>
      <c r="C26" t="str">
        <f>'4I'!$AL$14</f>
        <v>CR2023TA</v>
      </c>
      <c r="D26" t="str">
        <f>_xlfn.CONCAT('4I'!$B$11, "-", '4I'!$B$14, "-", '4I'!$I$9, "-", '4I'!$I$8, "-", '4I'!$I$6, "-", '4I'!$I$6, "-", '4I'!$C$5)</f>
        <v>Interest rate swap (sterling)-Floating to index linked-3-£m-Total accretion at 31 March-Total accretion at 31 March-Financial derivatives – Total</v>
      </c>
      <c r="F26" t="s">
        <v>17467</v>
      </c>
      <c r="G26">
        <f>'4I'!$I$14</f>
        <v>344.654</v>
      </c>
    </row>
    <row r="27" spans="1:7">
      <c r="A27" t="s">
        <v>17333</v>
      </c>
      <c r="C27" t="str">
        <f>'4I'!$AM$14</f>
        <v>CR2023IRP</v>
      </c>
      <c r="D27" t="str">
        <f>_xlfn.CONCAT('4I'!$B$11, "-", '4I'!$B$14, "-", '4I'!$J$9, "-", '4I'!$J$8, "-", '4I'!$J$7, "-", '4I'!$J$6, "-", '4I'!$C$5)</f>
        <v>Interest rate swap (sterling)-Floating to index linked-3-%-Payable-Interest rate
(weighted average for 12 months to 31 March 2021)-Financial derivatives – Total</v>
      </c>
      <c r="F27" t="s">
        <v>17467</v>
      </c>
      <c r="G27">
        <f>'4I'!$J$14</f>
        <v>0.1555</v>
      </c>
    </row>
    <row r="28" spans="1:7">
      <c r="A28" t="s">
        <v>17333</v>
      </c>
      <c r="C28" t="str">
        <f>'4I'!$AN$14</f>
        <v>CR2023IRR</v>
      </c>
      <c r="D28" t="str">
        <f>_xlfn.CONCAT('4I'!$B$11, "-", '4I'!$B$14, "-", '4I'!$K$9, "-", '4I'!$K$8, "-", '4I'!$K$7, "-", '4I'!$J$6, "-", '4I'!$C$5)</f>
        <v>Interest rate swap (sterling)-Floating to index linked-3-%-Receivable-Interest rate
(weighted average for 12 months to 31 March 2021)-Financial derivatives – Total</v>
      </c>
      <c r="F28" t="s">
        <v>17467</v>
      </c>
      <c r="G28">
        <f>'4I'!$K$14</f>
        <v>5.16E-2</v>
      </c>
    </row>
    <row r="29" spans="1:7">
      <c r="A29" t="s">
        <v>17333</v>
      </c>
      <c r="C29" t="str">
        <f>'4I'!$AF$15</f>
        <v>CR2024N0</v>
      </c>
      <c r="D29" t="str">
        <f>_xlfn.CONCAT('4I'!$B$11, "-", '4I'!$B$15, "-", '4I'!$C$9, "-", '4I'!$C$8, "-", '4I'!$C$7, "-", '4I'!$C$6, "-", '4I'!$C$5)</f>
        <v>Interest rate swap (sterling)-Floating from index linked-3-£m-0 to 1 years-Nominal value by maturity (net) at 31 March-Financial derivatives – Total</v>
      </c>
      <c r="F29" t="s">
        <v>17467</v>
      </c>
      <c r="G29">
        <f>'4I'!$C$15</f>
        <v>0</v>
      </c>
    </row>
    <row r="30" spans="1:7">
      <c r="A30" t="s">
        <v>17333</v>
      </c>
      <c r="C30" t="str">
        <f>'4I'!$AG$15</f>
        <v>CR2024N1</v>
      </c>
      <c r="D30" t="str">
        <f>_xlfn.CONCAT('4I'!$B$11, "-", '4I'!$B$15, "-", '4I'!$D$9, "-", '4I'!$D$8, "-", '4I'!$D$7, "-", '4I'!$C$6, "-", '4I'!$C$5)</f>
        <v>Interest rate swap (sterling)-Floating from index linked-3-£m-1 to 2 years-Nominal value by maturity (net) at 31 March-Financial derivatives – Total</v>
      </c>
      <c r="F30" t="s">
        <v>17467</v>
      </c>
      <c r="G30">
        <f>'4I'!$D$15</f>
        <v>0</v>
      </c>
    </row>
    <row r="31" spans="1:7">
      <c r="A31" t="s">
        <v>17333</v>
      </c>
      <c r="C31" t="str">
        <f>'4I'!$AH$15</f>
        <v>CR2024N2</v>
      </c>
      <c r="D31" t="str">
        <f>_xlfn.CONCAT('4I'!$B$11, "-", '4I'!$B$15, "-", '4I'!$E$9, "-", '4I'!$E$8, "-", '4I'!$E$7, "-", '4I'!$C$6, "-", '4I'!$C$5)</f>
        <v>Interest rate swap (sterling)-Floating from index linked-3-£m-2 to 5 years-Nominal value by maturity (net) at 31 March-Financial derivatives – Total</v>
      </c>
      <c r="F31" t="s">
        <v>17467</v>
      </c>
      <c r="G31">
        <f>'4I'!$E$15</f>
        <v>0</v>
      </c>
    </row>
    <row r="32" spans="1:7">
      <c r="A32" t="s">
        <v>17333</v>
      </c>
      <c r="C32" t="str">
        <f>'4I'!$AI$15</f>
        <v>CR2024N5</v>
      </c>
      <c r="D32" t="str">
        <f>_xlfn.CONCAT('4I'!$B$11, "-", '4I'!$B$15, "-", '4I'!$F$9, "-", '4I'!$F$8, "-", '4I'!$F$7, "-", '4I'!$C$6, "-", '4I'!$C$5)</f>
        <v>Interest rate swap (sterling)-Floating from index linked-3-£m-Over 5 years-Nominal value by maturity (net) at 31 March-Financial derivatives – Total</v>
      </c>
      <c r="F32" t="s">
        <v>17467</v>
      </c>
      <c r="G32">
        <f>'4I'!$F$15</f>
        <v>0</v>
      </c>
    </row>
    <row r="33" spans="1:7">
      <c r="A33" t="s">
        <v>17333</v>
      </c>
      <c r="C33" t="str">
        <f>'4I'!$AJ$15</f>
        <v>CR2024N6</v>
      </c>
      <c r="D33" t="str">
        <f>_xlfn.CONCAT('4I'!$B$11, "-", '4I'!$B$15, "-", '4I'!$G$9, "-", '4I'!$G$8, "-", '4I'!$G$7, "-", '4I'!$G$6, "-", '4I'!$C$5)</f>
        <v>Interest rate swap (sterling)-Floating from index linked-3-£m-Nominal value (net)-Total value at 31 March-Financial derivatives – Total</v>
      </c>
      <c r="F33" t="s">
        <v>17467</v>
      </c>
      <c r="G33">
        <f>'4I'!$G$15</f>
        <v>0</v>
      </c>
    </row>
    <row r="34" spans="1:7">
      <c r="A34" t="s">
        <v>17333</v>
      </c>
      <c r="C34" t="str">
        <f>'4I'!$AK$15</f>
        <v>CR2024MM</v>
      </c>
      <c r="D34" t="str">
        <f>_xlfn.CONCAT('4I'!$B$11, "-", '4I'!$B$15, "-", '4I'!$H$9, "-", '4I'!$H$8, "-", '4I'!$H$7, "-", '4I'!$G$6, "-", '4I'!$C$5)</f>
        <v>Interest rate swap (sterling)-Floating from index linked-3-£m-Mark to Market-Total value at 31 March-Financial derivatives – Total</v>
      </c>
      <c r="F34" t="s">
        <v>17467</v>
      </c>
      <c r="G34">
        <f>'4I'!$H$15</f>
        <v>0</v>
      </c>
    </row>
    <row r="35" spans="1:7">
      <c r="A35" t="s">
        <v>17333</v>
      </c>
      <c r="C35" t="str">
        <f>'4I'!$AL$15</f>
        <v>CR2024TA</v>
      </c>
      <c r="D35" t="str">
        <f>_xlfn.CONCAT('4I'!$B$11, "-", '4I'!$B$15, "-", '4I'!$I$9, "-", '4I'!$I$8, "-", '4I'!$I$6, "-", '4I'!$I$6, "-", '4I'!$C$5)</f>
        <v>Interest rate swap (sterling)-Floating from index linked-3-£m-Total accretion at 31 March-Total accretion at 31 March-Financial derivatives – Total</v>
      </c>
      <c r="F35" t="s">
        <v>17467</v>
      </c>
      <c r="G35">
        <f>'4I'!$I$15</f>
        <v>0</v>
      </c>
    </row>
    <row r="36" spans="1:7">
      <c r="A36" t="s">
        <v>17333</v>
      </c>
      <c r="C36" t="str">
        <f>'4I'!$AM$15</f>
        <v>CR2024IRP</v>
      </c>
      <c r="D36" t="str">
        <f>_xlfn.CONCAT('4I'!$B$11, "-", '4I'!$B$15, "-", '4I'!$J$9, "-", '4I'!$J$8, "-", '4I'!$J$7, "-", '4I'!$J$6, "-", '4I'!$C$5)</f>
        <v>Interest rate swap (sterling)-Floating from index linked-3-%-Payable-Interest rate
(weighted average for 12 months to 31 March 2021)-Financial derivatives – Total</v>
      </c>
      <c r="F36" t="s">
        <v>17467</v>
      </c>
      <c r="G36">
        <f>'4I'!$J$15</f>
        <v>0</v>
      </c>
    </row>
    <row r="37" spans="1:7">
      <c r="A37" t="s">
        <v>17333</v>
      </c>
      <c r="C37" t="str">
        <f>'4I'!$AN$15</f>
        <v>CR2024IRR</v>
      </c>
      <c r="D37" t="str">
        <f>_xlfn.CONCAT('4I'!$B$11, "-", '4I'!$B$15, "-", '4I'!$K$9, "-", '4I'!$K$8, "-", '4I'!$K$7, "-", '4I'!$J$6, "-", '4I'!$C$5)</f>
        <v>Interest rate swap (sterling)-Floating from index linked-3-%-Receivable-Interest rate
(weighted average for 12 months to 31 March 2021)-Financial derivatives – Total</v>
      </c>
      <c r="F37" t="s">
        <v>17467</v>
      </c>
      <c r="G37">
        <f>'4I'!$K$15</f>
        <v>0</v>
      </c>
    </row>
    <row r="38" spans="1:7">
      <c r="A38" t="s">
        <v>17333</v>
      </c>
      <c r="C38" t="str">
        <f>'4I'!$AF$16</f>
        <v>CR2025N0</v>
      </c>
      <c r="D38" t="str">
        <f>_xlfn.CONCAT('4I'!$B$11, "-", '4I'!$B$16, "-", '4I'!$C$9, "-", '4I'!$C$8, "-", '4I'!$C$7, "-", '4I'!$C$6, "-", '4I'!$C$5)</f>
        <v>Interest rate swap (sterling)-Fixed to index-linked-3-£m-0 to 1 years-Nominal value by maturity (net) at 31 March-Financial derivatives – Total</v>
      </c>
      <c r="F38" t="s">
        <v>17467</v>
      </c>
      <c r="G38">
        <f>'4I'!$C$16</f>
        <v>0</v>
      </c>
    </row>
    <row r="39" spans="1:7">
      <c r="A39" t="s">
        <v>17333</v>
      </c>
      <c r="C39" t="str">
        <f>'4I'!$AG$16</f>
        <v>CR2025N1</v>
      </c>
      <c r="D39" t="str">
        <f>_xlfn.CONCAT('4I'!$B$11, "-", '4I'!$B$16, "-", '4I'!$D$9, "-", '4I'!$D$8, "-", '4I'!$D$7, "-", '4I'!$C$6, "-", '4I'!$C$5)</f>
        <v>Interest rate swap (sterling)-Fixed to index-linked-3-£m-1 to 2 years-Nominal value by maturity (net) at 31 March-Financial derivatives – Total</v>
      </c>
      <c r="F39" t="s">
        <v>17467</v>
      </c>
      <c r="G39">
        <f>'4I'!$D$16</f>
        <v>0</v>
      </c>
    </row>
    <row r="40" spans="1:7">
      <c r="A40" t="s">
        <v>17333</v>
      </c>
      <c r="C40" t="str">
        <f>'4I'!$AH$16</f>
        <v>CR2025N2</v>
      </c>
      <c r="D40" t="str">
        <f>_xlfn.CONCAT('4I'!$B$11, "-", '4I'!$B$16, "-", '4I'!$E$9, "-", '4I'!$E$8, "-", '4I'!$E$7, "-", '4I'!$C$6, "-", '4I'!$C$5)</f>
        <v>Interest rate swap (sterling)-Fixed to index-linked-3-£m-2 to 5 years-Nominal value by maturity (net) at 31 March-Financial derivatives – Total</v>
      </c>
      <c r="F40" t="s">
        <v>17467</v>
      </c>
      <c r="G40">
        <f>'4I'!$E$16</f>
        <v>0</v>
      </c>
    </row>
    <row r="41" spans="1:7">
      <c r="A41" t="s">
        <v>17333</v>
      </c>
      <c r="C41" t="str">
        <f>'4I'!$AI$16</f>
        <v>CR2025N5</v>
      </c>
      <c r="D41" t="str">
        <f>_xlfn.CONCAT('4I'!$B$11, "-", '4I'!$B$16, "-", '4I'!$F$9, "-", '4I'!$F$8, "-", '4I'!$F$7, "-", '4I'!$C$6, "-", '4I'!$C$5)</f>
        <v>Interest rate swap (sterling)-Fixed to index-linked-3-£m-Over 5 years-Nominal value by maturity (net) at 31 March-Financial derivatives – Total</v>
      </c>
      <c r="F41" t="s">
        <v>17467</v>
      </c>
      <c r="G41">
        <f>'4I'!$F$16</f>
        <v>0</v>
      </c>
    </row>
    <row r="42" spans="1:7">
      <c r="A42" t="s">
        <v>17333</v>
      </c>
      <c r="C42" t="str">
        <f>'4I'!$AJ$16</f>
        <v>CR2025N6</v>
      </c>
      <c r="D42" t="str">
        <f>_xlfn.CONCAT('4I'!$B$11, "-", '4I'!$B$16, "-", '4I'!$G$9, "-", '4I'!$G$8, "-", '4I'!$G$7, "-", '4I'!$G$6, "-", '4I'!$C$5)</f>
        <v>Interest rate swap (sterling)-Fixed to index-linked-3-£m-Nominal value (net)-Total value at 31 March-Financial derivatives – Total</v>
      </c>
      <c r="F42" t="s">
        <v>17467</v>
      </c>
      <c r="G42">
        <f>'4I'!$G$16</f>
        <v>0</v>
      </c>
    </row>
    <row r="43" spans="1:7">
      <c r="A43" t="s">
        <v>17333</v>
      </c>
      <c r="C43" t="str">
        <f>'4I'!$AK$16</f>
        <v>CR2025MM</v>
      </c>
      <c r="D43" t="str">
        <f>_xlfn.CONCAT('4I'!$B$11, "-", '4I'!$B$16, "-", '4I'!$H$9, "-", '4I'!$H$8, "-", '4I'!$H$7, "-", '4I'!$G$6, "-", '4I'!$C$5)</f>
        <v>Interest rate swap (sterling)-Fixed to index-linked-3-£m-Mark to Market-Total value at 31 March-Financial derivatives – Total</v>
      </c>
      <c r="F43" t="s">
        <v>17467</v>
      </c>
      <c r="G43">
        <f>'4I'!$H$16</f>
        <v>0</v>
      </c>
    </row>
    <row r="44" spans="1:7">
      <c r="A44" t="s">
        <v>17333</v>
      </c>
      <c r="C44" t="str">
        <f>'4I'!$AL$16</f>
        <v>CR2025TA</v>
      </c>
      <c r="D44" t="str">
        <f>_xlfn.CONCAT('4I'!$B$11, "-", '4I'!$B$16, "-", '4I'!$I$9, "-", '4I'!$I$8, "-", '4I'!$I$6, "-", '4I'!$I$6, "-", '4I'!$C$5)</f>
        <v>Interest rate swap (sterling)-Fixed to index-linked-3-£m-Total accretion at 31 March-Total accretion at 31 March-Financial derivatives – Total</v>
      </c>
      <c r="F44" t="s">
        <v>17467</v>
      </c>
      <c r="G44">
        <f>'4I'!$I$16</f>
        <v>0</v>
      </c>
    </row>
    <row r="45" spans="1:7">
      <c r="A45" t="s">
        <v>17333</v>
      </c>
      <c r="C45" t="str">
        <f>'4I'!$AM$16</f>
        <v>CR2025IRP</v>
      </c>
      <c r="D45" t="str">
        <f>_xlfn.CONCAT('4I'!$B$11, "-", '4I'!$B$16, "-", '4I'!$J$9, "-", '4I'!$J$8, "-", '4I'!$J$7, "-", '4I'!$J$6, "-", '4I'!$C$5)</f>
        <v>Interest rate swap (sterling)-Fixed to index-linked-3-%-Payable-Interest rate
(weighted average for 12 months to 31 March 2021)-Financial derivatives – Total</v>
      </c>
      <c r="F45" t="s">
        <v>17467</v>
      </c>
      <c r="G45">
        <f>'4I'!$J$16</f>
        <v>0</v>
      </c>
    </row>
    <row r="46" spans="1:7">
      <c r="A46" t="s">
        <v>17333</v>
      </c>
      <c r="C46" t="str">
        <f>'4I'!$AN$16</f>
        <v>CR2025IRR</v>
      </c>
      <c r="D46" t="str">
        <f>_xlfn.CONCAT('4I'!$B$11, "-", '4I'!$B$16, "-", '4I'!$K$9, "-", '4I'!$K$8, "-", '4I'!$K$7, "-", '4I'!$J$6, "-", '4I'!$C$5)</f>
        <v>Interest rate swap (sterling)-Fixed to index-linked-3-%-Receivable-Interest rate
(weighted average for 12 months to 31 March 2021)-Financial derivatives – Total</v>
      </c>
      <c r="F46" t="s">
        <v>17467</v>
      </c>
      <c r="G46">
        <f>'4I'!$K$16</f>
        <v>0</v>
      </c>
    </row>
    <row r="47" spans="1:7">
      <c r="A47" t="s">
        <v>17333</v>
      </c>
      <c r="C47" t="str">
        <f>'4I'!$AF$17</f>
        <v>CR2026N0</v>
      </c>
      <c r="D47" t="str">
        <f>_xlfn.CONCAT('4I'!$B$11, "-", '4I'!$B$17, "-", '4I'!$C$9, "-", '4I'!$C$8, "-", '4I'!$C$7, "-", '4I'!$C$6, "-", '4I'!$C$5)</f>
        <v>Interest rate swap (sterling)-Fixed from index-linked-3-£m-0 to 1 years-Nominal value by maturity (net) at 31 March-Financial derivatives – Total</v>
      </c>
      <c r="F47" t="s">
        <v>17467</v>
      </c>
      <c r="G47">
        <f>'4I'!$C$17</f>
        <v>0</v>
      </c>
    </row>
    <row r="48" spans="1:7">
      <c r="A48" t="s">
        <v>17333</v>
      </c>
      <c r="C48" t="str">
        <f>'4I'!$AG$17</f>
        <v>CR2026N1</v>
      </c>
      <c r="D48" t="str">
        <f>_xlfn.CONCAT('4I'!$B$11, "-", '4I'!$B$17, "-", '4I'!$D$9, "-", '4I'!$D$8, "-", '4I'!$D$7, "-", '4I'!$C$6, "-", '4I'!$C$5)</f>
        <v>Interest rate swap (sterling)-Fixed from index-linked-3-£m-1 to 2 years-Nominal value by maturity (net) at 31 March-Financial derivatives – Total</v>
      </c>
      <c r="F48" t="s">
        <v>17467</v>
      </c>
      <c r="G48">
        <f>'4I'!$D$17</f>
        <v>0</v>
      </c>
    </row>
    <row r="49" spans="1:7">
      <c r="A49" t="s">
        <v>17333</v>
      </c>
      <c r="C49" t="str">
        <f>'4I'!$AH$17</f>
        <v>CR2026N2</v>
      </c>
      <c r="D49" t="str">
        <f>_xlfn.CONCAT('4I'!$B$11, "-", '4I'!$B$17, "-", '4I'!$E$9, "-", '4I'!$E$8, "-", '4I'!$E$7, "-", '4I'!$C$6, "-", '4I'!$C$5)</f>
        <v>Interest rate swap (sterling)-Fixed from index-linked-3-£m-2 to 5 years-Nominal value by maturity (net) at 31 March-Financial derivatives – Total</v>
      </c>
      <c r="F49" t="s">
        <v>17467</v>
      </c>
      <c r="G49">
        <f>'4I'!$E$17</f>
        <v>0</v>
      </c>
    </row>
    <row r="50" spans="1:7">
      <c r="A50" t="s">
        <v>17333</v>
      </c>
      <c r="C50" t="str">
        <f>'4I'!$AI$17</f>
        <v>CR2026N5</v>
      </c>
      <c r="D50" t="str">
        <f>_xlfn.CONCAT('4I'!$B$11, "-", '4I'!$B$17, "-", '4I'!$F$9, "-", '4I'!$F$8, "-", '4I'!$F$7, "-", '4I'!$C$6, "-", '4I'!$C$5)</f>
        <v>Interest rate swap (sterling)-Fixed from index-linked-3-£m-Over 5 years-Nominal value by maturity (net) at 31 March-Financial derivatives – Total</v>
      </c>
      <c r="F50" t="s">
        <v>17467</v>
      </c>
      <c r="G50">
        <f>'4I'!$F$17</f>
        <v>0</v>
      </c>
    </row>
    <row r="51" spans="1:7">
      <c r="A51" t="s">
        <v>17333</v>
      </c>
      <c r="C51" t="str">
        <f>'4I'!$AJ$17</f>
        <v>CR2026N6</v>
      </c>
      <c r="D51" t="str">
        <f>_xlfn.CONCAT('4I'!$B$11, "-", '4I'!$B$17, "-", '4I'!$G$9, "-", '4I'!$G$8, "-", '4I'!$G$7, "-", '4I'!$G$6, "-", '4I'!$C$5)</f>
        <v>Interest rate swap (sterling)-Fixed from index-linked-3-£m-Nominal value (net)-Total value at 31 March-Financial derivatives – Total</v>
      </c>
      <c r="F51" t="s">
        <v>17467</v>
      </c>
      <c r="G51">
        <f>'4I'!$G$17</f>
        <v>0</v>
      </c>
    </row>
    <row r="52" spans="1:7">
      <c r="A52" t="s">
        <v>17333</v>
      </c>
      <c r="C52" t="str">
        <f>'4I'!$AK$17</f>
        <v>CR2026MM</v>
      </c>
      <c r="D52" t="str">
        <f>_xlfn.CONCAT('4I'!$B$11, "-", '4I'!$B$17, "-", '4I'!$H$9, "-", '4I'!$H$8, "-", '4I'!$H$7, "-", '4I'!$G$6, "-", '4I'!$C$5)</f>
        <v>Interest rate swap (sterling)-Fixed from index-linked-3-£m-Mark to Market-Total value at 31 March-Financial derivatives – Total</v>
      </c>
      <c r="F52" t="s">
        <v>17467</v>
      </c>
      <c r="G52">
        <f>'4I'!$H$17</f>
        <v>0</v>
      </c>
    </row>
    <row r="53" spans="1:7">
      <c r="A53" t="s">
        <v>17333</v>
      </c>
      <c r="C53" t="str">
        <f>'4I'!$AL$17</f>
        <v>CR2026TA</v>
      </c>
      <c r="D53" t="str">
        <f>_xlfn.CONCAT('4I'!$B$11, "-", '4I'!$B$17, "-", '4I'!$I$9, "-", '4I'!$I$8, "-", '4I'!$I$6, "-", '4I'!$I$6, "-", '4I'!$C$5)</f>
        <v>Interest rate swap (sterling)-Fixed from index-linked-3-£m-Total accretion at 31 March-Total accretion at 31 March-Financial derivatives – Total</v>
      </c>
      <c r="F53" t="s">
        <v>17467</v>
      </c>
      <c r="G53">
        <f>'4I'!$I$17</f>
        <v>0</v>
      </c>
    </row>
    <row r="54" spans="1:7">
      <c r="A54" t="s">
        <v>17333</v>
      </c>
      <c r="C54" t="str">
        <f>'4I'!$AM$17</f>
        <v>CR2026IRP</v>
      </c>
      <c r="D54" t="str">
        <f>_xlfn.CONCAT('4I'!$B$11, "-", '4I'!$B$17, "-", '4I'!$J$9, "-", '4I'!$J$8, "-", '4I'!$J$7, "-", '4I'!$J$6, "-", '4I'!$C$5)</f>
        <v>Interest rate swap (sterling)-Fixed from index-linked-3-%-Payable-Interest rate
(weighted average for 12 months to 31 March 2021)-Financial derivatives – Total</v>
      </c>
      <c r="F54" t="s">
        <v>17467</v>
      </c>
      <c r="G54">
        <f>'4I'!$J$17</f>
        <v>0</v>
      </c>
    </row>
    <row r="55" spans="1:7">
      <c r="A55" t="s">
        <v>17333</v>
      </c>
      <c r="C55" t="str">
        <f>'4I'!$AN$17</f>
        <v>CR2026IRR</v>
      </c>
      <c r="D55" t="str">
        <f>_xlfn.CONCAT('4I'!$B$11, "-", '4I'!$B$17, "-", '4I'!$K$9, "-", '4I'!$K$8, "-", '4I'!$K$7, "-", '4I'!$J$6, "-", '4I'!$C$5)</f>
        <v>Interest rate swap (sterling)-Fixed from index-linked-3-%-Receivable-Interest rate
(weighted average for 12 months to 31 March 2021)-Financial derivatives – Total</v>
      </c>
      <c r="F55" t="s">
        <v>17467</v>
      </c>
      <c r="G55">
        <f>'4I'!$K$17</f>
        <v>0</v>
      </c>
    </row>
    <row r="56" spans="1:7">
      <c r="A56" t="s">
        <v>17333</v>
      </c>
      <c r="C56" t="str">
        <f>'4I'!$AF$18</f>
        <v>CR4029N0</v>
      </c>
      <c r="D56" t="str">
        <f>_xlfn.CONCAT('4I'!$B$11, "-", '4I'!$B$18, "-", '4I'!$C$9, "-", '4I'!$C$8, "-", '4I'!$C$7, "-", '4I'!$C$6, "-", '4I'!$C$5)</f>
        <v>Interest rate swap (sterling)-Index-linked to index-linked-3-£m-0 to 1 years-Nominal value by maturity (net) at 31 March-Financial derivatives – Total</v>
      </c>
      <c r="F56" t="s">
        <v>17467</v>
      </c>
      <c r="G56">
        <f>'4I'!$C$18</f>
        <v>0</v>
      </c>
    </row>
    <row r="57" spans="1:7">
      <c r="A57" t="s">
        <v>17333</v>
      </c>
      <c r="C57" t="str">
        <f>'4I'!$AG$18</f>
        <v>CR4029N1</v>
      </c>
      <c r="D57" t="str">
        <f>_xlfn.CONCAT('4I'!$B$11, "-", '4I'!$B$18, "-", '4I'!$D$9, "-", '4I'!$D$8, "-", '4I'!$D$7, "-", '4I'!$C$6, "-", '4I'!$C$5)</f>
        <v>Interest rate swap (sterling)-Index-linked to index-linked-3-£m-1 to 2 years-Nominal value by maturity (net) at 31 March-Financial derivatives – Total</v>
      </c>
      <c r="F57" t="s">
        <v>17467</v>
      </c>
      <c r="G57">
        <f>'4I'!$D$18</f>
        <v>0</v>
      </c>
    </row>
    <row r="58" spans="1:7">
      <c r="A58" t="s">
        <v>17333</v>
      </c>
      <c r="C58" t="str">
        <f>'4I'!$AH$18</f>
        <v>CR4029N2</v>
      </c>
      <c r="D58" t="str">
        <f>_xlfn.CONCAT('4I'!$B$11, "-", '4I'!$B$18, "-", '4I'!$E$9, "-", '4I'!$E$8, "-", '4I'!$E$7, "-", '4I'!$C$6, "-", '4I'!$C$5)</f>
        <v>Interest rate swap (sterling)-Index-linked to index-linked-3-£m-2 to 5 years-Nominal value by maturity (net) at 31 March-Financial derivatives – Total</v>
      </c>
      <c r="F58" t="s">
        <v>17467</v>
      </c>
      <c r="G58">
        <f>'4I'!$E$18</f>
        <v>0</v>
      </c>
    </row>
    <row r="59" spans="1:7">
      <c r="A59" t="s">
        <v>17333</v>
      </c>
      <c r="C59" t="str">
        <f>'4I'!$AI$18</f>
        <v>CR4029N5</v>
      </c>
      <c r="D59" t="str">
        <f>_xlfn.CONCAT('4I'!$B$11, "-", '4I'!$B$18, "-", '4I'!$F$9, "-", '4I'!$F$8, "-", '4I'!$F$7, "-", '4I'!$C$6, "-", '4I'!$C$5)</f>
        <v>Interest rate swap (sterling)-Index-linked to index-linked-3-£m-Over 5 years-Nominal value by maturity (net) at 31 March-Financial derivatives – Total</v>
      </c>
      <c r="F59" t="s">
        <v>17467</v>
      </c>
      <c r="G59">
        <f>'4I'!$F$18</f>
        <v>0</v>
      </c>
    </row>
    <row r="60" spans="1:7">
      <c r="A60" t="s">
        <v>17333</v>
      </c>
      <c r="C60" t="str">
        <f>'4I'!$AJ$18</f>
        <v>CR4029N6</v>
      </c>
      <c r="D60" t="str">
        <f>_xlfn.CONCAT('4I'!$B$11, "-", '4I'!$B$18, "-", '4I'!$G$9, "-", '4I'!$G$8, "-", '4I'!$G$7, "-", '4I'!$G$6, "-", '4I'!$C$5)</f>
        <v>Interest rate swap (sterling)-Index-linked to index-linked-3-£m-Nominal value (net)-Total value at 31 March-Financial derivatives – Total</v>
      </c>
      <c r="F60" t="s">
        <v>17467</v>
      </c>
      <c r="G60">
        <f>'4I'!$G$18</f>
        <v>0</v>
      </c>
    </row>
    <row r="61" spans="1:7">
      <c r="A61" t="s">
        <v>17333</v>
      </c>
      <c r="C61" t="str">
        <f>'4I'!$AK$18</f>
        <v>CR4029MM</v>
      </c>
      <c r="D61" t="str">
        <f>_xlfn.CONCAT('4I'!$B$11, "-", '4I'!$B$18, "-", '4I'!$H$9, "-", '4I'!$H$8, "-", '4I'!$H$7, "-", '4I'!$G$6, "-", '4I'!$C$5)</f>
        <v>Interest rate swap (sterling)-Index-linked to index-linked-3-£m-Mark to Market-Total value at 31 March-Financial derivatives – Total</v>
      </c>
      <c r="F61" t="s">
        <v>17467</v>
      </c>
      <c r="G61">
        <f>'4I'!$H$18</f>
        <v>0</v>
      </c>
    </row>
    <row r="62" spans="1:7">
      <c r="A62" t="s">
        <v>17333</v>
      </c>
      <c r="C62" t="str">
        <f>'4I'!$AL$18</f>
        <v>CR4029TA</v>
      </c>
      <c r="D62" t="str">
        <f>_xlfn.CONCAT('4I'!$B$11, "-", '4I'!$B$18, "-", '4I'!$I$9, "-", '4I'!$I$8, "-", '4I'!$I$6, "-", '4I'!$I$6, "-", '4I'!$C$5)</f>
        <v>Interest rate swap (sterling)-Index-linked to index-linked-3-£m-Total accretion at 31 March-Total accretion at 31 March-Financial derivatives – Total</v>
      </c>
      <c r="F62" t="s">
        <v>17467</v>
      </c>
      <c r="G62">
        <f>'4I'!$I$18</f>
        <v>0</v>
      </c>
    </row>
    <row r="63" spans="1:7">
      <c r="A63" t="s">
        <v>17333</v>
      </c>
      <c r="C63" t="str">
        <f>'4I'!$AM$18</f>
        <v>CR4029IRP</v>
      </c>
      <c r="D63" t="str">
        <f>_xlfn.CONCAT('4I'!$B$11, "-", '4I'!$B$18, "-", '4I'!$J$9, "-", '4I'!$J$8, "-", '4I'!$J$7, "-", '4I'!$J$6, "-", '4I'!$C$5)</f>
        <v>Interest rate swap (sterling)-Index-linked to index-linked-3-%-Payable-Interest rate
(weighted average for 12 months to 31 March 2021)-Financial derivatives – Total</v>
      </c>
      <c r="F63" t="s">
        <v>17467</v>
      </c>
      <c r="G63">
        <f>'4I'!$J$18</f>
        <v>0</v>
      </c>
    </row>
    <row r="64" spans="1:7">
      <c r="A64" t="s">
        <v>17333</v>
      </c>
      <c r="C64" t="str">
        <f>'4I'!$AN$18</f>
        <v>CR4029IRR</v>
      </c>
      <c r="D64" t="str">
        <f>_xlfn.CONCAT('4I'!$B$11, "-", '4I'!$B$18, "-", '4I'!$K$9, "-", '4I'!$K$8, "-", '4I'!$K$7, "-", '4I'!$J$6, "-", '4I'!$C$5)</f>
        <v>Interest rate swap (sterling)-Index-linked to index-linked-3-%-Receivable-Interest rate
(weighted average for 12 months to 31 March 2021)-Financial derivatives – Total</v>
      </c>
      <c r="F64" t="s">
        <v>17467</v>
      </c>
      <c r="G64">
        <f>'4I'!$K$18</f>
        <v>0</v>
      </c>
    </row>
    <row r="65" spans="1:7">
      <c r="A65" t="s">
        <v>17333</v>
      </c>
      <c r="C65" t="str">
        <f>'4I'!$AF$19</f>
        <v>CR2027N0</v>
      </c>
      <c r="D65" t="str">
        <f>_xlfn.CONCAT('4I'!$B$11, "-", '4I'!$B$19, "-", '4I'!$C$9, "-", '4I'!$C$8, "-", '4I'!$C$7, "-", '4I'!$C$6, "-", '4I'!$C$5)</f>
        <v>Interest rate swap (sterling)-Total-3-£m-0 to 1 years-Nominal value by maturity (net) at 31 March-Financial derivatives – Total</v>
      </c>
      <c r="F65" t="s">
        <v>17467</v>
      </c>
      <c r="G65">
        <f>'4I'!$C$19</f>
        <v>0</v>
      </c>
    </row>
    <row r="66" spans="1:7">
      <c r="A66" t="s">
        <v>17333</v>
      </c>
      <c r="C66" t="str">
        <f>'4I'!$AG$19</f>
        <v>CR2027N1</v>
      </c>
      <c r="D66" t="str">
        <f>_xlfn.CONCAT('4I'!$B$11, "-", '4I'!$B$19, "-", '4I'!$D$9, "-", '4I'!$D$8, "-", '4I'!$D$7, "-", '4I'!$C$6, "-", '4I'!$C$5)</f>
        <v>Interest rate swap (sterling)-Total-3-£m-1 to 2 years-Nominal value by maturity (net) at 31 March-Financial derivatives – Total</v>
      </c>
      <c r="F66" t="s">
        <v>17467</v>
      </c>
      <c r="G66">
        <f>'4I'!$D$19</f>
        <v>0</v>
      </c>
    </row>
    <row r="67" spans="1:7">
      <c r="A67" t="s">
        <v>17333</v>
      </c>
      <c r="C67" t="str">
        <f>'4I'!$AH$19</f>
        <v>CR2027N2</v>
      </c>
      <c r="D67" t="str">
        <f>_xlfn.CONCAT('4I'!$B$11, "-", '4I'!$B$19, "-", '4I'!$E$9, "-", '4I'!$E$8, "-", '4I'!$E$7, "-", '4I'!$C$6, "-", '4I'!$C$5)</f>
        <v>Interest rate swap (sterling)-Total-3-£m-2 to 5 years-Nominal value by maturity (net) at 31 March-Financial derivatives – Total</v>
      </c>
      <c r="F67" t="s">
        <v>17467</v>
      </c>
      <c r="G67">
        <f>'4I'!$E$19</f>
        <v>550</v>
      </c>
    </row>
    <row r="68" spans="1:7">
      <c r="A68" t="s">
        <v>17333</v>
      </c>
      <c r="C68" t="str">
        <f>'4I'!$AI$19</f>
        <v>CR2027N5</v>
      </c>
      <c r="D68" t="str">
        <f>_xlfn.CONCAT('4I'!$B$11, "-", '4I'!$B$19, "-", '4I'!$F$9, "-", '4I'!$F$8, "-", '4I'!$F$7, "-", '4I'!$C$6, "-", '4I'!$C$5)</f>
        <v>Interest rate swap (sterling)-Total-3-£m-Over 5 years-Nominal value by maturity (net) at 31 March-Financial derivatives – Total</v>
      </c>
      <c r="F68" t="s">
        <v>17467</v>
      </c>
      <c r="G68">
        <f>'4I'!$F$19</f>
        <v>1330.4839999999999</v>
      </c>
    </row>
    <row r="69" spans="1:7">
      <c r="A69" t="s">
        <v>17333</v>
      </c>
      <c r="C69" t="str">
        <f>'4I'!$AJ$19</f>
        <v>CR2027N6</v>
      </c>
      <c r="D69" t="str">
        <f>_xlfn.CONCAT('4I'!$B$11, "-", '4I'!$B$19, "-", '4I'!$G$9, "-", '4I'!$G$8, "-", '4I'!$G$7, "-", '4I'!$G$6, "-", '4I'!$C$5)</f>
        <v>Interest rate swap (sterling)-Total-3-£m-Nominal value (net)-Total value at 31 March-Financial derivatives – Total</v>
      </c>
      <c r="F69" t="s">
        <v>17467</v>
      </c>
      <c r="G69">
        <f>'4I'!$G$19</f>
        <v>1880.4839999999999</v>
      </c>
    </row>
    <row r="70" spans="1:7">
      <c r="A70" t="s">
        <v>17333</v>
      </c>
      <c r="C70" t="str">
        <f>'4I'!$AK$19</f>
        <v>CR2027MM</v>
      </c>
      <c r="D70" t="str">
        <f>_xlfn.CONCAT('4I'!$B$11, "-", '4I'!$B$19, "-", '4I'!$H$9, "-", '4I'!$H$8, "-", '4I'!$H$7, "-", '4I'!$G$6, "-", '4I'!$C$5)</f>
        <v>Interest rate swap (sterling)-Total-3-£m-Mark to Market-Total value at 31 March-Financial derivatives – Total</v>
      </c>
      <c r="F70" t="s">
        <v>17467</v>
      </c>
      <c r="G70">
        <f>'4I'!$H$19</f>
        <v>444.61099999999999</v>
      </c>
    </row>
    <row r="71" spans="1:7">
      <c r="A71" t="s">
        <v>17333</v>
      </c>
      <c r="C71" t="str">
        <f>'4I'!$AL$19</f>
        <v>CR2027TA</v>
      </c>
      <c r="D71" t="str">
        <f>_xlfn.CONCAT('4I'!$B$11, "-", '4I'!$B$19, "-", '4I'!$I$9, "-", '4I'!$I$8, "-", '4I'!$I$6, "-", '4I'!$I$6, "-", '4I'!$C$5)</f>
        <v>Interest rate swap (sterling)-Total-3-£m-Total accretion at 31 March-Total accretion at 31 March-Financial derivatives – Total</v>
      </c>
      <c r="F71" t="s">
        <v>17467</v>
      </c>
      <c r="G71">
        <f>'4I'!$I$19</f>
        <v>344.654</v>
      </c>
    </row>
    <row r="72" spans="1:7">
      <c r="A72" t="s">
        <v>17333</v>
      </c>
      <c r="C72" t="str">
        <f>'4I'!$AF$22</f>
        <v>CR2005N0</v>
      </c>
      <c r="D72" t="str">
        <f>_xlfn.CONCAT('4I'!$B$21, "-", '4I'!$B$22, "-", '4I'!$C$9, "-", '4I'!$C$8, "-", '4I'!$C$7, "-", '4I'!$C$6, "-", '4I'!$C$5)</f>
        <v>Foreign Exchange-Cross currency swap USD-3-£m-0 to 1 years-Nominal value by maturity (net) at 31 March-Financial derivatives – Total</v>
      </c>
      <c r="F72" t="s">
        <v>17467</v>
      </c>
      <c r="G72">
        <f>'4I'!$C$22</f>
        <v>0</v>
      </c>
    </row>
    <row r="73" spans="1:7">
      <c r="A73" t="s">
        <v>17333</v>
      </c>
      <c r="C73" t="str">
        <f>'4I'!$AG$22</f>
        <v>CR2005N1</v>
      </c>
      <c r="D73" t="str">
        <f>_xlfn.CONCAT('4I'!$B$21, "-", '4I'!$B$22, "-", '4I'!$D$9, "-", '4I'!$D$8, "-", '4I'!$D$7, "-", '4I'!$C$6, "-", '4I'!$C$5)</f>
        <v>Foreign Exchange-Cross currency swap USD-3-£m-1 to 2 years-Nominal value by maturity (net) at 31 March-Financial derivatives – Total</v>
      </c>
      <c r="F73" t="s">
        <v>17467</v>
      </c>
      <c r="G73">
        <f>'4I'!$D$22</f>
        <v>0</v>
      </c>
    </row>
    <row r="74" spans="1:7">
      <c r="A74" t="s">
        <v>17333</v>
      </c>
      <c r="C74" t="str">
        <f>'4I'!$AH$22</f>
        <v>CR2005N2</v>
      </c>
      <c r="D74" t="str">
        <f>_xlfn.CONCAT('4I'!$B$21, "-", '4I'!$B$22, "-", '4I'!$E$9, "-", '4I'!$E$8, "-", '4I'!$E$7, "-", '4I'!$C$6, "-", '4I'!$C$5)</f>
        <v>Foreign Exchange-Cross currency swap USD-3-£m-2 to 5 years-Nominal value by maturity (net) at 31 March-Financial derivatives – Total</v>
      </c>
      <c r="F74" t="s">
        <v>17467</v>
      </c>
      <c r="G74">
        <f>'4I'!$E$22</f>
        <v>0</v>
      </c>
    </row>
    <row r="75" spans="1:7">
      <c r="A75" t="s">
        <v>17333</v>
      </c>
      <c r="C75" t="str">
        <f>'4I'!$AI$22</f>
        <v>CR2005N5</v>
      </c>
      <c r="D75" t="str">
        <f>_xlfn.CONCAT('4I'!$B$21, "-", '4I'!$B$22, "-", '4I'!$F$9, "-", '4I'!$F$8, "-", '4I'!$F$7, "-", '4I'!$C$6, "-", '4I'!$C$5)</f>
        <v>Foreign Exchange-Cross currency swap USD-3-£m-Over 5 years-Nominal value by maturity (net) at 31 March-Financial derivatives – Total</v>
      </c>
      <c r="F75" t="s">
        <v>17467</v>
      </c>
      <c r="G75">
        <f>'4I'!$F$22</f>
        <v>0</v>
      </c>
    </row>
    <row r="76" spans="1:7">
      <c r="A76" t="s">
        <v>17333</v>
      </c>
      <c r="C76" t="str">
        <f>'4I'!$AJ$22</f>
        <v>CR2005N6</v>
      </c>
      <c r="D76" t="str">
        <f>_xlfn.CONCAT('4I'!$B$21, "-", '4I'!$B$22, "-", '4I'!$G$9, "-", '4I'!$G$8, "-", '4I'!$G$7, "-", '4I'!$G$6, "-", '4I'!$C$5)</f>
        <v>Foreign Exchange-Cross currency swap USD-3-£m-Nominal value (net)-Total value at 31 March-Financial derivatives – Total</v>
      </c>
      <c r="F76" t="s">
        <v>17467</v>
      </c>
      <c r="G76">
        <f>'4I'!$G$22</f>
        <v>0</v>
      </c>
    </row>
    <row r="77" spans="1:7">
      <c r="A77" t="s">
        <v>17333</v>
      </c>
      <c r="C77" t="str">
        <f>'4I'!$AK$22</f>
        <v>CR2005MM</v>
      </c>
      <c r="D77" t="str">
        <f>_xlfn.CONCAT('4I'!$B$21, "-", '4I'!$B$22, "-", '4I'!$H$9, "-", '4I'!$H$8, "-", '4I'!$H$7, "-", '4I'!$G$6, "-", '4I'!$C$5)</f>
        <v>Foreign Exchange-Cross currency swap USD-3-£m-Mark to Market-Total value at 31 March-Financial derivatives – Total</v>
      </c>
      <c r="F77" t="s">
        <v>17467</v>
      </c>
      <c r="G77">
        <f>'4I'!$H$22</f>
        <v>0</v>
      </c>
    </row>
    <row r="78" spans="1:7">
      <c r="A78" t="s">
        <v>17333</v>
      </c>
      <c r="C78" t="str">
        <f>'4I'!$AL$22</f>
        <v>CR2005TA</v>
      </c>
      <c r="D78" t="str">
        <f>_xlfn.CONCAT('4I'!$B$21, "-", '4I'!$B$22, "-", '4I'!$I$9, "-", '4I'!$I$8, "-", '4I'!$I$6, "-", '4I'!$I$6, "-", '4I'!$C$5)</f>
        <v>Foreign Exchange-Cross currency swap USD-3-£m-Total accretion at 31 March-Total accretion at 31 March-Financial derivatives – Total</v>
      </c>
      <c r="F78" t="s">
        <v>17467</v>
      </c>
      <c r="G78">
        <f>'4I'!$I$22</f>
        <v>0</v>
      </c>
    </row>
    <row r="79" spans="1:7">
      <c r="A79" t="s">
        <v>17333</v>
      </c>
      <c r="C79" t="str">
        <f>'4I'!$AF$23</f>
        <v>CR2006N0</v>
      </c>
      <c r="D79" t="str">
        <f>_xlfn.CONCAT('4I'!$B$21, "-", '4I'!$B$23, "-", '4I'!$C$9, "-", '4I'!$C$8, "-", '4I'!$C$7, "-", '4I'!$C$6, "-", '4I'!$C$5)</f>
        <v>Foreign Exchange-Cross currency swap EUR-3-£m-0 to 1 years-Nominal value by maturity (net) at 31 March-Financial derivatives – Total</v>
      </c>
      <c r="F79" t="s">
        <v>17467</v>
      </c>
      <c r="G79">
        <f>'4I'!$C$23</f>
        <v>0</v>
      </c>
    </row>
    <row r="80" spans="1:7">
      <c r="A80" t="s">
        <v>17333</v>
      </c>
      <c r="C80" t="str">
        <f>'4I'!$AG$23</f>
        <v>CR2006N1</v>
      </c>
      <c r="D80" t="str">
        <f>_xlfn.CONCAT('4I'!$B$21, "-", '4I'!$B$23, "-", '4I'!$D$9, "-", '4I'!$D$8, "-", '4I'!$D$7, "-", '4I'!$C$6, "-", '4I'!$C$5)</f>
        <v>Foreign Exchange-Cross currency swap EUR-3-£m-1 to 2 years-Nominal value by maturity (net) at 31 March-Financial derivatives – Total</v>
      </c>
      <c r="F80" t="s">
        <v>17467</v>
      </c>
      <c r="G80">
        <f>'4I'!$D$23</f>
        <v>0</v>
      </c>
    </row>
    <row r="81" spans="1:7">
      <c r="A81" t="s">
        <v>17333</v>
      </c>
      <c r="C81" t="str">
        <f>'4I'!$AH$23</f>
        <v>CR2006N2</v>
      </c>
      <c r="D81" t="str">
        <f>_xlfn.CONCAT('4I'!$B$21, "-", '4I'!$B$23, "-", '4I'!$E$9, "-", '4I'!$E$8, "-", '4I'!$E$7, "-", '4I'!$C$6, "-", '4I'!$C$5)</f>
        <v>Foreign Exchange-Cross currency swap EUR-3-£m-2 to 5 years-Nominal value by maturity (net) at 31 March-Financial derivatives – Total</v>
      </c>
      <c r="F81" t="s">
        <v>17467</v>
      </c>
      <c r="G81">
        <f>'4I'!$E$23</f>
        <v>0</v>
      </c>
    </row>
    <row r="82" spans="1:7">
      <c r="A82" t="s">
        <v>17333</v>
      </c>
      <c r="C82" t="str">
        <f>'4I'!$AI$23</f>
        <v>CR2006N5</v>
      </c>
      <c r="D82" t="str">
        <f>_xlfn.CONCAT('4I'!$B$21, "-", '4I'!$B$23, "-", '4I'!$F$9, "-", '4I'!$F$8, "-", '4I'!$F$7, "-", '4I'!$C$6, "-", '4I'!$C$5)</f>
        <v>Foreign Exchange-Cross currency swap EUR-3-£m-Over 5 years-Nominal value by maturity (net) at 31 March-Financial derivatives – Total</v>
      </c>
      <c r="F82" t="s">
        <v>17467</v>
      </c>
      <c r="G82">
        <f>'4I'!$F$23</f>
        <v>0</v>
      </c>
    </row>
    <row r="83" spans="1:7">
      <c r="A83" t="s">
        <v>17333</v>
      </c>
      <c r="C83" t="str">
        <f>'4I'!$AJ$23</f>
        <v>CR2006N6</v>
      </c>
      <c r="D83" t="str">
        <f>_xlfn.CONCAT('4I'!$B$21, "-", '4I'!$B$23, "-", '4I'!$G$9, "-", '4I'!$G$8, "-", '4I'!$G$7, "-", '4I'!$G$6, "-", '4I'!$C$5)</f>
        <v>Foreign Exchange-Cross currency swap EUR-3-£m-Nominal value (net)-Total value at 31 March-Financial derivatives – Total</v>
      </c>
      <c r="F83" t="s">
        <v>17467</v>
      </c>
      <c r="G83">
        <f>'4I'!$G$23</f>
        <v>0</v>
      </c>
    </row>
    <row r="84" spans="1:7">
      <c r="A84" t="s">
        <v>17333</v>
      </c>
      <c r="C84" t="str">
        <f>'4I'!$AK$23</f>
        <v>CR2006MM</v>
      </c>
      <c r="D84" t="str">
        <f>_xlfn.CONCAT('4I'!$B$21, "-", '4I'!$B$23, "-", '4I'!$H$9, "-", '4I'!$H$8, "-", '4I'!$H$7, "-", '4I'!$G$6, "-", '4I'!$C$5)</f>
        <v>Foreign Exchange-Cross currency swap EUR-3-£m-Mark to Market-Total value at 31 March-Financial derivatives – Total</v>
      </c>
      <c r="F84" t="s">
        <v>17467</v>
      </c>
      <c r="G84">
        <f>'4I'!$H$23</f>
        <v>0</v>
      </c>
    </row>
    <row r="85" spans="1:7">
      <c r="A85" t="s">
        <v>17333</v>
      </c>
      <c r="C85" t="str">
        <f>'4I'!$AL$23</f>
        <v>CR2006TA</v>
      </c>
      <c r="D85" t="str">
        <f>_xlfn.CONCAT('4I'!$B$21, "-", '4I'!$B$23, "-", '4I'!$I$9, "-", '4I'!$I$8, "-", '4I'!$I$6, "-", '4I'!$I$6, "-", '4I'!$C$5)</f>
        <v>Foreign Exchange-Cross currency swap EUR-3-£m-Total accretion at 31 March-Total accretion at 31 March-Financial derivatives – Total</v>
      </c>
      <c r="F85" t="s">
        <v>17467</v>
      </c>
      <c r="G85">
        <f>'4I'!$I$23</f>
        <v>0</v>
      </c>
    </row>
    <row r="86" spans="1:7">
      <c r="A86" t="s">
        <v>17333</v>
      </c>
      <c r="C86" t="str">
        <f>'4I'!$AF$24</f>
        <v>CR2007N0</v>
      </c>
      <c r="D86" t="str">
        <f>_xlfn.CONCAT('4I'!$B$21, "-", '4I'!$B$24, "-", '4I'!$C$9, "-", '4I'!$C$8, "-", '4I'!$C$7, "-", '4I'!$C$6, "-", '4I'!$C$5)</f>
        <v>Foreign Exchange-Cross currency swap YEN-3-£m-0 to 1 years-Nominal value by maturity (net) at 31 March-Financial derivatives – Total</v>
      </c>
      <c r="F86" t="s">
        <v>17467</v>
      </c>
      <c r="G86">
        <f>'4I'!$C$24</f>
        <v>0</v>
      </c>
    </row>
    <row r="87" spans="1:7">
      <c r="A87" t="s">
        <v>17333</v>
      </c>
      <c r="C87" t="str">
        <f>'4I'!$AG$24</f>
        <v>CR2007N1</v>
      </c>
      <c r="D87" t="str">
        <f>_xlfn.CONCAT('4I'!$B$21, "-", '4I'!$B$24, "-", '4I'!$D$9, "-", '4I'!$D$8, "-", '4I'!$D$7, "-", '4I'!$C$6, "-", '4I'!$C$5)</f>
        <v>Foreign Exchange-Cross currency swap YEN-3-£m-1 to 2 years-Nominal value by maturity (net) at 31 March-Financial derivatives – Total</v>
      </c>
      <c r="F87" t="s">
        <v>17467</v>
      </c>
      <c r="G87">
        <f>'4I'!$D$24</f>
        <v>0</v>
      </c>
    </row>
    <row r="88" spans="1:7">
      <c r="A88" t="s">
        <v>17333</v>
      </c>
      <c r="C88" t="str">
        <f>'4I'!$AH$24</f>
        <v>CR2007N2</v>
      </c>
      <c r="D88" t="str">
        <f>_xlfn.CONCAT('4I'!$B$21, "-", '4I'!$B$24, "-", '4I'!$E$9, "-", '4I'!$E$8, "-", '4I'!$E$7, "-", '4I'!$C$6, "-", '4I'!$C$5)</f>
        <v>Foreign Exchange-Cross currency swap YEN-3-£m-2 to 5 years-Nominal value by maturity (net) at 31 March-Financial derivatives – Total</v>
      </c>
      <c r="F88" t="s">
        <v>17467</v>
      </c>
      <c r="G88">
        <f>'4I'!$E$24</f>
        <v>0</v>
      </c>
    </row>
    <row r="89" spans="1:7">
      <c r="A89" t="s">
        <v>17333</v>
      </c>
      <c r="C89" t="str">
        <f>'4I'!$AI$24</f>
        <v>CR2007N5</v>
      </c>
      <c r="D89" t="str">
        <f>_xlfn.CONCAT('4I'!$B$21, "-", '4I'!$B$24, "-", '4I'!$F$9, "-", '4I'!$F$8, "-", '4I'!$F$7, "-", '4I'!$C$6, "-", '4I'!$C$5)</f>
        <v>Foreign Exchange-Cross currency swap YEN-3-£m-Over 5 years-Nominal value by maturity (net) at 31 March-Financial derivatives – Total</v>
      </c>
      <c r="F89" t="s">
        <v>17467</v>
      </c>
      <c r="G89">
        <f>'4I'!$F$24</f>
        <v>0</v>
      </c>
    </row>
    <row r="90" spans="1:7">
      <c r="A90" t="s">
        <v>17333</v>
      </c>
      <c r="C90" t="str">
        <f>'4I'!$AJ$24</f>
        <v>CR2007N6</v>
      </c>
      <c r="D90" t="str">
        <f>_xlfn.CONCAT('4I'!$B$21, "-", '4I'!$B$24, "-", '4I'!$G$9, "-", '4I'!$G$8, "-", '4I'!$G$7, "-", '4I'!$G$6, "-", '4I'!$C$5)</f>
        <v>Foreign Exchange-Cross currency swap YEN-3-£m-Nominal value (net)-Total value at 31 March-Financial derivatives – Total</v>
      </c>
      <c r="F90" t="s">
        <v>17467</v>
      </c>
      <c r="G90">
        <f>'4I'!$G$24</f>
        <v>0</v>
      </c>
    </row>
    <row r="91" spans="1:7">
      <c r="A91" t="s">
        <v>17333</v>
      </c>
      <c r="C91" t="str">
        <f>'4I'!$AK$24</f>
        <v>CR2007MM</v>
      </c>
      <c r="D91" t="str">
        <f>_xlfn.CONCAT('4I'!$B$21, "-", '4I'!$B$24, "-", '4I'!$H$9, "-", '4I'!$H$8, "-", '4I'!$H$7, "-", '4I'!$G$6, "-", '4I'!$C$5)</f>
        <v>Foreign Exchange-Cross currency swap YEN-3-£m-Mark to Market-Total value at 31 March-Financial derivatives – Total</v>
      </c>
      <c r="F91" t="s">
        <v>17467</v>
      </c>
      <c r="G91">
        <f>'4I'!$H$24</f>
        <v>0</v>
      </c>
    </row>
    <row r="92" spans="1:7">
      <c r="A92" t="s">
        <v>17333</v>
      </c>
      <c r="C92" t="str">
        <f>'4I'!$AL$24</f>
        <v>CR2007TA</v>
      </c>
      <c r="D92" t="str">
        <f>_xlfn.CONCAT('4I'!$B$21, "-", '4I'!$B$24, "-", '4I'!$I$9, "-", '4I'!$I$8, "-", '4I'!$I$6, "-", '4I'!$I$6, "-", '4I'!$C$5)</f>
        <v>Foreign Exchange-Cross currency swap YEN-3-£m-Total accretion at 31 March-Total accretion at 31 March-Financial derivatives – Total</v>
      </c>
      <c r="F92" t="s">
        <v>17467</v>
      </c>
      <c r="G92">
        <f>'4I'!$I$24</f>
        <v>0</v>
      </c>
    </row>
    <row r="93" spans="1:7">
      <c r="A93" t="s">
        <v>17333</v>
      </c>
      <c r="C93" t="str">
        <f>'4I'!$AF$25</f>
        <v>CR2008N0</v>
      </c>
      <c r="D93" t="str">
        <f>_xlfn.CONCAT('4I'!$B$21, "-", '4I'!$B$25, "-", '4I'!$C$9, "-", '4I'!$C$8, "-", '4I'!$C$7, "-", '4I'!$C$6, "-", '4I'!$C$5)</f>
        <v>Foreign Exchange-Cross currency swap Other-3-£m-0 to 1 years-Nominal value by maturity (net) at 31 March-Financial derivatives – Total</v>
      </c>
      <c r="F93" t="s">
        <v>17467</v>
      </c>
      <c r="G93">
        <f>'4I'!$C$25</f>
        <v>0</v>
      </c>
    </row>
    <row r="94" spans="1:7">
      <c r="A94" t="s">
        <v>17333</v>
      </c>
      <c r="C94" t="str">
        <f>'4I'!$AG$25</f>
        <v>CR2008N1</v>
      </c>
      <c r="D94" t="str">
        <f>_xlfn.CONCAT('4I'!$B$21, "-", '4I'!$B$25, "-", '4I'!$D$9, "-", '4I'!$D$8, "-", '4I'!$D$7, "-", '4I'!$C$6, "-", '4I'!$C$5)</f>
        <v>Foreign Exchange-Cross currency swap Other-3-£m-1 to 2 years-Nominal value by maturity (net) at 31 March-Financial derivatives – Total</v>
      </c>
      <c r="F94" t="s">
        <v>17467</v>
      </c>
      <c r="G94">
        <f>'4I'!$D$25</f>
        <v>0</v>
      </c>
    </row>
    <row r="95" spans="1:7">
      <c r="A95" t="s">
        <v>17333</v>
      </c>
      <c r="C95" t="str">
        <f>'4I'!$AH$25</f>
        <v>CR2008N2</v>
      </c>
      <c r="D95" t="str">
        <f>_xlfn.CONCAT('4I'!$B$21, "-", '4I'!$B$25, "-", '4I'!$E$9, "-", '4I'!$E$8, "-", '4I'!$E$7, "-", '4I'!$C$6, "-", '4I'!$C$5)</f>
        <v>Foreign Exchange-Cross currency swap Other-3-£m-2 to 5 years-Nominal value by maturity (net) at 31 March-Financial derivatives – Total</v>
      </c>
      <c r="F95" t="s">
        <v>17467</v>
      </c>
      <c r="G95">
        <f>'4I'!$E$25</f>
        <v>0</v>
      </c>
    </row>
    <row r="96" spans="1:7">
      <c r="A96" t="s">
        <v>17333</v>
      </c>
      <c r="C96" t="str">
        <f>'4I'!$AI$25</f>
        <v>CR2008N5</v>
      </c>
      <c r="D96" t="str">
        <f>_xlfn.CONCAT('4I'!$B$21, "-", '4I'!$B$25, "-", '4I'!$F$9, "-", '4I'!$F$8, "-", '4I'!$F$7, "-", '4I'!$C$6, "-", '4I'!$C$5)</f>
        <v>Foreign Exchange-Cross currency swap Other-3-£m-Over 5 years-Nominal value by maturity (net) at 31 March-Financial derivatives – Total</v>
      </c>
      <c r="F96" t="s">
        <v>17467</v>
      </c>
      <c r="G96">
        <f>'4I'!$F$25</f>
        <v>0</v>
      </c>
    </row>
    <row r="97" spans="1:7">
      <c r="A97" t="s">
        <v>17333</v>
      </c>
      <c r="C97" t="str">
        <f>'4I'!$AJ$25</f>
        <v>CR2008N6</v>
      </c>
      <c r="D97" t="str">
        <f>_xlfn.CONCAT('4I'!$B$21, "-", '4I'!$B$25, "-", '4I'!$G$9, "-", '4I'!$G$8, "-", '4I'!$G$7, "-", '4I'!$G$6, "-", '4I'!$C$5)</f>
        <v>Foreign Exchange-Cross currency swap Other-3-£m-Nominal value (net)-Total value at 31 March-Financial derivatives – Total</v>
      </c>
      <c r="F97" t="s">
        <v>17467</v>
      </c>
      <c r="G97">
        <f>'4I'!$G$25</f>
        <v>0</v>
      </c>
    </row>
    <row r="98" spans="1:7">
      <c r="A98" t="s">
        <v>17333</v>
      </c>
      <c r="C98" t="str">
        <f>'4I'!$AK$25</f>
        <v>CR2008MM</v>
      </c>
      <c r="D98" t="str">
        <f>_xlfn.CONCAT('4I'!$B$21, "-", '4I'!$B$25, "-", '4I'!$H$9, "-", '4I'!$H$8, "-", '4I'!$H$7, "-", '4I'!$G$6, "-", '4I'!$C$5)</f>
        <v>Foreign Exchange-Cross currency swap Other-3-£m-Mark to Market-Total value at 31 March-Financial derivatives – Total</v>
      </c>
      <c r="F98" t="s">
        <v>17467</v>
      </c>
      <c r="G98">
        <f>'4I'!$H$25</f>
        <v>0</v>
      </c>
    </row>
    <row r="99" spans="1:7">
      <c r="A99" t="s">
        <v>17333</v>
      </c>
      <c r="C99" t="str">
        <f>'4I'!$AL$25</f>
        <v>CR2008TA</v>
      </c>
      <c r="D99" t="str">
        <f>_xlfn.CONCAT('4I'!$B$21, "-", '4I'!$B$25, "-", '4I'!$I$9, "-", '4I'!$I$8, "-", '4I'!$I$6, "-", '4I'!$I$6, "-", '4I'!$C$5)</f>
        <v>Foreign Exchange-Cross currency swap Other-3-£m-Total accretion at 31 March-Total accretion at 31 March-Financial derivatives – Total</v>
      </c>
      <c r="F99" t="s">
        <v>17467</v>
      </c>
      <c r="G99">
        <f>'4I'!$I$25</f>
        <v>0</v>
      </c>
    </row>
    <row r="100" spans="1:7">
      <c r="A100" t="s">
        <v>17333</v>
      </c>
      <c r="C100" t="str">
        <f>'4I'!$AF$26</f>
        <v>CR2009N0</v>
      </c>
      <c r="D100" t="str">
        <f>_xlfn.CONCAT('4I'!$B$21, "-", '4I'!$B$26, "-", '4I'!$C$9, "-", '4I'!$C$8, "-", '4I'!$C$7, "-", '4I'!$C$6, "-", '4I'!$C$5)</f>
        <v>Foreign Exchange-Total-3-£m-0 to 1 years-Nominal value by maturity (net) at 31 March-Financial derivatives – Total</v>
      </c>
      <c r="F100" t="s">
        <v>17467</v>
      </c>
      <c r="G100">
        <f>'4I'!$C$26</f>
        <v>0</v>
      </c>
    </row>
    <row r="101" spans="1:7">
      <c r="A101" t="s">
        <v>17333</v>
      </c>
      <c r="C101" t="str">
        <f>'4I'!$AG$26</f>
        <v>CR2009N1</v>
      </c>
      <c r="D101" t="str">
        <f>_xlfn.CONCAT('4I'!$B$21, "-", '4I'!$B$26, "-", '4I'!$D$9, "-", '4I'!$D$8, "-", '4I'!$D$7, "-", '4I'!$C$6, "-", '4I'!$C$5)</f>
        <v>Foreign Exchange-Total-3-£m-1 to 2 years-Nominal value by maturity (net) at 31 March-Financial derivatives – Total</v>
      </c>
      <c r="F101" t="s">
        <v>17467</v>
      </c>
      <c r="G101">
        <f>'4I'!$D$26</f>
        <v>0</v>
      </c>
    </row>
    <row r="102" spans="1:7">
      <c r="A102" t="s">
        <v>17333</v>
      </c>
      <c r="C102" t="str">
        <f>'4I'!$AH$26</f>
        <v>CR2009N2</v>
      </c>
      <c r="D102" t="str">
        <f>_xlfn.CONCAT('4I'!$B$21, "-", '4I'!$B$26, "-", '4I'!$E$9, "-", '4I'!$E$8, "-", '4I'!$E$7, "-", '4I'!$C$6, "-", '4I'!$C$5)</f>
        <v>Foreign Exchange-Total-3-£m-2 to 5 years-Nominal value by maturity (net) at 31 March-Financial derivatives – Total</v>
      </c>
      <c r="F102" t="s">
        <v>17467</v>
      </c>
      <c r="G102">
        <f>'4I'!$E$26</f>
        <v>0</v>
      </c>
    </row>
    <row r="103" spans="1:7">
      <c r="A103" t="s">
        <v>17333</v>
      </c>
      <c r="C103" t="str">
        <f>'4I'!$AI$26</f>
        <v>CR2009N5</v>
      </c>
      <c r="D103" t="str">
        <f>_xlfn.CONCAT('4I'!$B$21, "-", '4I'!$B$26, "-", '4I'!$F$9, "-", '4I'!$F$8, "-", '4I'!$F$7, "-", '4I'!$C$6, "-", '4I'!$C$5)</f>
        <v>Foreign Exchange-Total-3-£m-Over 5 years-Nominal value by maturity (net) at 31 March-Financial derivatives – Total</v>
      </c>
      <c r="F103" t="s">
        <v>17467</v>
      </c>
      <c r="G103">
        <f>'4I'!$F$26</f>
        <v>0</v>
      </c>
    </row>
    <row r="104" spans="1:7">
      <c r="A104" t="s">
        <v>17333</v>
      </c>
      <c r="C104" t="str">
        <f>'4I'!$AJ$26</f>
        <v>CR2009N6</v>
      </c>
      <c r="D104" t="str">
        <f>_xlfn.CONCAT('4I'!$B$21, "-", '4I'!$B$26, "-", '4I'!$G$9, "-", '4I'!$G$8, "-", '4I'!$G$7, "-", '4I'!$G$6, "-", '4I'!$C$5)</f>
        <v>Foreign Exchange-Total-3-£m-Nominal value (net)-Total value at 31 March-Financial derivatives – Total</v>
      </c>
      <c r="F104" t="s">
        <v>17467</v>
      </c>
      <c r="G104">
        <f>'4I'!$G$26</f>
        <v>0</v>
      </c>
    </row>
    <row r="105" spans="1:7">
      <c r="A105" t="s">
        <v>17333</v>
      </c>
      <c r="C105" t="str">
        <f>'4I'!$AK$26</f>
        <v>CR2009MM</v>
      </c>
      <c r="D105" t="str">
        <f>_xlfn.CONCAT('4I'!$B$21, "-", '4I'!$B$26, "-", '4I'!$H$9, "-", '4I'!$H$8, "-", '4I'!$H$7, "-", '4I'!$G$6, "-", '4I'!$C$5)</f>
        <v>Foreign Exchange-Total-3-£m-Mark to Market-Total value at 31 March-Financial derivatives – Total</v>
      </c>
      <c r="F105" t="s">
        <v>17467</v>
      </c>
      <c r="G105">
        <f>'4I'!$H$26</f>
        <v>0</v>
      </c>
    </row>
    <row r="106" spans="1:7">
      <c r="A106" t="s">
        <v>17333</v>
      </c>
      <c r="C106" t="str">
        <f>'4I'!$AL$26</f>
        <v>CR2009TA</v>
      </c>
      <c r="D106" t="str">
        <f>_xlfn.CONCAT('4I'!$B$21, "-", '4I'!$B$26, "-", '4I'!$I$9, "-", '4I'!$I$8, "-", '4I'!$I$6, "-", '4I'!$I$6, "-", '4I'!$C$5)</f>
        <v>Foreign Exchange-Total-3-£m-Total accretion at 31 March-Total accretion at 31 March-Financial derivatives – Total</v>
      </c>
      <c r="F106" t="s">
        <v>17467</v>
      </c>
      <c r="G106">
        <f>'4I'!$I$26</f>
        <v>0</v>
      </c>
    </row>
    <row r="107" spans="1:7">
      <c r="A107" t="s">
        <v>17333</v>
      </c>
      <c r="C107" t="str">
        <f>'4I'!$AF$29</f>
        <v>CR20010N0</v>
      </c>
      <c r="D107" t="str">
        <f>_xlfn.CONCAT('4I'!$B$28, "-", '4I'!$B$29, "-", '4I'!$C$9, "-", '4I'!$C$8, "-", '4I'!$C$7, "-", '4I'!$C$6, "-", '4I'!$C$5)</f>
        <v>Currency interest rate -Currency interest rate swaps USD-3-£m-0 to 1 years-Nominal value by maturity (net) at 31 March-Financial derivatives – Total</v>
      </c>
      <c r="F107" t="s">
        <v>17467</v>
      </c>
      <c r="G107">
        <f>'4I'!$C$29</f>
        <v>0</v>
      </c>
    </row>
    <row r="108" spans="1:7">
      <c r="A108" t="s">
        <v>17333</v>
      </c>
      <c r="C108" t="str">
        <f>'4I'!$AG$29</f>
        <v>CR20010N1</v>
      </c>
      <c r="D108" t="str">
        <f>_xlfn.CONCAT('4I'!$B$28, "-", '4I'!$B$29, "-", '4I'!$D$9, "-", '4I'!$D$8, "-", '4I'!$D$7, "-", '4I'!$C$6, "-", '4I'!$C$5)</f>
        <v>Currency interest rate -Currency interest rate swaps USD-3-£m-1 to 2 years-Nominal value by maturity (net) at 31 March-Financial derivatives – Total</v>
      </c>
      <c r="F108" t="s">
        <v>17467</v>
      </c>
      <c r="G108">
        <f>'4I'!$D$29</f>
        <v>0</v>
      </c>
    </row>
    <row r="109" spans="1:7">
      <c r="A109" t="s">
        <v>17333</v>
      </c>
      <c r="C109" t="str">
        <f>'4I'!$AH$29</f>
        <v>CR20010N2</v>
      </c>
      <c r="D109" t="str">
        <f>_xlfn.CONCAT('4I'!$B$28, "-", '4I'!$B$29, "-", '4I'!$E$9, "-", '4I'!$E$8, "-", '4I'!$E$7, "-", '4I'!$C$6, "-", '4I'!$C$5)</f>
        <v>Currency interest rate -Currency interest rate swaps USD-3-£m-2 to 5 years-Nominal value by maturity (net) at 31 March-Financial derivatives – Total</v>
      </c>
      <c r="F109" t="s">
        <v>17467</v>
      </c>
      <c r="G109">
        <f>'4I'!$E$29</f>
        <v>0</v>
      </c>
    </row>
    <row r="110" spans="1:7">
      <c r="A110" t="s">
        <v>17333</v>
      </c>
      <c r="C110" t="str">
        <f>'4I'!$AI$29</f>
        <v>CR20010N5</v>
      </c>
      <c r="D110" t="str">
        <f>_xlfn.CONCAT('4I'!$B$28, "-", '4I'!$B$29, "-", '4I'!$F$9, "-", '4I'!$F$8, "-", '4I'!$F$7, "-", '4I'!$C$6, "-", '4I'!$C$5)</f>
        <v>Currency interest rate -Currency interest rate swaps USD-3-£m-Over 5 years-Nominal value by maturity (net) at 31 March-Financial derivatives – Total</v>
      </c>
      <c r="F110" t="s">
        <v>17467</v>
      </c>
      <c r="G110">
        <f>'4I'!$F$29</f>
        <v>0</v>
      </c>
    </row>
    <row r="111" spans="1:7">
      <c r="A111" t="s">
        <v>17333</v>
      </c>
      <c r="C111" t="str">
        <f>'4I'!$AJ$29</f>
        <v>CR20010N6</v>
      </c>
      <c r="D111" t="str">
        <f>_xlfn.CONCAT('4I'!$B$28, "-", '4I'!$B$29, "-", '4I'!$G$9, "-", '4I'!$G$8, "-", '4I'!$G$7, "-", '4I'!$G$6, "-", '4I'!$C$5)</f>
        <v>Currency interest rate -Currency interest rate swaps USD-3-£m-Nominal value (net)-Total value at 31 March-Financial derivatives – Total</v>
      </c>
      <c r="F111" t="s">
        <v>17467</v>
      </c>
      <c r="G111">
        <f>'4I'!$G$29</f>
        <v>0</v>
      </c>
    </row>
    <row r="112" spans="1:7">
      <c r="A112" t="s">
        <v>17333</v>
      </c>
      <c r="C112" t="str">
        <f>'4I'!$AK$29</f>
        <v>CR20010MM</v>
      </c>
      <c r="D112" t="str">
        <f>_xlfn.CONCAT('4I'!$B$28, "-", '4I'!$B$29, "-", '4I'!$H$9, "-", '4I'!$H$8, "-", '4I'!$H$7, "-", '4I'!$G$6, "-", '4I'!$C$5)</f>
        <v>Currency interest rate -Currency interest rate swaps USD-3-£m-Mark to Market-Total value at 31 March-Financial derivatives – Total</v>
      </c>
      <c r="F112" t="s">
        <v>17467</v>
      </c>
      <c r="G112">
        <f>'4I'!$H$29</f>
        <v>0</v>
      </c>
    </row>
    <row r="113" spans="1:7">
      <c r="A113" t="s">
        <v>17333</v>
      </c>
      <c r="C113" t="str">
        <f>'4I'!$AL$29</f>
        <v>CR20010TA</v>
      </c>
      <c r="D113" t="str">
        <f>_xlfn.CONCAT('4I'!$B$28, "-", '4I'!$B$29, "-", '4I'!$I$9, "-", '4I'!$I$8, "-", '4I'!$I$6, "-", '4I'!$I$6, "-", '4I'!$C$5)</f>
        <v>Currency interest rate -Currency interest rate swaps USD-3-£m-Total accretion at 31 March-Total accretion at 31 March-Financial derivatives – Total</v>
      </c>
      <c r="F113" t="s">
        <v>17467</v>
      </c>
      <c r="G113">
        <f>'4I'!$I$29</f>
        <v>0</v>
      </c>
    </row>
    <row r="114" spans="1:7">
      <c r="A114" t="s">
        <v>17333</v>
      </c>
      <c r="C114" t="str">
        <f>'4I'!$AF$30</f>
        <v>CR20011N0</v>
      </c>
      <c r="D114" t="str">
        <f>_xlfn.CONCAT('4I'!$B$28, "-", '4I'!$B$30, "-", '4I'!$C$9, "-", '4I'!$C$8, "-", '4I'!$C$7, "-", '4I'!$C$6, "-", '4I'!$C$5)</f>
        <v>Currency interest rate -Currency interest rate swaps EUR-3-£m-0 to 1 years-Nominal value by maturity (net) at 31 March-Financial derivatives – Total</v>
      </c>
      <c r="F114" t="s">
        <v>17467</v>
      </c>
      <c r="G114">
        <f>'4I'!$C$30</f>
        <v>0</v>
      </c>
    </row>
    <row r="115" spans="1:7">
      <c r="A115" t="s">
        <v>17333</v>
      </c>
      <c r="C115" t="str">
        <f>'4I'!$AG$30</f>
        <v>CR20011N1</v>
      </c>
      <c r="D115" t="str">
        <f>_xlfn.CONCAT('4I'!$B$28, "-", '4I'!$B$30, "-", '4I'!$D$9, "-", '4I'!$D$8, "-", '4I'!$D$7, "-", '4I'!$C$6, "-", '4I'!$C$5)</f>
        <v>Currency interest rate -Currency interest rate swaps EUR-3-£m-1 to 2 years-Nominal value by maturity (net) at 31 March-Financial derivatives – Total</v>
      </c>
      <c r="F115" t="s">
        <v>17467</v>
      </c>
      <c r="G115">
        <f>'4I'!$D$30</f>
        <v>0</v>
      </c>
    </row>
    <row r="116" spans="1:7">
      <c r="A116" t="s">
        <v>17333</v>
      </c>
      <c r="C116" t="str">
        <f>'4I'!$AH$30</f>
        <v>CR20011N2</v>
      </c>
      <c r="D116" t="str">
        <f>_xlfn.CONCAT('4I'!$B$28, "-", '4I'!$B$30, "-", '4I'!$E$9, "-", '4I'!$E$8, "-", '4I'!$E$7, "-", '4I'!$C$6, "-", '4I'!$C$5)</f>
        <v>Currency interest rate -Currency interest rate swaps EUR-3-£m-2 to 5 years-Nominal value by maturity (net) at 31 March-Financial derivatives – Total</v>
      </c>
      <c r="F116" t="s">
        <v>17467</v>
      </c>
      <c r="G116">
        <f>'4I'!$E$30</f>
        <v>0</v>
      </c>
    </row>
    <row r="117" spans="1:7">
      <c r="A117" t="s">
        <v>17333</v>
      </c>
      <c r="C117" t="str">
        <f>'4I'!$AI$30</f>
        <v>CR20011N5</v>
      </c>
      <c r="D117" t="str">
        <f>_xlfn.CONCAT('4I'!$B$28, "-", '4I'!$B$30, "-", '4I'!$F$9, "-", '4I'!$F$8, "-", '4I'!$F$7, "-", '4I'!$C$6, "-", '4I'!$C$5)</f>
        <v>Currency interest rate -Currency interest rate swaps EUR-3-£m-Over 5 years-Nominal value by maturity (net) at 31 March-Financial derivatives – Total</v>
      </c>
      <c r="F117" t="s">
        <v>17467</v>
      </c>
      <c r="G117">
        <f>'4I'!$F$30</f>
        <v>0</v>
      </c>
    </row>
    <row r="118" spans="1:7">
      <c r="A118" t="s">
        <v>17333</v>
      </c>
      <c r="C118" t="str">
        <f>'4I'!$AJ$30</f>
        <v>CR20011N6</v>
      </c>
      <c r="D118" t="str">
        <f>_xlfn.CONCAT('4I'!$B$28, "-", '4I'!$B$30, "-", '4I'!$G$9, "-", '4I'!$G$8, "-", '4I'!$G$7, "-", '4I'!$G$6, "-", '4I'!$C$5)</f>
        <v>Currency interest rate -Currency interest rate swaps EUR-3-£m-Nominal value (net)-Total value at 31 March-Financial derivatives – Total</v>
      </c>
      <c r="F118" t="s">
        <v>17467</v>
      </c>
      <c r="G118">
        <f>'4I'!$G$30</f>
        <v>0</v>
      </c>
    </row>
    <row r="119" spans="1:7">
      <c r="A119" t="s">
        <v>17333</v>
      </c>
      <c r="C119" t="str">
        <f>'4I'!$AK$30</f>
        <v>CR20011MM</v>
      </c>
      <c r="D119" t="str">
        <f>_xlfn.CONCAT('4I'!$B$28, "-", '4I'!$B$30, "-", '4I'!$H$9, "-", '4I'!$H$8, "-", '4I'!$H$7, "-", '4I'!$G$6, "-", '4I'!$C$5)</f>
        <v>Currency interest rate -Currency interest rate swaps EUR-3-£m-Mark to Market-Total value at 31 March-Financial derivatives – Total</v>
      </c>
      <c r="F119" t="s">
        <v>17467</v>
      </c>
      <c r="G119">
        <f>'4I'!$H$30</f>
        <v>0</v>
      </c>
    </row>
    <row r="120" spans="1:7">
      <c r="A120" t="s">
        <v>17333</v>
      </c>
      <c r="C120" t="str">
        <f>'4I'!$AL$30</f>
        <v>CR20011TA</v>
      </c>
      <c r="D120" t="str">
        <f>_xlfn.CONCAT('4I'!$B$28, "-", '4I'!$B$30, "-", '4I'!$I$9, "-", '4I'!$I$8, "-", '4I'!$I$6, "-", '4I'!$I$6, "-", '4I'!$C$5)</f>
        <v>Currency interest rate -Currency interest rate swaps EUR-3-£m-Total accretion at 31 March-Total accretion at 31 March-Financial derivatives – Total</v>
      </c>
      <c r="F120" t="s">
        <v>17467</v>
      </c>
      <c r="G120">
        <f>'4I'!$I$30</f>
        <v>0</v>
      </c>
    </row>
    <row r="121" spans="1:7">
      <c r="A121" t="s">
        <v>17333</v>
      </c>
      <c r="C121" t="str">
        <f>'4I'!$AF$31</f>
        <v>CR20012N0</v>
      </c>
      <c r="D121" t="str">
        <f>_xlfn.CONCAT('4I'!$B$28, "-", '4I'!$B$31, "-", '4I'!$C$9, "-", '4I'!$C$8, "-", '4I'!$C$7, "-", '4I'!$C$6, "-", '4I'!$C$5)</f>
        <v>Currency interest rate -Currency interest rate swaps YEN-3-£m-0 to 1 years-Nominal value by maturity (net) at 31 March-Financial derivatives – Total</v>
      </c>
      <c r="F121" t="s">
        <v>17467</v>
      </c>
      <c r="G121">
        <f>'4I'!$C$31</f>
        <v>0</v>
      </c>
    </row>
    <row r="122" spans="1:7">
      <c r="A122" t="s">
        <v>17333</v>
      </c>
      <c r="C122" t="str">
        <f>'4I'!$AG$31</f>
        <v>CR20012N1</v>
      </c>
      <c r="D122" t="str">
        <f>_xlfn.CONCAT('4I'!$B$28, "-", '4I'!$B$31, "-", '4I'!$D$9, "-", '4I'!$D$8, "-", '4I'!$D$7, "-", '4I'!$C$6, "-", '4I'!$C$5)</f>
        <v>Currency interest rate -Currency interest rate swaps YEN-3-£m-1 to 2 years-Nominal value by maturity (net) at 31 March-Financial derivatives – Total</v>
      </c>
      <c r="F122" t="s">
        <v>17467</v>
      </c>
      <c r="G122">
        <f>'4I'!$D$31</f>
        <v>0</v>
      </c>
    </row>
    <row r="123" spans="1:7">
      <c r="A123" t="s">
        <v>17333</v>
      </c>
      <c r="C123" t="str">
        <f>'4I'!$AH$31</f>
        <v>CR20012N2</v>
      </c>
      <c r="D123" t="str">
        <f>_xlfn.CONCAT('4I'!$B$28, "-", '4I'!$B$31, "-", '4I'!$E$9, "-", '4I'!$E$8, "-", '4I'!$E$7, "-", '4I'!$C$6, "-", '4I'!$C$5)</f>
        <v>Currency interest rate -Currency interest rate swaps YEN-3-£m-2 to 5 years-Nominal value by maturity (net) at 31 March-Financial derivatives – Total</v>
      </c>
      <c r="F123" t="s">
        <v>17467</v>
      </c>
      <c r="G123">
        <f>'4I'!$E$31</f>
        <v>0</v>
      </c>
    </row>
    <row r="124" spans="1:7">
      <c r="A124" t="s">
        <v>17333</v>
      </c>
      <c r="C124" t="str">
        <f>'4I'!$AI$31</f>
        <v>CR20012N5</v>
      </c>
      <c r="D124" t="str">
        <f>_xlfn.CONCAT('4I'!$B$28, "-", '4I'!$B$31, "-", '4I'!$F$9, "-", '4I'!$F$8, "-", '4I'!$F$7, "-", '4I'!$C$6, "-", '4I'!$C$5)</f>
        <v>Currency interest rate -Currency interest rate swaps YEN-3-£m-Over 5 years-Nominal value by maturity (net) at 31 March-Financial derivatives – Total</v>
      </c>
      <c r="F124" t="s">
        <v>17467</v>
      </c>
      <c r="G124">
        <f>'4I'!$F$31</f>
        <v>0</v>
      </c>
    </row>
    <row r="125" spans="1:7">
      <c r="A125" t="s">
        <v>17333</v>
      </c>
      <c r="C125" t="str">
        <f>'4I'!$AJ$31</f>
        <v>CR20012N6</v>
      </c>
      <c r="D125" t="str">
        <f>_xlfn.CONCAT('4I'!$B$28, "-", '4I'!$B$31, "-", '4I'!$G$9, "-", '4I'!$G$8, "-", '4I'!$G$7, "-", '4I'!$G$6, "-", '4I'!$C$5)</f>
        <v>Currency interest rate -Currency interest rate swaps YEN-3-£m-Nominal value (net)-Total value at 31 March-Financial derivatives – Total</v>
      </c>
      <c r="F125" t="s">
        <v>17467</v>
      </c>
      <c r="G125">
        <f>'4I'!$G$31</f>
        <v>0</v>
      </c>
    </row>
    <row r="126" spans="1:7">
      <c r="A126" t="s">
        <v>17333</v>
      </c>
      <c r="C126" t="str">
        <f>'4I'!$AK$31</f>
        <v>CR20012MM</v>
      </c>
      <c r="D126" t="str">
        <f>_xlfn.CONCAT('4I'!$B$28, "-", '4I'!$B$31, "-", '4I'!$H$9, "-", '4I'!$H$8, "-", '4I'!$H$7, "-", '4I'!$G$6, "-", '4I'!$C$5)</f>
        <v>Currency interest rate -Currency interest rate swaps YEN-3-£m-Mark to Market-Total value at 31 March-Financial derivatives – Total</v>
      </c>
      <c r="F126" t="s">
        <v>17467</v>
      </c>
      <c r="G126">
        <f>'4I'!$H$31</f>
        <v>0</v>
      </c>
    </row>
    <row r="127" spans="1:7">
      <c r="A127" t="s">
        <v>17333</v>
      </c>
      <c r="C127" t="str">
        <f>'4I'!$AL$31</f>
        <v>CR20012TA</v>
      </c>
      <c r="D127" t="str">
        <f>_xlfn.CONCAT('4I'!$B$28, "-", '4I'!$B$31, "-", '4I'!$I$9, "-", '4I'!$I$8, "-", '4I'!$I$6, "-", '4I'!$I$6, "-", '4I'!$C$5)</f>
        <v>Currency interest rate -Currency interest rate swaps YEN-3-£m-Total accretion at 31 March-Total accretion at 31 March-Financial derivatives – Total</v>
      </c>
      <c r="F127" t="s">
        <v>17467</v>
      </c>
      <c r="G127">
        <f>'4I'!$I$31</f>
        <v>0</v>
      </c>
    </row>
    <row r="128" spans="1:7">
      <c r="A128" t="s">
        <v>17333</v>
      </c>
      <c r="C128" t="str">
        <f>'4I'!$AF$32</f>
        <v>CR20013N0</v>
      </c>
      <c r="D128" t="str">
        <f>_xlfn.CONCAT('4I'!$B$28, "-", '4I'!$B$32, "-", '4I'!$C$9, "-", '4I'!$C$8, "-", '4I'!$C$7, "-", '4I'!$C$6, "-", '4I'!$C$5)</f>
        <v>Currency interest rate -Currency interest rate swaps Other-3-£m-0 to 1 years-Nominal value by maturity (net) at 31 March-Financial derivatives – Total</v>
      </c>
      <c r="F128" t="s">
        <v>17467</v>
      </c>
      <c r="G128">
        <f>'4I'!$C$32</f>
        <v>0</v>
      </c>
    </row>
    <row r="129" spans="1:7">
      <c r="A129" t="s">
        <v>17333</v>
      </c>
      <c r="C129" t="str">
        <f>'4I'!$AG$32</f>
        <v>CR20013N1</v>
      </c>
      <c r="D129" t="str">
        <f>_xlfn.CONCAT('4I'!$B$28, "-", '4I'!$B$32, "-", '4I'!$D$9, "-", '4I'!$D$8, "-", '4I'!$D$7, "-", '4I'!$C$6, "-", '4I'!$C$5)</f>
        <v>Currency interest rate -Currency interest rate swaps Other-3-£m-1 to 2 years-Nominal value by maturity (net) at 31 March-Financial derivatives – Total</v>
      </c>
      <c r="F129" t="s">
        <v>17467</v>
      </c>
      <c r="G129">
        <f>'4I'!$D$32</f>
        <v>0</v>
      </c>
    </row>
    <row r="130" spans="1:7">
      <c r="A130" t="s">
        <v>17333</v>
      </c>
      <c r="C130" t="str">
        <f>'4I'!$AH$32</f>
        <v>CR20013N2</v>
      </c>
      <c r="D130" t="str">
        <f>_xlfn.CONCAT('4I'!$B$28, "-", '4I'!$B$32, "-", '4I'!$E$9, "-", '4I'!$E$8, "-", '4I'!$E$7, "-", '4I'!$C$6, "-", '4I'!$C$5)</f>
        <v>Currency interest rate -Currency interest rate swaps Other-3-£m-2 to 5 years-Nominal value by maturity (net) at 31 March-Financial derivatives – Total</v>
      </c>
      <c r="F130" t="s">
        <v>17467</v>
      </c>
      <c r="G130">
        <f>'4I'!$E$32</f>
        <v>0</v>
      </c>
    </row>
    <row r="131" spans="1:7">
      <c r="A131" t="s">
        <v>17333</v>
      </c>
      <c r="C131" t="str">
        <f>'4I'!$AI$32</f>
        <v>CR20013N5</v>
      </c>
      <c r="D131" t="str">
        <f>_xlfn.CONCAT('4I'!$B$28, "-", '4I'!$B$32, "-", '4I'!$F$9, "-", '4I'!$F$8, "-", '4I'!$F$7, "-", '4I'!$C$6, "-", '4I'!$C$5)</f>
        <v>Currency interest rate -Currency interest rate swaps Other-3-£m-Over 5 years-Nominal value by maturity (net) at 31 March-Financial derivatives – Total</v>
      </c>
      <c r="F131" t="s">
        <v>17467</v>
      </c>
      <c r="G131">
        <f>'4I'!$F$32</f>
        <v>0</v>
      </c>
    </row>
    <row r="132" spans="1:7">
      <c r="A132" t="s">
        <v>17333</v>
      </c>
      <c r="C132" t="str">
        <f>'4I'!$AJ$32</f>
        <v>CR20013N6</v>
      </c>
      <c r="D132" t="str">
        <f>_xlfn.CONCAT('4I'!$B$28, "-", '4I'!$B$32, "-", '4I'!$G$9, "-", '4I'!$G$8, "-", '4I'!$G$7, "-", '4I'!$G$6, "-", '4I'!$C$5)</f>
        <v>Currency interest rate -Currency interest rate swaps Other-3-£m-Nominal value (net)-Total value at 31 March-Financial derivatives – Total</v>
      </c>
      <c r="F132" t="s">
        <v>17467</v>
      </c>
      <c r="G132">
        <f>'4I'!$G$32</f>
        <v>0</v>
      </c>
    </row>
    <row r="133" spans="1:7">
      <c r="A133" t="s">
        <v>17333</v>
      </c>
      <c r="C133" t="str">
        <f>'4I'!$AK$32</f>
        <v>CR20013MM</v>
      </c>
      <c r="D133" t="str">
        <f>_xlfn.CONCAT('4I'!$B$28, "-", '4I'!$B$32, "-", '4I'!$H$9, "-", '4I'!$H$8, "-", '4I'!$H$7, "-", '4I'!$G$6, "-", '4I'!$C$5)</f>
        <v>Currency interest rate -Currency interest rate swaps Other-3-£m-Mark to Market-Total value at 31 March-Financial derivatives – Total</v>
      </c>
      <c r="F133" t="s">
        <v>17467</v>
      </c>
      <c r="G133">
        <f>'4I'!$H$32</f>
        <v>0</v>
      </c>
    </row>
    <row r="134" spans="1:7">
      <c r="A134" t="s">
        <v>17333</v>
      </c>
      <c r="C134" t="str">
        <f>'4I'!$AL$32</f>
        <v>CR20013TA</v>
      </c>
      <c r="D134" t="str">
        <f>_xlfn.CONCAT('4I'!$B$28, "-", '4I'!$B$32, "-", '4I'!$I$9, "-", '4I'!$I$8, "-", '4I'!$I$6, "-", '4I'!$I$6, "-", '4I'!$C$5)</f>
        <v>Currency interest rate -Currency interest rate swaps Other-3-£m-Total accretion at 31 March-Total accretion at 31 March-Financial derivatives – Total</v>
      </c>
      <c r="F134" t="s">
        <v>17467</v>
      </c>
      <c r="G134">
        <f>'4I'!$I$32</f>
        <v>0</v>
      </c>
    </row>
    <row r="135" spans="1:7">
      <c r="A135" t="s">
        <v>17333</v>
      </c>
      <c r="C135" t="str">
        <f>'4I'!$AF$33</f>
        <v>CR20014N0</v>
      </c>
      <c r="D135" t="str">
        <f>_xlfn.CONCAT('4I'!$B$28, "-", '4I'!$B$33, "-", '4I'!$C$9, "-", '4I'!$C$8, "-", '4I'!$C$7, "-", '4I'!$C$6, "-", '4I'!$C$5)</f>
        <v>Currency interest rate -Total-3-£m-0 to 1 years-Nominal value by maturity (net) at 31 March-Financial derivatives – Total</v>
      </c>
      <c r="F135" t="s">
        <v>17467</v>
      </c>
      <c r="G135">
        <f>'4I'!$C$33</f>
        <v>0</v>
      </c>
    </row>
    <row r="136" spans="1:7">
      <c r="A136" t="s">
        <v>17333</v>
      </c>
      <c r="C136" t="str">
        <f>'4I'!$AG$33</f>
        <v>CR20014N1</v>
      </c>
      <c r="D136" t="str">
        <f>_xlfn.CONCAT('4I'!$B$28, "-", '4I'!$B$33, "-", '4I'!$D$9, "-", '4I'!$D$8, "-", '4I'!$D$7, "-", '4I'!$C$6, "-", '4I'!$C$5)</f>
        <v>Currency interest rate -Total-3-£m-1 to 2 years-Nominal value by maturity (net) at 31 March-Financial derivatives – Total</v>
      </c>
      <c r="F136" t="s">
        <v>17467</v>
      </c>
      <c r="G136">
        <f>'4I'!$D$33</f>
        <v>0</v>
      </c>
    </row>
    <row r="137" spans="1:7">
      <c r="A137" t="s">
        <v>17333</v>
      </c>
      <c r="C137" t="str">
        <f>'4I'!$AH$33</f>
        <v>CR20014N2</v>
      </c>
      <c r="D137" t="str">
        <f>_xlfn.CONCAT('4I'!$B$28, "-", '4I'!$B$33, "-", '4I'!$E$9, "-", '4I'!$E$8, "-", '4I'!$E$7, "-", '4I'!$C$6, "-", '4I'!$C$5)</f>
        <v>Currency interest rate -Total-3-£m-2 to 5 years-Nominal value by maturity (net) at 31 March-Financial derivatives – Total</v>
      </c>
      <c r="F137" t="s">
        <v>17467</v>
      </c>
      <c r="G137">
        <f>'4I'!$E$33</f>
        <v>0</v>
      </c>
    </row>
    <row r="138" spans="1:7">
      <c r="A138" t="s">
        <v>17333</v>
      </c>
      <c r="C138" t="str">
        <f>'4I'!$AI$33</f>
        <v>CR20014N5</v>
      </c>
      <c r="D138" t="str">
        <f>_xlfn.CONCAT('4I'!$B$28, "-", '4I'!$B$33, "-", '4I'!$F$9, "-", '4I'!$F$8, "-", '4I'!$F$7, "-", '4I'!$C$6, "-", '4I'!$C$5)</f>
        <v>Currency interest rate -Total-3-£m-Over 5 years-Nominal value by maturity (net) at 31 March-Financial derivatives – Total</v>
      </c>
      <c r="F138" t="s">
        <v>17467</v>
      </c>
      <c r="G138">
        <f>'4I'!$F$33</f>
        <v>0</v>
      </c>
    </row>
    <row r="139" spans="1:7">
      <c r="A139" t="s">
        <v>17333</v>
      </c>
      <c r="C139" t="str">
        <f>'4I'!$AJ$33</f>
        <v>CR20014N6</v>
      </c>
      <c r="D139" t="str">
        <f>_xlfn.CONCAT('4I'!$B$28, "-", '4I'!$B$33, "-", '4I'!$G$9, "-", '4I'!$G$8, "-", '4I'!$G$7, "-", '4I'!$G$6, "-", '4I'!$C$5)</f>
        <v>Currency interest rate -Total-3-£m-Nominal value (net)-Total value at 31 March-Financial derivatives – Total</v>
      </c>
      <c r="F139" t="s">
        <v>17467</v>
      </c>
      <c r="G139">
        <f>'4I'!$G$33</f>
        <v>0</v>
      </c>
    </row>
    <row r="140" spans="1:7">
      <c r="A140" t="s">
        <v>17333</v>
      </c>
      <c r="C140" t="str">
        <f>'4I'!$AK$33</f>
        <v>CR20014MM</v>
      </c>
      <c r="D140" t="str">
        <f>_xlfn.CONCAT('4I'!$B$28, "-", '4I'!$B$33, "-", '4I'!$H$9, "-", '4I'!$H$8, "-", '4I'!$H$7, "-", '4I'!$G$6, "-", '4I'!$C$5)</f>
        <v>Currency interest rate -Total-3-£m-Mark to Market-Total value at 31 March-Financial derivatives – Total</v>
      </c>
      <c r="F140" t="s">
        <v>17467</v>
      </c>
      <c r="G140">
        <f>'4I'!$H$33</f>
        <v>0</v>
      </c>
    </row>
    <row r="141" spans="1:7">
      <c r="A141" t="s">
        <v>17333</v>
      </c>
      <c r="C141" t="str">
        <f>'4I'!$AL$33</f>
        <v>CR20014TA</v>
      </c>
      <c r="D141" t="str">
        <f>_xlfn.CONCAT('4I'!$B$28, "-", '4I'!$B$33, "-", '4I'!$I$9, "-", '4I'!$I$8, "-", '4I'!$I$6, "-", '4I'!$I$6, "-", '4I'!$C$5)</f>
        <v>Currency interest rate -Total-3-£m-Total accretion at 31 March-Total accretion at 31 March-Financial derivatives – Total</v>
      </c>
      <c r="F141" t="s">
        <v>17467</v>
      </c>
      <c r="G141">
        <f>'4I'!$I$33</f>
        <v>0</v>
      </c>
    </row>
    <row r="142" spans="1:7">
      <c r="A142" t="s">
        <v>17333</v>
      </c>
      <c r="C142" t="str">
        <f>'4I'!$AF$36</f>
        <v>CR20015N0</v>
      </c>
      <c r="D142" t="str">
        <f>_xlfn.CONCAT('4I'!$B$35, "-", '4I'!$B$36, "-", '4I'!$C$9, "-", '4I'!$C$8, "-", '4I'!$C$7, "-", '4I'!$C$6, "-", '4I'!$C$5)</f>
        <v>Forward currency contracts-Forward currency contracts USD-3-£m-0 to 1 years-Nominal value by maturity (net) at 31 March-Financial derivatives – Total</v>
      </c>
      <c r="F142" t="s">
        <v>17467</v>
      </c>
      <c r="G142">
        <f>'4I'!$C$36</f>
        <v>0</v>
      </c>
    </row>
    <row r="143" spans="1:7">
      <c r="A143" t="s">
        <v>17333</v>
      </c>
      <c r="C143" t="str">
        <f>'4I'!$AG$36</f>
        <v>CR20015N1</v>
      </c>
      <c r="D143" t="str">
        <f>_xlfn.CONCAT('4I'!$B$35, "-", '4I'!$B$36, "-", '4I'!$D$9, "-", '4I'!$D$8, "-", '4I'!$D$7, "-", '4I'!$C$6, "-", '4I'!$C$5)</f>
        <v>Forward currency contracts-Forward currency contracts USD-3-£m-1 to 2 years-Nominal value by maturity (net) at 31 March-Financial derivatives – Total</v>
      </c>
      <c r="F143" t="s">
        <v>17467</v>
      </c>
      <c r="G143">
        <f>'4I'!$D$36</f>
        <v>0</v>
      </c>
    </row>
    <row r="144" spans="1:7">
      <c r="A144" t="s">
        <v>17333</v>
      </c>
      <c r="C144" t="str">
        <f>'4I'!$AH$36</f>
        <v>CR20015N2</v>
      </c>
      <c r="D144" t="str">
        <f>_xlfn.CONCAT('4I'!$B$35, "-", '4I'!$B$36, "-", '4I'!$E$9, "-", '4I'!$E$8, "-", '4I'!$E$7, "-", '4I'!$C$6, "-", '4I'!$C$5)</f>
        <v>Forward currency contracts-Forward currency contracts USD-3-£m-2 to 5 years-Nominal value by maturity (net) at 31 March-Financial derivatives – Total</v>
      </c>
      <c r="F144" t="s">
        <v>17467</v>
      </c>
      <c r="G144">
        <f>'4I'!$E$36</f>
        <v>0</v>
      </c>
    </row>
    <row r="145" spans="1:7">
      <c r="A145" t="s">
        <v>17333</v>
      </c>
      <c r="C145" t="str">
        <f>'4I'!$AI$36</f>
        <v>CR20015N5</v>
      </c>
      <c r="D145" t="str">
        <f>_xlfn.CONCAT('4I'!$B$35, "-", '4I'!$B$36, "-", '4I'!$F$9, "-", '4I'!$F$8, "-", '4I'!$F$7, "-", '4I'!$C$6, "-", '4I'!$C$5)</f>
        <v>Forward currency contracts-Forward currency contracts USD-3-£m-Over 5 years-Nominal value by maturity (net) at 31 March-Financial derivatives – Total</v>
      </c>
      <c r="F145" t="s">
        <v>17467</v>
      </c>
      <c r="G145">
        <f>'4I'!$F$36</f>
        <v>0</v>
      </c>
    </row>
    <row r="146" spans="1:7">
      <c r="A146" t="s">
        <v>17333</v>
      </c>
      <c r="C146" t="str">
        <f>'4I'!$AJ$36</f>
        <v>CR20015N6</v>
      </c>
      <c r="D146" t="str">
        <f>_xlfn.CONCAT('4I'!$B$35, "-", '4I'!$B$36, "-", '4I'!$G$9, "-", '4I'!$G$8, "-", '4I'!$G$7, "-", '4I'!$G$6, "-", '4I'!$C$5)</f>
        <v>Forward currency contracts-Forward currency contracts USD-3-£m-Nominal value (net)-Total value at 31 March-Financial derivatives – Total</v>
      </c>
      <c r="F146" t="s">
        <v>17467</v>
      </c>
      <c r="G146">
        <f>'4I'!$G$36</f>
        <v>0</v>
      </c>
    </row>
    <row r="147" spans="1:7">
      <c r="A147" t="s">
        <v>17333</v>
      </c>
      <c r="C147" t="str">
        <f>'4I'!$AK$36</f>
        <v>CR20015MM</v>
      </c>
      <c r="D147" t="str">
        <f>_xlfn.CONCAT('4I'!$B$35, "-", '4I'!$B$36, "-", '4I'!$H$9, "-", '4I'!$H$8, "-", '4I'!$H$7, "-", '4I'!$G$6, "-", '4I'!$C$5)</f>
        <v>Forward currency contracts-Forward currency contracts USD-3-£m-Mark to Market-Total value at 31 March-Financial derivatives – Total</v>
      </c>
      <c r="F147" t="s">
        <v>17467</v>
      </c>
      <c r="G147">
        <f>'4I'!$H$36</f>
        <v>0</v>
      </c>
    </row>
    <row r="148" spans="1:7">
      <c r="A148" t="s">
        <v>17333</v>
      </c>
      <c r="C148" t="str">
        <f>'4I'!$AL$36</f>
        <v>CR20015TA</v>
      </c>
      <c r="D148" t="str">
        <f>_xlfn.CONCAT('4I'!$B$35, "-", '4I'!$B$36, "-", '4I'!$I$9, "-", '4I'!$I$8, "-", '4I'!$I$6, "-", '4I'!$I$6, "-", '4I'!$C$5)</f>
        <v>Forward currency contracts-Forward currency contracts USD-3-£m-Total accretion at 31 March-Total accretion at 31 March-Financial derivatives – Total</v>
      </c>
      <c r="F148" t="s">
        <v>17467</v>
      </c>
      <c r="G148">
        <f>'4I'!$I$36</f>
        <v>0</v>
      </c>
    </row>
    <row r="149" spans="1:7">
      <c r="A149" t="s">
        <v>17333</v>
      </c>
      <c r="C149" t="str">
        <f>'4I'!$AF$37</f>
        <v>CR20016N0</v>
      </c>
      <c r="D149" t="str">
        <f>_xlfn.CONCAT('4I'!$B$35, "-", '4I'!$B$37, "-", '4I'!$C$9, "-", '4I'!$C$8, "-", '4I'!$C$7, "-", '4I'!$C$6, "-", '4I'!$C$5)</f>
        <v>Forward currency contracts-Forward currency contracts EUR-3-£m-0 to 1 years-Nominal value by maturity (net) at 31 March-Financial derivatives – Total</v>
      </c>
      <c r="F149" t="s">
        <v>17467</v>
      </c>
      <c r="G149">
        <f>'4I'!$C$37</f>
        <v>0</v>
      </c>
    </row>
    <row r="150" spans="1:7">
      <c r="A150" t="s">
        <v>17333</v>
      </c>
      <c r="C150" t="str">
        <f>'4I'!$AG$37</f>
        <v>CR20016N1</v>
      </c>
      <c r="D150" t="str">
        <f>_xlfn.CONCAT('4I'!$B$35, "-", '4I'!$B$37, "-", '4I'!$D$9, "-", '4I'!$D$8, "-", '4I'!$D$7, "-", '4I'!$C$6, "-", '4I'!$C$5)</f>
        <v>Forward currency contracts-Forward currency contracts EUR-3-£m-1 to 2 years-Nominal value by maturity (net) at 31 March-Financial derivatives – Total</v>
      </c>
      <c r="F150" t="s">
        <v>17467</v>
      </c>
      <c r="G150">
        <f>'4I'!$D$37</f>
        <v>0</v>
      </c>
    </row>
    <row r="151" spans="1:7">
      <c r="A151" t="s">
        <v>17333</v>
      </c>
      <c r="C151" t="str">
        <f>'4I'!$AH$37</f>
        <v>CR20016N2</v>
      </c>
      <c r="D151" t="str">
        <f>_xlfn.CONCAT('4I'!$B$35, "-", '4I'!$B$37, "-", '4I'!$E$9, "-", '4I'!$E$8, "-", '4I'!$E$7, "-", '4I'!$C$6, "-", '4I'!$C$5)</f>
        <v>Forward currency contracts-Forward currency contracts EUR-3-£m-2 to 5 years-Nominal value by maturity (net) at 31 March-Financial derivatives – Total</v>
      </c>
      <c r="F151" t="s">
        <v>17467</v>
      </c>
      <c r="G151">
        <f>'4I'!$E$37</f>
        <v>0</v>
      </c>
    </row>
    <row r="152" spans="1:7">
      <c r="A152" t="s">
        <v>17333</v>
      </c>
      <c r="C152" t="str">
        <f>'4I'!$AI$37</f>
        <v>CR20016N5</v>
      </c>
      <c r="D152" t="str">
        <f>_xlfn.CONCAT('4I'!$B$35, "-", '4I'!$B$37, "-", '4I'!$F$9, "-", '4I'!$F$8, "-", '4I'!$F$7, "-", '4I'!$C$6, "-", '4I'!$C$5)</f>
        <v>Forward currency contracts-Forward currency contracts EUR-3-£m-Over 5 years-Nominal value by maturity (net) at 31 March-Financial derivatives – Total</v>
      </c>
      <c r="F152" t="s">
        <v>17467</v>
      </c>
      <c r="G152">
        <f>'4I'!$F$37</f>
        <v>0</v>
      </c>
    </row>
    <row r="153" spans="1:7">
      <c r="A153" t="s">
        <v>17333</v>
      </c>
      <c r="C153" t="str">
        <f>'4I'!$AJ$37</f>
        <v>CR20016N6</v>
      </c>
      <c r="D153" t="str">
        <f>_xlfn.CONCAT('4I'!$B$35, "-", '4I'!$B$37, "-", '4I'!$G$9, "-", '4I'!$G$8, "-", '4I'!$G$7, "-", '4I'!$G$6, "-", '4I'!$C$5)</f>
        <v>Forward currency contracts-Forward currency contracts EUR-3-£m-Nominal value (net)-Total value at 31 March-Financial derivatives – Total</v>
      </c>
      <c r="F153" t="s">
        <v>17467</v>
      </c>
      <c r="G153">
        <f>'4I'!$G$37</f>
        <v>0</v>
      </c>
    </row>
    <row r="154" spans="1:7">
      <c r="A154" t="s">
        <v>17333</v>
      </c>
      <c r="C154" t="str">
        <f>'4I'!$AK$37</f>
        <v>CR20016MM</v>
      </c>
      <c r="D154" t="str">
        <f>_xlfn.CONCAT('4I'!$B$35, "-", '4I'!$B$37, "-", '4I'!$H$9, "-", '4I'!$H$8, "-", '4I'!$H$7, "-", '4I'!$G$6, "-", '4I'!$C$5)</f>
        <v>Forward currency contracts-Forward currency contracts EUR-3-£m-Mark to Market-Total value at 31 March-Financial derivatives – Total</v>
      </c>
      <c r="F154" t="s">
        <v>17467</v>
      </c>
      <c r="G154">
        <f>'4I'!$H$37</f>
        <v>0</v>
      </c>
    </row>
    <row r="155" spans="1:7">
      <c r="A155" t="s">
        <v>17333</v>
      </c>
      <c r="C155" t="str">
        <f>'4I'!$AL$37</f>
        <v>CR20016TA</v>
      </c>
      <c r="D155" t="str">
        <f>_xlfn.CONCAT('4I'!$B$35, "-", '4I'!$B$37, "-", '4I'!$I$9, "-", '4I'!$I$8, "-", '4I'!$I$6, "-", '4I'!$I$6, "-", '4I'!$C$5)</f>
        <v>Forward currency contracts-Forward currency contracts EUR-3-£m-Total accretion at 31 March-Total accretion at 31 March-Financial derivatives – Total</v>
      </c>
      <c r="F155" t="s">
        <v>17467</v>
      </c>
      <c r="G155">
        <f>'4I'!$I$37</f>
        <v>0</v>
      </c>
    </row>
    <row r="156" spans="1:7">
      <c r="A156" t="s">
        <v>17333</v>
      </c>
      <c r="C156" t="str">
        <f>'4I'!$AF$38</f>
        <v>CR20017N0</v>
      </c>
      <c r="D156" t="str">
        <f>_xlfn.CONCAT('4I'!$B$35, "-", '4I'!$B$38, "-", '4I'!$C$9, "-", '4I'!$C$8, "-", '4I'!$C$7, "-", '4I'!$C$6, "-", '4I'!$C$5)</f>
        <v>Forward currency contracts-Forward currency contracts YEN-3-£m-0 to 1 years-Nominal value by maturity (net) at 31 March-Financial derivatives – Total</v>
      </c>
      <c r="F156" t="s">
        <v>17467</v>
      </c>
      <c r="G156">
        <f>'4I'!$C$38</f>
        <v>0</v>
      </c>
    </row>
    <row r="157" spans="1:7">
      <c r="A157" t="s">
        <v>17333</v>
      </c>
      <c r="C157" t="str">
        <f>'4I'!$AG$38</f>
        <v>CR20017N1</v>
      </c>
      <c r="D157" t="str">
        <f>_xlfn.CONCAT('4I'!$B$35, "-", '4I'!$B$38, "-", '4I'!$D$9, "-", '4I'!$D$8, "-", '4I'!$D$7, "-", '4I'!$C$6, "-", '4I'!$C$5)</f>
        <v>Forward currency contracts-Forward currency contracts YEN-3-£m-1 to 2 years-Nominal value by maturity (net) at 31 March-Financial derivatives – Total</v>
      </c>
      <c r="F157" t="s">
        <v>17467</v>
      </c>
      <c r="G157">
        <f>'4I'!$D$38</f>
        <v>0</v>
      </c>
    </row>
    <row r="158" spans="1:7">
      <c r="A158" t="s">
        <v>17333</v>
      </c>
      <c r="C158" t="str">
        <f>'4I'!$AH$38</f>
        <v>CR20017N2</v>
      </c>
      <c r="D158" t="str">
        <f>_xlfn.CONCAT('4I'!$B$35, "-", '4I'!$B$38, "-", '4I'!$E$9, "-", '4I'!$E$8, "-", '4I'!$E$7, "-", '4I'!$C$6, "-", '4I'!$C$5)</f>
        <v>Forward currency contracts-Forward currency contracts YEN-3-£m-2 to 5 years-Nominal value by maturity (net) at 31 March-Financial derivatives – Total</v>
      </c>
      <c r="F158" t="s">
        <v>17467</v>
      </c>
      <c r="G158">
        <f>'4I'!$E$38</f>
        <v>0</v>
      </c>
    </row>
    <row r="159" spans="1:7">
      <c r="A159" t="s">
        <v>17333</v>
      </c>
      <c r="C159" t="str">
        <f>'4I'!$AI$38</f>
        <v>CR20017N5</v>
      </c>
      <c r="D159" t="str">
        <f>_xlfn.CONCAT('4I'!$B$35, "-", '4I'!$B$38, "-", '4I'!$F$9, "-", '4I'!$F$8, "-", '4I'!$F$7, "-", '4I'!$C$6, "-", '4I'!$C$5)</f>
        <v>Forward currency contracts-Forward currency contracts YEN-3-£m-Over 5 years-Nominal value by maturity (net) at 31 March-Financial derivatives – Total</v>
      </c>
      <c r="F159" t="s">
        <v>17467</v>
      </c>
      <c r="G159">
        <f>'4I'!$F$38</f>
        <v>0</v>
      </c>
    </row>
    <row r="160" spans="1:7">
      <c r="A160" t="s">
        <v>17333</v>
      </c>
      <c r="C160" t="str">
        <f>'4I'!$AJ$38</f>
        <v>CR20017N6</v>
      </c>
      <c r="D160" t="str">
        <f>_xlfn.CONCAT('4I'!$B$35, "-", '4I'!$B$38, "-", '4I'!$G$9, "-", '4I'!$G$8, "-", '4I'!$G$7, "-", '4I'!$G$6, "-", '4I'!$C$5)</f>
        <v>Forward currency contracts-Forward currency contracts YEN-3-£m-Nominal value (net)-Total value at 31 March-Financial derivatives – Total</v>
      </c>
      <c r="F160" t="s">
        <v>17467</v>
      </c>
      <c r="G160">
        <f>'4I'!$G$38</f>
        <v>0</v>
      </c>
    </row>
    <row r="161" spans="1:7">
      <c r="A161" t="s">
        <v>17333</v>
      </c>
      <c r="C161" t="str">
        <f>'4I'!$AK$38</f>
        <v>CR20017MM</v>
      </c>
      <c r="D161" t="str">
        <f>_xlfn.CONCAT('4I'!$B$35, "-", '4I'!$B$38, "-", '4I'!$H$9, "-", '4I'!$H$8, "-", '4I'!$H$7, "-", '4I'!$G$6, "-", '4I'!$C$5)</f>
        <v>Forward currency contracts-Forward currency contracts YEN-3-£m-Mark to Market-Total value at 31 March-Financial derivatives – Total</v>
      </c>
      <c r="F161" t="s">
        <v>17467</v>
      </c>
      <c r="G161">
        <f>'4I'!$H$38</f>
        <v>0</v>
      </c>
    </row>
    <row r="162" spans="1:7">
      <c r="A162" t="s">
        <v>17333</v>
      </c>
      <c r="C162" t="str">
        <f>'4I'!$AL$38</f>
        <v>CR20017TA</v>
      </c>
      <c r="D162" t="str">
        <f>_xlfn.CONCAT('4I'!$B$35, "-", '4I'!$B$38, "-", '4I'!$I$9, "-", '4I'!$I$8, "-", '4I'!$I$6, "-", '4I'!$I$6, "-", '4I'!$C$5)</f>
        <v>Forward currency contracts-Forward currency contracts YEN-3-£m-Total accretion at 31 March-Total accretion at 31 March-Financial derivatives – Total</v>
      </c>
      <c r="F162" t="s">
        <v>17467</v>
      </c>
      <c r="G162">
        <f>'4I'!$I$38</f>
        <v>0</v>
      </c>
    </row>
    <row r="163" spans="1:7">
      <c r="A163" t="s">
        <v>17333</v>
      </c>
      <c r="C163" t="str">
        <f>'4I'!$AF$39</f>
        <v>CR2029N0</v>
      </c>
      <c r="D163" t="str">
        <f>_xlfn.CONCAT('4I'!$B$35, "-", '4I'!$B$39, "-", '4I'!$C$9, "-", '4I'!$C$8, "-", '4I'!$C$7, "-", '4I'!$C$6, "-", '4I'!$C$5)</f>
        <v>Forward currency contracts-Forward currency contracts CAD-3-£m-0 to 1 years-Nominal value by maturity (net) at 31 March-Financial derivatives – Total</v>
      </c>
      <c r="F163" t="s">
        <v>17467</v>
      </c>
      <c r="G163">
        <f>'4I'!$C$39</f>
        <v>0</v>
      </c>
    </row>
    <row r="164" spans="1:7">
      <c r="A164" t="s">
        <v>17333</v>
      </c>
      <c r="C164" t="str">
        <f>'4I'!$AG$39</f>
        <v>CR2029N1</v>
      </c>
      <c r="D164" t="str">
        <f>_xlfn.CONCAT('4I'!$B$35, "-", '4I'!$B$39, "-", '4I'!$D$9, "-", '4I'!$D$8, "-", '4I'!$D$7, "-", '4I'!$C$6, "-", '4I'!$C$5)</f>
        <v>Forward currency contracts-Forward currency contracts CAD-3-£m-1 to 2 years-Nominal value by maturity (net) at 31 March-Financial derivatives – Total</v>
      </c>
      <c r="F164" t="s">
        <v>17467</v>
      </c>
      <c r="G164">
        <f>'4I'!$D$39</f>
        <v>0</v>
      </c>
    </row>
    <row r="165" spans="1:7">
      <c r="A165" t="s">
        <v>17333</v>
      </c>
      <c r="C165" t="str">
        <f>'4I'!$AH$39</f>
        <v>CR2029N2</v>
      </c>
      <c r="D165" t="str">
        <f>_xlfn.CONCAT('4I'!$B$35, "-", '4I'!$B$39, "-", '4I'!$E$9, "-", '4I'!$E$8, "-", '4I'!$E$7, "-", '4I'!$C$6, "-", '4I'!$C$5)</f>
        <v>Forward currency contracts-Forward currency contracts CAD-3-£m-2 to 5 years-Nominal value by maturity (net) at 31 March-Financial derivatives – Total</v>
      </c>
      <c r="F165" t="s">
        <v>17467</v>
      </c>
      <c r="G165">
        <f>'4I'!$E$39</f>
        <v>0</v>
      </c>
    </row>
    <row r="166" spans="1:7">
      <c r="A166" t="s">
        <v>17333</v>
      </c>
      <c r="C166" t="str">
        <f>'4I'!$AI$39</f>
        <v>CR2029N5</v>
      </c>
      <c r="D166" t="str">
        <f>_xlfn.CONCAT('4I'!$B$35, "-", '4I'!$B$39, "-", '4I'!$F$9, "-", '4I'!$F$8, "-", '4I'!$F$7, "-", '4I'!$C$6, "-", '4I'!$C$5)</f>
        <v>Forward currency contracts-Forward currency contracts CAD-3-£m-Over 5 years-Nominal value by maturity (net) at 31 March-Financial derivatives – Total</v>
      </c>
      <c r="F166" t="s">
        <v>17467</v>
      </c>
      <c r="G166">
        <f>'4I'!$F$39</f>
        <v>0</v>
      </c>
    </row>
    <row r="167" spans="1:7">
      <c r="A167" t="s">
        <v>17333</v>
      </c>
      <c r="C167" t="str">
        <f>'4I'!$AJ$39</f>
        <v>CR2029N6</v>
      </c>
      <c r="D167" t="str">
        <f>_xlfn.CONCAT('4I'!$B$35, "-", '4I'!$B$39, "-", '4I'!$G$9, "-", '4I'!$G$8, "-", '4I'!$G$7, "-", '4I'!$G$6, "-", '4I'!$C$5)</f>
        <v>Forward currency contracts-Forward currency contracts CAD-3-£m-Nominal value (net)-Total value at 31 March-Financial derivatives – Total</v>
      </c>
      <c r="F167" t="s">
        <v>17467</v>
      </c>
      <c r="G167">
        <f>'4I'!$G$39</f>
        <v>0</v>
      </c>
    </row>
    <row r="168" spans="1:7">
      <c r="A168" t="s">
        <v>17333</v>
      </c>
      <c r="C168" t="str">
        <f>'4I'!$AK$39</f>
        <v>CR2029MM</v>
      </c>
      <c r="D168" t="str">
        <f>_xlfn.CONCAT('4I'!$B$35, "-", '4I'!$B$39, "-", '4I'!$H$9, "-", '4I'!$H$8, "-", '4I'!$H$7, "-", '4I'!$G$6, "-", '4I'!$C$5)</f>
        <v>Forward currency contracts-Forward currency contracts CAD-3-£m-Mark to Market-Total value at 31 March-Financial derivatives – Total</v>
      </c>
      <c r="F168" t="s">
        <v>17467</v>
      </c>
      <c r="G168">
        <f>'4I'!$H$39</f>
        <v>0</v>
      </c>
    </row>
    <row r="169" spans="1:7">
      <c r="A169" t="s">
        <v>17333</v>
      </c>
      <c r="C169" t="str">
        <f>'4I'!$AL$39</f>
        <v>CR2029TA</v>
      </c>
      <c r="D169" t="str">
        <f>_xlfn.CONCAT('4I'!$B$35, "-", '4I'!$B$39, "-", '4I'!$I$9, "-", '4I'!$I$8, "-", '4I'!$I$6, "-", '4I'!$I$6, "-", '4I'!$C$5)</f>
        <v>Forward currency contracts-Forward currency contracts CAD-3-£m-Total accretion at 31 March-Total accretion at 31 March-Financial derivatives – Total</v>
      </c>
      <c r="F169" t="s">
        <v>17467</v>
      </c>
      <c r="G169">
        <f>'4I'!$I$39</f>
        <v>0</v>
      </c>
    </row>
    <row r="170" spans="1:7">
      <c r="A170" t="s">
        <v>17333</v>
      </c>
      <c r="C170" t="str">
        <f>'4I'!$AF$40</f>
        <v>CR2030N0</v>
      </c>
      <c r="D170" t="str">
        <f>_xlfn.CONCAT('4I'!$B$35, "-", '4I'!$B$40, "-", '4I'!$C$9, "-", '4I'!$C$8, "-", '4I'!$C$7, "-", '4I'!$C$6, "-", '4I'!$C$5)</f>
        <v>Forward currency contracts-Forward currency contracts AUD-3-£m-0 to 1 years-Nominal value by maturity (net) at 31 March-Financial derivatives – Total</v>
      </c>
      <c r="F170" t="s">
        <v>17467</v>
      </c>
      <c r="G170">
        <f>'4I'!$C$40</f>
        <v>0</v>
      </c>
    </row>
    <row r="171" spans="1:7">
      <c r="A171" t="s">
        <v>17333</v>
      </c>
      <c r="C171" t="str">
        <f>'4I'!$AG$40</f>
        <v>CR2030N1</v>
      </c>
      <c r="D171" t="str">
        <f>_xlfn.CONCAT('4I'!$B$35, "-", '4I'!$B$40, "-", '4I'!$D$9, "-", '4I'!$D$8, "-", '4I'!$D$7, "-", '4I'!$C$6, "-", '4I'!$C$5)</f>
        <v>Forward currency contracts-Forward currency contracts AUD-3-£m-1 to 2 years-Nominal value by maturity (net) at 31 March-Financial derivatives – Total</v>
      </c>
      <c r="F171" t="s">
        <v>17467</v>
      </c>
      <c r="G171">
        <f>'4I'!$D$40</f>
        <v>0</v>
      </c>
    </row>
    <row r="172" spans="1:7">
      <c r="A172" t="s">
        <v>17333</v>
      </c>
      <c r="C172" t="str">
        <f>'4I'!$AH$40</f>
        <v>CR2030N2</v>
      </c>
      <c r="D172" t="str">
        <f>_xlfn.CONCAT('4I'!$B$35, "-", '4I'!$B$40, "-", '4I'!$E$9, "-", '4I'!$E$8, "-", '4I'!$E$7, "-", '4I'!$C$6, "-", '4I'!$C$5)</f>
        <v>Forward currency contracts-Forward currency contracts AUD-3-£m-2 to 5 years-Nominal value by maturity (net) at 31 March-Financial derivatives – Total</v>
      </c>
      <c r="F172" t="s">
        <v>17467</v>
      </c>
      <c r="G172">
        <f>'4I'!$E$40</f>
        <v>0</v>
      </c>
    </row>
    <row r="173" spans="1:7">
      <c r="A173" t="s">
        <v>17333</v>
      </c>
      <c r="C173" t="str">
        <f>'4I'!$AI$40</f>
        <v>CR2030N5</v>
      </c>
      <c r="D173" t="str">
        <f>_xlfn.CONCAT('4I'!$B$35, "-", '4I'!$B$40, "-", '4I'!$F$9, "-", '4I'!$F$8, "-", '4I'!$F$7, "-", '4I'!$C$6, "-", '4I'!$C$5)</f>
        <v>Forward currency contracts-Forward currency contracts AUD-3-£m-Over 5 years-Nominal value by maturity (net) at 31 March-Financial derivatives – Total</v>
      </c>
      <c r="F173" t="s">
        <v>17467</v>
      </c>
      <c r="G173">
        <f>'4I'!$F$40</f>
        <v>0</v>
      </c>
    </row>
    <row r="174" spans="1:7">
      <c r="A174" t="s">
        <v>17333</v>
      </c>
      <c r="C174" t="str">
        <f>'4I'!$AJ$40</f>
        <v>CR2030N6</v>
      </c>
      <c r="D174" t="str">
        <f>_xlfn.CONCAT('4I'!$B$35, "-", '4I'!$B$40, "-", '4I'!$G$9, "-", '4I'!$G$8, "-", '4I'!$G$7, "-", '4I'!$G$6, "-", '4I'!$C$5)</f>
        <v>Forward currency contracts-Forward currency contracts AUD-3-£m-Nominal value (net)-Total value at 31 March-Financial derivatives – Total</v>
      </c>
      <c r="F174" t="s">
        <v>17467</v>
      </c>
      <c r="G174">
        <f>'4I'!$G$40</f>
        <v>0</v>
      </c>
    </row>
    <row r="175" spans="1:7">
      <c r="A175" t="s">
        <v>17333</v>
      </c>
      <c r="C175" t="str">
        <f>'4I'!$AK$40</f>
        <v>CR2030MM</v>
      </c>
      <c r="D175" t="str">
        <f>_xlfn.CONCAT('4I'!$B$35, "-", '4I'!$B$40, "-", '4I'!$H$9, "-", '4I'!$H$8, "-", '4I'!$H$7, "-", '4I'!$G$6, "-", '4I'!$C$5)</f>
        <v>Forward currency contracts-Forward currency contracts AUD-3-£m-Mark to Market-Total value at 31 March-Financial derivatives – Total</v>
      </c>
      <c r="F175" t="s">
        <v>17467</v>
      </c>
      <c r="G175">
        <f>'4I'!$H$40</f>
        <v>0</v>
      </c>
    </row>
    <row r="176" spans="1:7">
      <c r="A176" t="s">
        <v>17333</v>
      </c>
      <c r="C176" t="str">
        <f>'4I'!$AL$40</f>
        <v>CR2030TA</v>
      </c>
      <c r="D176" t="str">
        <f>_xlfn.CONCAT('4I'!$B$35, "-", '4I'!$B$40, "-", '4I'!$I$9, "-", '4I'!$I$8, "-", '4I'!$I$6, "-", '4I'!$I$6, "-", '4I'!$C$5)</f>
        <v>Forward currency contracts-Forward currency contracts AUD-3-£m-Total accretion at 31 March-Total accretion at 31 March-Financial derivatives – Total</v>
      </c>
      <c r="F176" t="s">
        <v>17467</v>
      </c>
      <c r="G176">
        <f>'4I'!$I$40</f>
        <v>0</v>
      </c>
    </row>
    <row r="177" spans="1:7">
      <c r="A177" t="s">
        <v>17333</v>
      </c>
      <c r="C177" t="str">
        <f>'4I'!$AF$41</f>
        <v>CR2031N0</v>
      </c>
      <c r="D177" t="str">
        <f>_xlfn.CONCAT('4I'!$B$35, "-", '4I'!$B$41, "-", '4I'!$C$9, "-", '4I'!$C$8, "-", '4I'!$C$7, "-", '4I'!$C$6, "-", '4I'!$C$5)</f>
        <v>Forward currency contracts-Forward currency contracts HKD-3-£m-0 to 1 years-Nominal value by maturity (net) at 31 March-Financial derivatives – Total</v>
      </c>
      <c r="F177" t="s">
        <v>17467</v>
      </c>
      <c r="G177">
        <f>'4I'!$C$41</f>
        <v>0</v>
      </c>
    </row>
    <row r="178" spans="1:7">
      <c r="A178" t="s">
        <v>17333</v>
      </c>
      <c r="C178" t="str">
        <f>'4I'!$AG$41</f>
        <v>CR2031N1</v>
      </c>
      <c r="D178" t="str">
        <f>_xlfn.CONCAT('4I'!$B$35, "-", '4I'!$B$41, "-", '4I'!$D$9, "-", '4I'!$D$8, "-", '4I'!$D$7, "-", '4I'!$C$6, "-", '4I'!$C$5)</f>
        <v>Forward currency contracts-Forward currency contracts HKD-3-£m-1 to 2 years-Nominal value by maturity (net) at 31 March-Financial derivatives – Total</v>
      </c>
      <c r="F178" t="s">
        <v>17467</v>
      </c>
      <c r="G178">
        <f>'4I'!$D$41</f>
        <v>0</v>
      </c>
    </row>
    <row r="179" spans="1:7">
      <c r="A179" t="s">
        <v>17333</v>
      </c>
      <c r="C179" t="str">
        <f>'4I'!$AH$41</f>
        <v>CR2031N2</v>
      </c>
      <c r="D179" t="str">
        <f>_xlfn.CONCAT('4I'!$B$35, "-", '4I'!$B$41, "-", '4I'!$E$9, "-", '4I'!$E$8, "-", '4I'!$E$7, "-", '4I'!$C$6, "-", '4I'!$C$5)</f>
        <v>Forward currency contracts-Forward currency contracts HKD-3-£m-2 to 5 years-Nominal value by maturity (net) at 31 March-Financial derivatives – Total</v>
      </c>
      <c r="F179" t="s">
        <v>17467</v>
      </c>
      <c r="G179">
        <f>'4I'!$E$41</f>
        <v>0</v>
      </c>
    </row>
    <row r="180" spans="1:7">
      <c r="A180" t="s">
        <v>17333</v>
      </c>
      <c r="C180" t="str">
        <f>'4I'!$AI$41</f>
        <v>CR2031N5</v>
      </c>
      <c r="D180" t="str">
        <f>_xlfn.CONCAT('4I'!$B$35, "-", '4I'!$B$41, "-", '4I'!$F$9, "-", '4I'!$F$8, "-", '4I'!$F$7, "-", '4I'!$C$6, "-", '4I'!$C$5)</f>
        <v>Forward currency contracts-Forward currency contracts HKD-3-£m-Over 5 years-Nominal value by maturity (net) at 31 March-Financial derivatives – Total</v>
      </c>
      <c r="F180" t="s">
        <v>17467</v>
      </c>
      <c r="G180">
        <f>'4I'!$F$41</f>
        <v>0</v>
      </c>
    </row>
    <row r="181" spans="1:7">
      <c r="A181" t="s">
        <v>17333</v>
      </c>
      <c r="C181" t="str">
        <f>'4I'!$AJ$41</f>
        <v>CR2031N6</v>
      </c>
      <c r="D181" t="str">
        <f>_xlfn.CONCAT('4I'!$B$35, "-", '4I'!$B$41, "-", '4I'!$G$9, "-", '4I'!$G$8, "-", '4I'!$G$7, "-", '4I'!$G$6, "-", '4I'!$C$5)</f>
        <v>Forward currency contracts-Forward currency contracts HKD-3-£m-Nominal value (net)-Total value at 31 March-Financial derivatives – Total</v>
      </c>
      <c r="F181" t="s">
        <v>17467</v>
      </c>
      <c r="G181">
        <f>'4I'!$G$41</f>
        <v>0</v>
      </c>
    </row>
    <row r="182" spans="1:7">
      <c r="A182" t="s">
        <v>17333</v>
      </c>
      <c r="C182" t="str">
        <f>'4I'!$AK$41</f>
        <v>CR2031MM</v>
      </c>
      <c r="D182" t="str">
        <f>_xlfn.CONCAT('4I'!$B$35, "-", '4I'!$B$41, "-", '4I'!$H$9, "-", '4I'!$H$8, "-", '4I'!$H$7, "-", '4I'!$G$6, "-", '4I'!$C$5)</f>
        <v>Forward currency contracts-Forward currency contracts HKD-3-£m-Mark to Market-Total value at 31 March-Financial derivatives – Total</v>
      </c>
      <c r="F182" t="s">
        <v>17467</v>
      </c>
      <c r="G182">
        <f>'4I'!$H$41</f>
        <v>0</v>
      </c>
    </row>
    <row r="183" spans="1:7">
      <c r="A183" t="s">
        <v>17333</v>
      </c>
      <c r="C183" t="str">
        <f>'4I'!$AL$41</f>
        <v>CR2031TA</v>
      </c>
      <c r="D183" t="str">
        <f>_xlfn.CONCAT('4I'!$B$35, "-", '4I'!$B$41, "-", '4I'!$I$9, "-", '4I'!$I$8, "-", '4I'!$I$6, "-", '4I'!$I$6, "-", '4I'!$C$5)</f>
        <v>Forward currency contracts-Forward currency contracts HKD-3-£m-Total accretion at 31 March-Total accretion at 31 March-Financial derivatives – Total</v>
      </c>
      <c r="F183" t="s">
        <v>17467</v>
      </c>
      <c r="G183">
        <f>'4I'!$I$41</f>
        <v>0</v>
      </c>
    </row>
    <row r="184" spans="1:7">
      <c r="A184" t="s">
        <v>17333</v>
      </c>
      <c r="C184" t="str">
        <f>'4I'!$AF$42</f>
        <v>CR20018N0</v>
      </c>
      <c r="D184" t="str">
        <f>_xlfn.CONCAT('4I'!$B$35, "-", '4I'!$B$42, "-", '4I'!$C$9, "-", '4I'!$C$8, "-", '4I'!$C$7, "-", '4I'!$C$6, "-", '4I'!$C$5)</f>
        <v>Forward currency contracts-Forward currency contracts Other-3-£m-0 to 1 years-Nominal value by maturity (net) at 31 March-Financial derivatives – Total</v>
      </c>
      <c r="F184" t="s">
        <v>17467</v>
      </c>
      <c r="G184">
        <f>'4I'!$C$42</f>
        <v>0</v>
      </c>
    </row>
    <row r="185" spans="1:7">
      <c r="A185" t="s">
        <v>17333</v>
      </c>
      <c r="C185" t="str">
        <f>'4I'!$AG$42</f>
        <v>CR20018N1</v>
      </c>
      <c r="D185" t="str">
        <f>_xlfn.CONCAT('4I'!$B$35, "-", '4I'!$B$42, "-", '4I'!$D$9, "-", '4I'!$D$8, "-", '4I'!$D$7, "-", '4I'!$C$6, "-", '4I'!$C$5)</f>
        <v>Forward currency contracts-Forward currency contracts Other-3-£m-1 to 2 years-Nominal value by maturity (net) at 31 March-Financial derivatives – Total</v>
      </c>
      <c r="F185" t="s">
        <v>17467</v>
      </c>
      <c r="G185">
        <f>'4I'!$D$42</f>
        <v>0</v>
      </c>
    </row>
    <row r="186" spans="1:7">
      <c r="A186" t="s">
        <v>17333</v>
      </c>
      <c r="C186" t="str">
        <f>'4I'!$AH$42</f>
        <v>CR20018N2</v>
      </c>
      <c r="D186" t="str">
        <f>_xlfn.CONCAT('4I'!$B$35, "-", '4I'!$B$42, "-", '4I'!$E$9, "-", '4I'!$E$8, "-", '4I'!$E$7, "-", '4I'!$C$6, "-", '4I'!$C$5)</f>
        <v>Forward currency contracts-Forward currency contracts Other-3-£m-2 to 5 years-Nominal value by maturity (net) at 31 March-Financial derivatives – Total</v>
      </c>
      <c r="F186" t="s">
        <v>17467</v>
      </c>
      <c r="G186">
        <f>'4I'!$E$42</f>
        <v>0</v>
      </c>
    </row>
    <row r="187" spans="1:7">
      <c r="A187" t="s">
        <v>17333</v>
      </c>
      <c r="C187" t="str">
        <f>'4I'!$AI$42</f>
        <v>CR20018N5</v>
      </c>
      <c r="D187" t="str">
        <f>_xlfn.CONCAT('4I'!$B$35, "-", '4I'!$B$42, "-", '4I'!$F$9, "-", '4I'!$F$8, "-", '4I'!$F$7, "-", '4I'!$C$6, "-", '4I'!$C$5)</f>
        <v>Forward currency contracts-Forward currency contracts Other-3-£m-Over 5 years-Nominal value by maturity (net) at 31 March-Financial derivatives – Total</v>
      </c>
      <c r="F187" t="s">
        <v>17467</v>
      </c>
      <c r="G187">
        <f>'4I'!$F$42</f>
        <v>0</v>
      </c>
    </row>
    <row r="188" spans="1:7">
      <c r="A188" t="s">
        <v>17333</v>
      </c>
      <c r="C188" t="str">
        <f>'4I'!$AJ$42</f>
        <v>CR20018N6</v>
      </c>
      <c r="D188" t="str">
        <f>_xlfn.CONCAT('4I'!$B$35, "-", '4I'!$B$42, "-", '4I'!$G$9, "-", '4I'!$G$8, "-", '4I'!$G$7, "-", '4I'!$G$6, "-", '4I'!$C$5)</f>
        <v>Forward currency contracts-Forward currency contracts Other-3-£m-Nominal value (net)-Total value at 31 March-Financial derivatives – Total</v>
      </c>
      <c r="F188" t="s">
        <v>17467</v>
      </c>
      <c r="G188">
        <f>'4I'!$G$42</f>
        <v>0</v>
      </c>
    </row>
    <row r="189" spans="1:7">
      <c r="A189" t="s">
        <v>17333</v>
      </c>
      <c r="C189" t="str">
        <f>'4I'!$AK$42</f>
        <v>CR20018MM</v>
      </c>
      <c r="D189" t="str">
        <f>_xlfn.CONCAT('4I'!$B$35, "-", '4I'!$B$42, "-", '4I'!$H$9, "-", '4I'!$H$8, "-", '4I'!$H$7, "-", '4I'!$G$6, "-", '4I'!$C$5)</f>
        <v>Forward currency contracts-Forward currency contracts Other-3-£m-Mark to Market-Total value at 31 March-Financial derivatives – Total</v>
      </c>
      <c r="F189" t="s">
        <v>17467</v>
      </c>
      <c r="G189">
        <f>'4I'!$H$42</f>
        <v>0</v>
      </c>
    </row>
    <row r="190" spans="1:7">
      <c r="A190" t="s">
        <v>17333</v>
      </c>
      <c r="C190" t="str">
        <f>'4I'!$AL$42</f>
        <v>CR20018TA</v>
      </c>
      <c r="D190" t="str">
        <f>_xlfn.CONCAT('4I'!$B$35, "-", '4I'!$B$42, "-", '4I'!$I$9, "-", '4I'!$I$8, "-", '4I'!$I$6, "-", '4I'!$I$6, "-", '4I'!$C$5)</f>
        <v>Forward currency contracts-Forward currency contracts Other-3-£m-Total accretion at 31 March-Total accretion at 31 March-Financial derivatives – Total</v>
      </c>
      <c r="F190" t="s">
        <v>17467</v>
      </c>
      <c r="G190">
        <f>'4I'!$I$42</f>
        <v>0</v>
      </c>
    </row>
    <row r="191" spans="1:7">
      <c r="A191" t="s">
        <v>17333</v>
      </c>
      <c r="C191" t="str">
        <f>'4I'!$AF$43</f>
        <v>CR20019N0</v>
      </c>
      <c r="D191" t="str">
        <f>_xlfn.CONCAT('4I'!$B$35, "-", '4I'!$B$43, "-", '4I'!$C$9, "-", '4I'!$C$8, "-", '4I'!$C$7, "-", '4I'!$C$6, "-", '4I'!$C$5)</f>
        <v>Forward currency contracts-Total-3-£m-0 to 1 years-Nominal value by maturity (net) at 31 March-Financial derivatives – Total</v>
      </c>
      <c r="F191" t="s">
        <v>17467</v>
      </c>
      <c r="G191">
        <f>'4I'!$C$43</f>
        <v>0</v>
      </c>
    </row>
    <row r="192" spans="1:7">
      <c r="A192" t="s">
        <v>17333</v>
      </c>
      <c r="C192" t="str">
        <f>'4I'!$AG$43</f>
        <v>CR20019N1</v>
      </c>
      <c r="D192" t="str">
        <f>_xlfn.CONCAT('4I'!$B$35, "-", '4I'!$B$43, "-", '4I'!$D$9, "-", '4I'!$D$8, "-", '4I'!$D$7, "-", '4I'!$C$6, "-", '4I'!$C$5)</f>
        <v>Forward currency contracts-Total-3-£m-1 to 2 years-Nominal value by maturity (net) at 31 March-Financial derivatives – Total</v>
      </c>
      <c r="F192" t="s">
        <v>17467</v>
      </c>
      <c r="G192">
        <f>'4I'!$D$43</f>
        <v>0</v>
      </c>
    </row>
    <row r="193" spans="1:7">
      <c r="A193" t="s">
        <v>17333</v>
      </c>
      <c r="C193" t="str">
        <f>'4I'!$AH$43</f>
        <v>CR20019N2</v>
      </c>
      <c r="D193" t="str">
        <f>_xlfn.CONCAT('4I'!$B$35, "-", '4I'!$B$43, "-", '4I'!$E$9, "-", '4I'!$E$8, "-", '4I'!$E$7, "-", '4I'!$C$6, "-", '4I'!$C$5)</f>
        <v>Forward currency contracts-Total-3-£m-2 to 5 years-Nominal value by maturity (net) at 31 March-Financial derivatives – Total</v>
      </c>
      <c r="F193" t="s">
        <v>17467</v>
      </c>
      <c r="G193">
        <f>'4I'!$E$43</f>
        <v>0</v>
      </c>
    </row>
    <row r="194" spans="1:7">
      <c r="A194" t="s">
        <v>17333</v>
      </c>
      <c r="C194" t="str">
        <f>'4I'!$AI$43</f>
        <v>CR20019N5</v>
      </c>
      <c r="D194" t="str">
        <f>_xlfn.CONCAT('4I'!$B$35, "-", '4I'!$B$43, "-", '4I'!$F$9, "-", '4I'!$F$8, "-", '4I'!$F$7, "-", '4I'!$C$6, "-", '4I'!$C$5)</f>
        <v>Forward currency contracts-Total-3-£m-Over 5 years-Nominal value by maturity (net) at 31 March-Financial derivatives – Total</v>
      </c>
      <c r="F194" t="s">
        <v>17467</v>
      </c>
      <c r="G194">
        <f>'4I'!$F$43</f>
        <v>0</v>
      </c>
    </row>
    <row r="195" spans="1:7">
      <c r="A195" t="s">
        <v>17333</v>
      </c>
      <c r="C195" t="str">
        <f>'4I'!$AJ$43</f>
        <v>CR20019N6</v>
      </c>
      <c r="D195" t="str">
        <f>_xlfn.CONCAT('4I'!$B$35, "-", '4I'!$B$43, "-", '4I'!$G$9, "-", '4I'!$G$8, "-", '4I'!$G$7, "-", '4I'!$G$6, "-", '4I'!$C$5)</f>
        <v>Forward currency contracts-Total-3-£m-Nominal value (net)-Total value at 31 March-Financial derivatives – Total</v>
      </c>
      <c r="F195" t="s">
        <v>17467</v>
      </c>
      <c r="G195">
        <f>'4I'!$G$43</f>
        <v>0</v>
      </c>
    </row>
    <row r="196" spans="1:7">
      <c r="A196" t="s">
        <v>17333</v>
      </c>
      <c r="C196" t="str">
        <f>'4I'!$AK$43</f>
        <v>CR20019MM</v>
      </c>
      <c r="D196" t="str">
        <f>_xlfn.CONCAT('4I'!$B$35, "-", '4I'!$B$43, "-", '4I'!$H$9, "-", '4I'!$H$8, "-", '4I'!$H$7, "-", '4I'!$G$6, "-", '4I'!$C$5)</f>
        <v>Forward currency contracts-Total-3-£m-Mark to Market-Total value at 31 March-Financial derivatives – Total</v>
      </c>
      <c r="F196" t="s">
        <v>17467</v>
      </c>
      <c r="G196">
        <f>'4I'!$H$43</f>
        <v>0</v>
      </c>
    </row>
    <row r="197" spans="1:7">
      <c r="A197" t="s">
        <v>17333</v>
      </c>
      <c r="C197" t="str">
        <f>'4I'!$AL$43</f>
        <v>CR20019TA</v>
      </c>
      <c r="D197" t="str">
        <f>_xlfn.CONCAT('4I'!$B$35, "-", '4I'!$B$43, "-", '4I'!$I$9, "-", '4I'!$I$8, "-", '4I'!$I$6, "-", '4I'!$I$6, "-", '4I'!$C$5)</f>
        <v>Forward currency contracts-Total-3-£m-Total accretion at 31 March-Total accretion at 31 March-Financial derivatives – Total</v>
      </c>
      <c r="F197" t="s">
        <v>17467</v>
      </c>
      <c r="G197">
        <f>'4I'!$I$43</f>
        <v>0</v>
      </c>
    </row>
    <row r="198" spans="1:7">
      <c r="A198" t="s">
        <v>17333</v>
      </c>
      <c r="C198" t="str">
        <f>'4I'!$AF$46</f>
        <v>CR2028N0</v>
      </c>
      <c r="D198" t="str">
        <f>_xlfn.CONCAT('4I'!$B$45, "-", '4I'!$B$46, "-", '4I'!$C$9, "-", '4I'!$C$8, "-", '4I'!$C$7, "-", '4I'!$C$6, "-", '4I'!$C$5)</f>
        <v>Other financial derivatives-Other financial derivatives-3-£m-0 to 1 years-Nominal value by maturity (net) at 31 March-Financial derivatives – Total</v>
      </c>
      <c r="F198" t="s">
        <v>17467</v>
      </c>
      <c r="G198">
        <f>'4I'!$C$46</f>
        <v>2.718</v>
      </c>
    </row>
    <row r="199" spans="1:7">
      <c r="A199" t="s">
        <v>17333</v>
      </c>
      <c r="C199" t="str">
        <f>'4I'!$AG$46</f>
        <v>CR2028N1</v>
      </c>
      <c r="D199" t="str">
        <f>_xlfn.CONCAT('4I'!$B$45, "-", '4I'!$B$46, "-", '4I'!$D$9, "-", '4I'!$D$8, "-", '4I'!$D$7, "-", '4I'!$C$6, "-", '4I'!$C$5)</f>
        <v>Other financial derivatives-Other financial derivatives-3-£m-1 to 2 years-Nominal value by maturity (net) at 31 March-Financial derivatives – Total</v>
      </c>
      <c r="F199" t="s">
        <v>17467</v>
      </c>
      <c r="G199">
        <f>'4I'!$D$46</f>
        <v>2.1589999999999998</v>
      </c>
    </row>
    <row r="200" spans="1:7">
      <c r="A200" t="s">
        <v>17333</v>
      </c>
      <c r="C200" t="str">
        <f>'4I'!$AH$46</f>
        <v>CR2028N2</v>
      </c>
      <c r="D200" t="str">
        <f>_xlfn.CONCAT('4I'!$B$45, "-", '4I'!$B$46, "-", '4I'!$E$9, "-", '4I'!$E$8, "-", '4I'!$E$7, "-", '4I'!$C$6, "-", '4I'!$C$5)</f>
        <v>Other financial derivatives-Other financial derivatives-3-£m-2 to 5 years-Nominal value by maturity (net) at 31 March-Financial derivatives – Total</v>
      </c>
      <c r="F200" t="s">
        <v>17467</v>
      </c>
      <c r="G200">
        <f>'4I'!$E$46</f>
        <v>0</v>
      </c>
    </row>
    <row r="201" spans="1:7">
      <c r="A201" t="s">
        <v>17333</v>
      </c>
      <c r="C201" t="str">
        <f>'4I'!$AI$46</f>
        <v>CR2028N5</v>
      </c>
      <c r="D201" t="str">
        <f>_xlfn.CONCAT('4I'!$B$45, "-", '4I'!$B$46, "-", '4I'!$F$9, "-", '4I'!$F$8, "-", '4I'!$F$7, "-", '4I'!$C$6, "-", '4I'!$C$5)</f>
        <v>Other financial derivatives-Other financial derivatives-3-£m-Over 5 years-Nominal value by maturity (net) at 31 March-Financial derivatives – Total</v>
      </c>
      <c r="F201" t="s">
        <v>17467</v>
      </c>
      <c r="G201">
        <f>'4I'!$F$46</f>
        <v>0</v>
      </c>
    </row>
    <row r="202" spans="1:7">
      <c r="A202" t="s">
        <v>17333</v>
      </c>
      <c r="C202" t="str">
        <f>'4I'!$AJ$46</f>
        <v>CR2028N6</v>
      </c>
      <c r="D202" t="str">
        <f>_xlfn.CONCAT('4I'!$B$45, "-", '4I'!$B$46, "-", '4I'!$G$9, "-", '4I'!$G$8, "-", '4I'!$G$7, "-", '4I'!$G$6, "-", '4I'!$C$5)</f>
        <v>Other financial derivatives-Other financial derivatives-3-£m-Nominal value (net)-Total value at 31 March-Financial derivatives – Total</v>
      </c>
      <c r="F202" t="s">
        <v>17467</v>
      </c>
      <c r="G202">
        <f>'4I'!$G$46</f>
        <v>4.8769999999999998</v>
      </c>
    </row>
    <row r="203" spans="1:7">
      <c r="A203" t="s">
        <v>17333</v>
      </c>
      <c r="C203" t="str">
        <f>'4I'!$AK$46</f>
        <v>CR2028MM</v>
      </c>
      <c r="D203" t="str">
        <f>_xlfn.CONCAT('4I'!$B$45, "-", '4I'!$B$46, "-", '4I'!$H$9, "-", '4I'!$H$8, "-", '4I'!$H$7, "-", '4I'!$G$6, "-", '4I'!$C$5)</f>
        <v>Other financial derivatives-Other financial derivatives-3-£m-Mark to Market-Total value at 31 March-Financial derivatives – Total</v>
      </c>
      <c r="F203" t="s">
        <v>17467</v>
      </c>
      <c r="G203">
        <f>'4I'!$H$46</f>
        <v>-9.9619999999999997</v>
      </c>
    </row>
    <row r="204" spans="1:7">
      <c r="A204" t="s">
        <v>17333</v>
      </c>
      <c r="C204" t="str">
        <f>'4I'!$AL$46</f>
        <v>CR2028TA</v>
      </c>
      <c r="D204" t="str">
        <f>_xlfn.CONCAT('4I'!$B$45, "-", '4I'!$B$46, "-", '4I'!$I$9, "-", '4I'!$I$8, "-", '4I'!$I$6, "-", '4I'!$I$6, "-", '4I'!$C$5)</f>
        <v>Other financial derivatives-Other financial derivatives-3-£m-Total accretion at 31 March-Total accretion at 31 March-Financial derivatives – Total</v>
      </c>
      <c r="F204" t="s">
        <v>17467</v>
      </c>
      <c r="G204">
        <f>'4I'!$I$46</f>
        <v>0</v>
      </c>
    </row>
    <row r="205" spans="1:7">
      <c r="A205" t="s">
        <v>17333</v>
      </c>
      <c r="C205" t="str">
        <f>'4I'!$AF$48</f>
        <v>CR20020N0</v>
      </c>
      <c r="D205" t="str">
        <f>_xlfn.CONCAT('4I'!$B$45, "-", '4I'!$B$48, "-", '4I'!$C$9, "-", '4I'!$C$8, "-", '4I'!$C$7, "-", '4I'!$C$6, "-", '4I'!$C$5)</f>
        <v>Other financial derivatives-Total financial derivatives-3-£m-0 to 1 years-Nominal value by maturity (net) at 31 March-Financial derivatives – Total</v>
      </c>
      <c r="F205" t="s">
        <v>17467</v>
      </c>
      <c r="G205">
        <f>'4I'!$C$48</f>
        <v>2.718</v>
      </c>
    </row>
    <row r="206" spans="1:7">
      <c r="A206" t="s">
        <v>17333</v>
      </c>
      <c r="C206" t="str">
        <f>'4I'!$AG$48</f>
        <v>CR20020N1</v>
      </c>
      <c r="D206" t="str">
        <f>_xlfn.CONCAT('4I'!$B$45, "-", '4I'!$B$48, "-", '4I'!$D$9, "-", '4I'!$D$8, "-", '4I'!$D$7, "-", '4I'!$C$6, "-", '4I'!$C$5)</f>
        <v>Other financial derivatives-Total financial derivatives-3-£m-1 to 2 years-Nominal value by maturity (net) at 31 March-Financial derivatives – Total</v>
      </c>
      <c r="F206" t="s">
        <v>17467</v>
      </c>
      <c r="G206">
        <f>'4I'!$D$48</f>
        <v>2.1589999999999998</v>
      </c>
    </row>
    <row r="207" spans="1:7">
      <c r="A207" t="s">
        <v>17333</v>
      </c>
      <c r="C207" t="str">
        <f>'4I'!$AH$48</f>
        <v>CR20020N2</v>
      </c>
      <c r="D207" t="str">
        <f>_xlfn.CONCAT('4I'!$B$45, "-", '4I'!$B$48, "-", '4I'!$E$9, "-", '4I'!$E$8, "-", '4I'!$E$7, "-", '4I'!$C$6, "-", '4I'!$C$5)</f>
        <v>Other financial derivatives-Total financial derivatives-3-£m-2 to 5 years-Nominal value by maturity (net) at 31 March-Financial derivatives – Total</v>
      </c>
      <c r="F207" t="s">
        <v>17467</v>
      </c>
      <c r="G207">
        <f>'4I'!$E$48</f>
        <v>550</v>
      </c>
    </row>
    <row r="208" spans="1:7">
      <c r="A208" t="s">
        <v>17333</v>
      </c>
      <c r="C208" t="str">
        <f>'4I'!$AI$48</f>
        <v>CR20020N5</v>
      </c>
      <c r="D208" t="str">
        <f>_xlfn.CONCAT('4I'!$B$45, "-", '4I'!$B$48, "-", '4I'!$F$9, "-", '4I'!$F$8, "-", '4I'!$F$7, "-", '4I'!$C$6, "-", '4I'!$C$5)</f>
        <v>Other financial derivatives-Total financial derivatives-3-£m-Over 5 years-Nominal value by maturity (net) at 31 March-Financial derivatives – Total</v>
      </c>
      <c r="F208" t="s">
        <v>17467</v>
      </c>
      <c r="G208">
        <f>'4I'!$F$48</f>
        <v>1330.4839999999999</v>
      </c>
    </row>
    <row r="209" spans="1:7">
      <c r="A209" t="s">
        <v>17333</v>
      </c>
      <c r="C209" t="str">
        <f>'4I'!$AJ$48</f>
        <v>CR20020N6</v>
      </c>
      <c r="D209" t="str">
        <f>_xlfn.CONCAT('4I'!$B$45, "-", '4I'!$B$48, "-", '4I'!$G$9, "-", '4I'!$G$8, "-", '4I'!$G$7, "-", '4I'!$G$6, "-", '4I'!$C$5)</f>
        <v>Other financial derivatives-Total financial derivatives-3-£m-Nominal value (net)-Total value at 31 March-Financial derivatives – Total</v>
      </c>
      <c r="F209" t="s">
        <v>17467</v>
      </c>
      <c r="G209">
        <f>'4I'!$G$48</f>
        <v>1885.3609999999999</v>
      </c>
    </row>
    <row r="210" spans="1:7">
      <c r="A210" t="s">
        <v>17333</v>
      </c>
      <c r="C210" t="str">
        <f>'4I'!$AK$48</f>
        <v>CR20020MM</v>
      </c>
      <c r="D210" t="str">
        <f>_xlfn.CONCAT('4I'!$B$45, "-", '4I'!$B$48, "-", '4I'!$H$9, "-", '4I'!$H$8, "-", '4I'!$H$7, "-", '4I'!$G$6, "-", '4I'!$C$5)</f>
        <v>Other financial derivatives-Total financial derivatives-3-£m-Mark to Market-Total value at 31 March-Financial derivatives – Total</v>
      </c>
      <c r="F210" t="s">
        <v>17467</v>
      </c>
      <c r="G210">
        <f>'4I'!$H$48</f>
        <v>434.649</v>
      </c>
    </row>
    <row r="211" spans="1:7">
      <c r="A211" t="s">
        <v>17333</v>
      </c>
      <c r="C211" t="str">
        <f>'4I'!$AL$48</f>
        <v>CR20020TA</v>
      </c>
      <c r="D211" t="str">
        <f>_xlfn.CONCAT('4I'!$B$45, "-", '4I'!$B$48, "-", '4I'!$I$9, "-", '4I'!$I$8, "-", '4I'!$I$6, "-", '4I'!$I$6, "-", '4I'!$C$5)</f>
        <v>Other financial derivatives-Total financial derivatives-3-£m-Total accretion at 31 March-Total accretion at 31 March-Financial derivatives – Total</v>
      </c>
      <c r="F211" t="s">
        <v>17467</v>
      </c>
      <c r="G211">
        <f>'4I'!$I$48</f>
        <v>344.654</v>
      </c>
    </row>
    <row r="212" spans="1:7">
      <c r="A212" t="s">
        <v>17333</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17467</v>
      </c>
      <c r="G212">
        <f>'4I'!$C$57</f>
        <v>0</v>
      </c>
    </row>
    <row r="213" spans="1:7">
      <c r="A213" t="s">
        <v>17333</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17467</v>
      </c>
      <c r="G213">
        <f>'4I'!$D$57</f>
        <v>0</v>
      </c>
    </row>
    <row r="214" spans="1:7">
      <c r="A214" t="s">
        <v>17333</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17467</v>
      </c>
      <c r="G214">
        <f>'4I'!$E$57</f>
        <v>0</v>
      </c>
    </row>
    <row r="215" spans="1:7">
      <c r="A215" t="s">
        <v>17333</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17467</v>
      </c>
      <c r="G215">
        <f>'4I'!$F$57</f>
        <v>0</v>
      </c>
    </row>
    <row r="216" spans="1:7">
      <c r="A216" t="s">
        <v>17333</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17467</v>
      </c>
      <c r="G216">
        <f>'4I'!$G$57</f>
        <v>0</v>
      </c>
    </row>
    <row r="217" spans="1:7">
      <c r="A217" t="s">
        <v>17333</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17467</v>
      </c>
      <c r="G217">
        <f>'4I'!$H$57</f>
        <v>0</v>
      </c>
    </row>
    <row r="218" spans="1:7">
      <c r="A218" t="s">
        <v>17333</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17467</v>
      </c>
      <c r="G218">
        <f>'4I'!$I$57</f>
        <v>0</v>
      </c>
    </row>
    <row r="219" spans="1:7">
      <c r="A219" t="s">
        <v>17333</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17467</v>
      </c>
      <c r="G219">
        <f>'4I'!$J$57</f>
        <v>0</v>
      </c>
    </row>
    <row r="220" spans="1:7">
      <c r="A220" t="s">
        <v>17333</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17467</v>
      </c>
      <c r="G220">
        <f>'4I'!$K$57</f>
        <v>0</v>
      </c>
    </row>
    <row r="221" spans="1:7">
      <c r="A221" t="s">
        <v>17333</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17467</v>
      </c>
      <c r="G221">
        <f>'4I'!$C$58</f>
        <v>0</v>
      </c>
    </row>
    <row r="222" spans="1:7">
      <c r="A222" t="s">
        <v>17333</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17467</v>
      </c>
      <c r="G222">
        <f>'4I'!$D$58</f>
        <v>0</v>
      </c>
    </row>
    <row r="223" spans="1:7">
      <c r="A223" t="s">
        <v>17333</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17467</v>
      </c>
      <c r="G223">
        <f>'4I'!$E$58</f>
        <v>0</v>
      </c>
    </row>
    <row r="224" spans="1:7">
      <c r="A224" t="s">
        <v>17333</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17467</v>
      </c>
      <c r="G224">
        <f>'4I'!$F$58</f>
        <v>0</v>
      </c>
    </row>
    <row r="225" spans="1:7">
      <c r="A225" t="s">
        <v>17333</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17467</v>
      </c>
      <c r="G225">
        <f>'4I'!$G$58</f>
        <v>0</v>
      </c>
    </row>
    <row r="226" spans="1:7">
      <c r="A226" t="s">
        <v>17333</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17467</v>
      </c>
      <c r="G226">
        <f>'4I'!$H$58</f>
        <v>0</v>
      </c>
    </row>
    <row r="227" spans="1:7">
      <c r="A227" t="s">
        <v>17333</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17467</v>
      </c>
      <c r="G227">
        <f>'4I'!$I$58</f>
        <v>0</v>
      </c>
    </row>
    <row r="228" spans="1:7">
      <c r="A228" t="s">
        <v>17333</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17467</v>
      </c>
      <c r="G228">
        <f>'4I'!$J$58</f>
        <v>0</v>
      </c>
    </row>
    <row r="229" spans="1:7">
      <c r="A229" t="s">
        <v>17333</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17467</v>
      </c>
      <c r="G229">
        <f>'4I'!$K$58</f>
        <v>0</v>
      </c>
    </row>
    <row r="230" spans="1:7">
      <c r="A230" t="s">
        <v>17333</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17467</v>
      </c>
      <c r="G230">
        <f>'4I'!$C$59</f>
        <v>0</v>
      </c>
    </row>
    <row r="231" spans="1:7">
      <c r="A231" t="s">
        <v>17333</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17467</v>
      </c>
      <c r="G231">
        <f>'4I'!$D$59</f>
        <v>0</v>
      </c>
    </row>
    <row r="232" spans="1:7">
      <c r="A232" t="s">
        <v>17333</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17467</v>
      </c>
      <c r="G232">
        <f>'4I'!$E$59</f>
        <v>0</v>
      </c>
    </row>
    <row r="233" spans="1:7">
      <c r="A233" t="s">
        <v>17333</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17467</v>
      </c>
      <c r="G233">
        <f>'4I'!$F$59</f>
        <v>438.48399999999998</v>
      </c>
    </row>
    <row r="234" spans="1:7">
      <c r="A234" t="s">
        <v>17333</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17467</v>
      </c>
      <c r="G234">
        <f>'4I'!$G$59</f>
        <v>438.48399999999998</v>
      </c>
    </row>
    <row r="235" spans="1:7">
      <c r="A235" t="s">
        <v>17333</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17467</v>
      </c>
      <c r="G235">
        <f>'4I'!$H$59</f>
        <v>50.524999999999999</v>
      </c>
    </row>
    <row r="236" spans="1:7">
      <c r="A236" t="s">
        <v>17333</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17467</v>
      </c>
      <c r="G236">
        <f>'4I'!$I$59</f>
        <v>0</v>
      </c>
    </row>
    <row r="237" spans="1:7">
      <c r="A237" t="s">
        <v>17333</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17467</v>
      </c>
      <c r="G237">
        <f>'4I'!$J$59</f>
        <v>0.156</v>
      </c>
    </row>
    <row r="238" spans="1:7">
      <c r="A238" t="s">
        <v>17333</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17467</v>
      </c>
      <c r="G238">
        <f>'4I'!$K$59</f>
        <v>1.95E-2</v>
      </c>
    </row>
    <row r="239" spans="1:7">
      <c r="A239" t="s">
        <v>17333</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17467</v>
      </c>
      <c r="G239">
        <f>'4I'!$C$60</f>
        <v>0</v>
      </c>
    </row>
    <row r="240" spans="1:7">
      <c r="A240" t="s">
        <v>17333</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17467</v>
      </c>
      <c r="G240">
        <f>'4I'!$D$60</f>
        <v>0</v>
      </c>
    </row>
    <row r="241" spans="1:7">
      <c r="A241" t="s">
        <v>17333</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17467</v>
      </c>
      <c r="G241">
        <f>'4I'!$E$60</f>
        <v>0</v>
      </c>
    </row>
    <row r="242" spans="1:7">
      <c r="A242" t="s">
        <v>17333</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17467</v>
      </c>
      <c r="G242">
        <f>'4I'!$F$60</f>
        <v>0</v>
      </c>
    </row>
    <row r="243" spans="1:7">
      <c r="A243" t="s">
        <v>17333</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17467</v>
      </c>
      <c r="G243">
        <f>'4I'!$G$60</f>
        <v>0</v>
      </c>
    </row>
    <row r="244" spans="1:7">
      <c r="A244" t="s">
        <v>17333</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17467</v>
      </c>
      <c r="G244">
        <f>'4I'!$H$60</f>
        <v>0</v>
      </c>
    </row>
    <row r="245" spans="1:7">
      <c r="A245" t="s">
        <v>17333</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17467</v>
      </c>
      <c r="G245">
        <f>'4I'!$I$60</f>
        <v>0</v>
      </c>
    </row>
    <row r="246" spans="1:7">
      <c r="A246" t="s">
        <v>17333</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17467</v>
      </c>
      <c r="G246">
        <f>'4I'!$J$60</f>
        <v>0</v>
      </c>
    </row>
    <row r="247" spans="1:7">
      <c r="A247" t="s">
        <v>17333</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17467</v>
      </c>
      <c r="G247">
        <f>'4I'!$K$60</f>
        <v>0</v>
      </c>
    </row>
    <row r="248" spans="1:7">
      <c r="A248" t="s">
        <v>17333</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17467</v>
      </c>
      <c r="G248">
        <f>'4I'!$C$61</f>
        <v>0</v>
      </c>
    </row>
    <row r="249" spans="1:7">
      <c r="A249" t="s">
        <v>17333</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17467</v>
      </c>
      <c r="G249">
        <f>'4I'!$D$61</f>
        <v>0</v>
      </c>
    </row>
    <row r="250" spans="1:7">
      <c r="A250" t="s">
        <v>17333</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17467</v>
      </c>
      <c r="G250">
        <f>'4I'!$E$61</f>
        <v>0</v>
      </c>
    </row>
    <row r="251" spans="1:7">
      <c r="A251" t="s">
        <v>17333</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17467</v>
      </c>
      <c r="G251">
        <f>'4I'!$F$61</f>
        <v>0</v>
      </c>
    </row>
    <row r="252" spans="1:7">
      <c r="A252" t="s">
        <v>17333</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17467</v>
      </c>
      <c r="G252">
        <f>'4I'!$G$61</f>
        <v>0</v>
      </c>
    </row>
    <row r="253" spans="1:7">
      <c r="A253" t="s">
        <v>17333</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17467</v>
      </c>
      <c r="G253">
        <f>'4I'!$H$61</f>
        <v>0</v>
      </c>
    </row>
    <row r="254" spans="1:7">
      <c r="A254" t="s">
        <v>17333</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17467</v>
      </c>
      <c r="G254">
        <f>'4I'!$I$61</f>
        <v>0</v>
      </c>
    </row>
    <row r="255" spans="1:7">
      <c r="A255" t="s">
        <v>17333</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17467</v>
      </c>
      <c r="G255">
        <f>'4I'!$J$61</f>
        <v>0</v>
      </c>
    </row>
    <row r="256" spans="1:7">
      <c r="A256" t="s">
        <v>17333</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17467</v>
      </c>
      <c r="G256">
        <f>'4I'!$K$61</f>
        <v>0</v>
      </c>
    </row>
    <row r="257" spans="1:7">
      <c r="A257" t="s">
        <v>17333</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17467</v>
      </c>
      <c r="G257">
        <f>'4I'!$C$62</f>
        <v>0</v>
      </c>
    </row>
    <row r="258" spans="1:7">
      <c r="A258" t="s">
        <v>17333</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17467</v>
      </c>
      <c r="G258">
        <f>'4I'!$D$62</f>
        <v>0</v>
      </c>
    </row>
    <row r="259" spans="1:7">
      <c r="A259" t="s">
        <v>17333</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17467</v>
      </c>
      <c r="G259">
        <f>'4I'!$E$62</f>
        <v>0</v>
      </c>
    </row>
    <row r="260" spans="1:7">
      <c r="A260" t="s">
        <v>17333</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17467</v>
      </c>
      <c r="G260">
        <f>'4I'!$F$62</f>
        <v>0</v>
      </c>
    </row>
    <row r="261" spans="1:7">
      <c r="A261" t="s">
        <v>17333</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17467</v>
      </c>
      <c r="G261">
        <f>'4I'!$G$62</f>
        <v>0</v>
      </c>
    </row>
    <row r="262" spans="1:7">
      <c r="A262" t="s">
        <v>17333</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17467</v>
      </c>
      <c r="G262">
        <f>'4I'!$H$62</f>
        <v>0</v>
      </c>
    </row>
    <row r="263" spans="1:7">
      <c r="A263" t="s">
        <v>17333</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17467</v>
      </c>
      <c r="G263">
        <f>'4I'!$I$62</f>
        <v>0</v>
      </c>
    </row>
    <row r="264" spans="1:7">
      <c r="A264" t="s">
        <v>17333</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17467</v>
      </c>
      <c r="G264">
        <f>'4I'!$J$62</f>
        <v>0</v>
      </c>
    </row>
    <row r="265" spans="1:7">
      <c r="A265" t="s">
        <v>17333</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17467</v>
      </c>
      <c r="G265">
        <f>'4I'!$K$62</f>
        <v>0</v>
      </c>
    </row>
    <row r="266" spans="1:7">
      <c r="A266" t="s">
        <v>17333</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17467</v>
      </c>
      <c r="G266">
        <f>'4I'!$C$63</f>
        <v>0</v>
      </c>
    </row>
    <row r="267" spans="1:7">
      <c r="A267" t="s">
        <v>17333</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17467</v>
      </c>
      <c r="G267">
        <f>'4I'!$D$63</f>
        <v>0</v>
      </c>
    </row>
    <row r="268" spans="1:7">
      <c r="A268" t="s">
        <v>17333</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17467</v>
      </c>
      <c r="G268">
        <f>'4I'!$E$63</f>
        <v>0</v>
      </c>
    </row>
    <row r="269" spans="1:7">
      <c r="A269" t="s">
        <v>17333</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17467</v>
      </c>
      <c r="G269">
        <f>'4I'!$F$63</f>
        <v>0</v>
      </c>
    </row>
    <row r="270" spans="1:7">
      <c r="A270" t="s">
        <v>17333</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17467</v>
      </c>
      <c r="G270">
        <f>'4I'!$G$63</f>
        <v>0</v>
      </c>
    </row>
    <row r="271" spans="1:7">
      <c r="A271" t="s">
        <v>17333</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17467</v>
      </c>
      <c r="G271">
        <f>'4I'!$H$63</f>
        <v>0</v>
      </c>
    </row>
    <row r="272" spans="1:7">
      <c r="A272" t="s">
        <v>17333</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17467</v>
      </c>
      <c r="G272">
        <f>'4I'!$I$63</f>
        <v>0</v>
      </c>
    </row>
    <row r="273" spans="1:7">
      <c r="A273" t="s">
        <v>17333</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17467</v>
      </c>
      <c r="G273">
        <f>'4I'!$J$63</f>
        <v>0</v>
      </c>
    </row>
    <row r="274" spans="1:7">
      <c r="A274" t="s">
        <v>17333</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17467</v>
      </c>
      <c r="G274">
        <f>'4I'!$K$63</f>
        <v>0</v>
      </c>
    </row>
    <row r="275" spans="1:7">
      <c r="A275" t="s">
        <v>17333</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17467</v>
      </c>
      <c r="G275">
        <f>'4I'!$C$64</f>
        <v>0</v>
      </c>
    </row>
    <row r="276" spans="1:7">
      <c r="A276" t="s">
        <v>17333</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17467</v>
      </c>
      <c r="G276">
        <f>'4I'!$D$64</f>
        <v>0</v>
      </c>
    </row>
    <row r="277" spans="1:7">
      <c r="A277" t="s">
        <v>17333</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17467</v>
      </c>
      <c r="G277">
        <f>'4I'!$E$64</f>
        <v>0</v>
      </c>
    </row>
    <row r="278" spans="1:7">
      <c r="A278" t="s">
        <v>17333</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17467</v>
      </c>
      <c r="G278">
        <f>'4I'!$F$64</f>
        <v>438.48399999999998</v>
      </c>
    </row>
    <row r="279" spans="1:7">
      <c r="A279" t="s">
        <v>17333</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17467</v>
      </c>
      <c r="G279">
        <f>'4I'!$G$64</f>
        <v>438.48399999999998</v>
      </c>
    </row>
    <row r="280" spans="1:7">
      <c r="A280" t="s">
        <v>17333</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17467</v>
      </c>
      <c r="G280">
        <f>'4I'!$H$64</f>
        <v>50.524999999999999</v>
      </c>
    </row>
    <row r="281" spans="1:7">
      <c r="A281" t="s">
        <v>17333</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17467</v>
      </c>
      <c r="G281">
        <f>'4I'!$I$64</f>
        <v>0</v>
      </c>
    </row>
    <row r="282" spans="1:7">
      <c r="A282" t="s">
        <v>17333</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17467</v>
      </c>
      <c r="G282">
        <f>'4I'!$C$67</f>
        <v>0</v>
      </c>
    </row>
    <row r="283" spans="1:7">
      <c r="A283" t="s">
        <v>17333</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17467</v>
      </c>
      <c r="G283">
        <f>'4I'!$D$67</f>
        <v>0</v>
      </c>
    </row>
    <row r="284" spans="1:7">
      <c r="A284" t="s">
        <v>17333</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17467</v>
      </c>
      <c r="G284">
        <f>'4I'!$E$67</f>
        <v>0</v>
      </c>
    </row>
    <row r="285" spans="1:7">
      <c r="A285" t="s">
        <v>17333</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17467</v>
      </c>
      <c r="G285">
        <f>'4I'!$F$67</f>
        <v>0</v>
      </c>
    </row>
    <row r="286" spans="1:7">
      <c r="A286" t="s">
        <v>17333</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17467</v>
      </c>
      <c r="G286">
        <f>'4I'!$G$67</f>
        <v>0</v>
      </c>
    </row>
    <row r="287" spans="1:7">
      <c r="A287" t="s">
        <v>17333</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17467</v>
      </c>
      <c r="G287">
        <f>'4I'!$H$67</f>
        <v>0</v>
      </c>
    </row>
    <row r="288" spans="1:7">
      <c r="A288" t="s">
        <v>17333</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17467</v>
      </c>
      <c r="G288">
        <f>'4I'!$I$67</f>
        <v>0</v>
      </c>
    </row>
    <row r="289" spans="1:7">
      <c r="A289" t="s">
        <v>17333</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17467</v>
      </c>
      <c r="G289">
        <f>'4I'!$C$68</f>
        <v>0</v>
      </c>
    </row>
    <row r="290" spans="1:7">
      <c r="A290" t="s">
        <v>17333</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17467</v>
      </c>
      <c r="G290">
        <f>'4I'!$D$68</f>
        <v>0</v>
      </c>
    </row>
    <row r="291" spans="1:7">
      <c r="A291" t="s">
        <v>17333</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17467</v>
      </c>
      <c r="G291">
        <f>'4I'!$E$68</f>
        <v>0</v>
      </c>
    </row>
    <row r="292" spans="1:7">
      <c r="A292" t="s">
        <v>17333</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17467</v>
      </c>
      <c r="G292">
        <f>'4I'!$F$68</f>
        <v>0</v>
      </c>
    </row>
    <row r="293" spans="1:7">
      <c r="A293" t="s">
        <v>17333</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17467</v>
      </c>
      <c r="G293">
        <f>'4I'!$G$68</f>
        <v>0</v>
      </c>
    </row>
    <row r="294" spans="1:7">
      <c r="A294" t="s">
        <v>17333</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17467</v>
      </c>
      <c r="G294">
        <f>'4I'!$H$68</f>
        <v>0</v>
      </c>
    </row>
    <row r="295" spans="1:7">
      <c r="A295" t="s">
        <v>17333</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17467</v>
      </c>
      <c r="G295">
        <f>'4I'!$I$68</f>
        <v>0</v>
      </c>
    </row>
    <row r="296" spans="1:7">
      <c r="A296" t="s">
        <v>17333</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17467</v>
      </c>
      <c r="G296">
        <f>'4I'!$C$69</f>
        <v>0</v>
      </c>
    </row>
    <row r="297" spans="1:7">
      <c r="A297" t="s">
        <v>17333</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17467</v>
      </c>
      <c r="G297">
        <f>'4I'!$D$69</f>
        <v>0</v>
      </c>
    </row>
    <row r="298" spans="1:7">
      <c r="A298" t="s">
        <v>17333</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17467</v>
      </c>
      <c r="G298">
        <f>'4I'!$E$69</f>
        <v>0</v>
      </c>
    </row>
    <row r="299" spans="1:7">
      <c r="A299" t="s">
        <v>17333</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17467</v>
      </c>
      <c r="G299">
        <f>'4I'!$F$69</f>
        <v>0</v>
      </c>
    </row>
    <row r="300" spans="1:7">
      <c r="A300" t="s">
        <v>17333</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17467</v>
      </c>
      <c r="G300">
        <f>'4I'!$G$69</f>
        <v>0</v>
      </c>
    </row>
    <row r="301" spans="1:7">
      <c r="A301" t="s">
        <v>17333</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17467</v>
      </c>
      <c r="G301">
        <f>'4I'!$H$69</f>
        <v>0</v>
      </c>
    </row>
    <row r="302" spans="1:7">
      <c r="A302" t="s">
        <v>17333</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17467</v>
      </c>
      <c r="G302">
        <f>'4I'!$I$69</f>
        <v>0</v>
      </c>
    </row>
    <row r="303" spans="1:7">
      <c r="A303" t="s">
        <v>17333</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17467</v>
      </c>
      <c r="G303">
        <f>'4I'!$C$70</f>
        <v>0</v>
      </c>
    </row>
    <row r="304" spans="1:7">
      <c r="A304" t="s">
        <v>17333</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17467</v>
      </c>
      <c r="G304">
        <f>'4I'!$D$70</f>
        <v>0</v>
      </c>
    </row>
    <row r="305" spans="1:7">
      <c r="A305" t="s">
        <v>17333</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17467</v>
      </c>
      <c r="G305">
        <f>'4I'!$E$70</f>
        <v>0</v>
      </c>
    </row>
    <row r="306" spans="1:7">
      <c r="A306" t="s">
        <v>17333</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17467</v>
      </c>
      <c r="G306">
        <f>'4I'!$F$70</f>
        <v>0</v>
      </c>
    </row>
    <row r="307" spans="1:7">
      <c r="A307" t="s">
        <v>17333</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17467</v>
      </c>
      <c r="G307">
        <f>'4I'!$G$70</f>
        <v>0</v>
      </c>
    </row>
    <row r="308" spans="1:7">
      <c r="A308" t="s">
        <v>17333</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17467</v>
      </c>
      <c r="G308">
        <f>'4I'!$H$70</f>
        <v>0</v>
      </c>
    </row>
    <row r="309" spans="1:7">
      <c r="A309" t="s">
        <v>17333</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17467</v>
      </c>
      <c r="G309">
        <f>'4I'!$I$70</f>
        <v>0</v>
      </c>
    </row>
    <row r="310" spans="1:7">
      <c r="A310" t="s">
        <v>17333</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17467</v>
      </c>
      <c r="G310">
        <f>'4I'!$C$71</f>
        <v>0</v>
      </c>
    </row>
    <row r="311" spans="1:7">
      <c r="A311" t="s">
        <v>17333</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17467</v>
      </c>
      <c r="G311">
        <f>'4I'!$D$71</f>
        <v>0</v>
      </c>
    </row>
    <row r="312" spans="1:7">
      <c r="A312" t="s">
        <v>17333</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17467</v>
      </c>
      <c r="G312">
        <f>'4I'!$E$71</f>
        <v>0</v>
      </c>
    </row>
    <row r="313" spans="1:7">
      <c r="A313" t="s">
        <v>17333</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17467</v>
      </c>
      <c r="G313">
        <f>'4I'!$F$71</f>
        <v>0</v>
      </c>
    </row>
    <row r="314" spans="1:7">
      <c r="A314" t="s">
        <v>17333</v>
      </c>
      <c r="C314" t="str">
        <f>'4I'!$AJ$71</f>
        <v>CR2009N6_FD_A</v>
      </c>
      <c r="D314" t="str">
        <f>_xlfn.CONCAT('4I'!$B$66, "-", '4I'!$B$71, "-", '4I'!$G$54, "-", '4I'!$G$53, "-", '4I'!$G$52, "-", '4I'!$G$51, "-", '4I'!$C$50)</f>
        <v>Foreign Exchange-Total-3-£m-Nominal value (net)-Total value at 31 March-Financial derivatives – (A) Super-senior swaps with breaks or accretion paydowns</v>
      </c>
      <c r="F314" t="s">
        <v>17467</v>
      </c>
      <c r="G314">
        <f>'4I'!$G$71</f>
        <v>0</v>
      </c>
    </row>
    <row r="315" spans="1:7">
      <c r="A315" t="s">
        <v>17333</v>
      </c>
      <c r="C315" t="str">
        <f>'4I'!$AK$71</f>
        <v>CR2009MM_FD_A</v>
      </c>
      <c r="D315" t="str">
        <f>_xlfn.CONCAT('4I'!$B$66, "-", '4I'!$B$71, "-", '4I'!$H$54, "-", '4I'!$H$53, "-", '4I'!$H$52, "-", '4I'!$G$51, "-", '4I'!$C$50)</f>
        <v>Foreign Exchange-Total-3-£m-Mark to Market-Total value at 31 March-Financial derivatives – (A) Super-senior swaps with breaks or accretion paydowns</v>
      </c>
      <c r="F315" t="s">
        <v>17467</v>
      </c>
      <c r="G315">
        <f>'4I'!$H$71</f>
        <v>0</v>
      </c>
    </row>
    <row r="316" spans="1:7">
      <c r="A316" t="s">
        <v>17333</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17467</v>
      </c>
      <c r="G316">
        <f>'4I'!$I$71</f>
        <v>0</v>
      </c>
    </row>
    <row r="317" spans="1:7">
      <c r="A317" t="s">
        <v>17333</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17467</v>
      </c>
      <c r="G317">
        <f>'4I'!$C$74</f>
        <v>0</v>
      </c>
    </row>
    <row r="318" spans="1:7">
      <c r="A318" t="s">
        <v>17333</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17467</v>
      </c>
      <c r="G318">
        <f>'4I'!$D$74</f>
        <v>0</v>
      </c>
    </row>
    <row r="319" spans="1:7">
      <c r="A319" t="s">
        <v>17333</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17467</v>
      </c>
      <c r="G319">
        <f>'4I'!$E$74</f>
        <v>0</v>
      </c>
    </row>
    <row r="320" spans="1:7">
      <c r="A320" t="s">
        <v>17333</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17467</v>
      </c>
      <c r="G320">
        <f>'4I'!$F$74</f>
        <v>0</v>
      </c>
    </row>
    <row r="321" spans="1:7">
      <c r="A321" t="s">
        <v>17333</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17467</v>
      </c>
      <c r="G321">
        <f>'4I'!$G$74</f>
        <v>0</v>
      </c>
    </row>
    <row r="322" spans="1:7">
      <c r="A322" t="s">
        <v>17333</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17467</v>
      </c>
      <c r="G322">
        <f>'4I'!$H$74</f>
        <v>0</v>
      </c>
    </row>
    <row r="323" spans="1:7">
      <c r="A323" t="s">
        <v>17333</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17467</v>
      </c>
      <c r="G323">
        <f>'4I'!$I$74</f>
        <v>0</v>
      </c>
    </row>
    <row r="324" spans="1:7">
      <c r="A324" t="s">
        <v>17333</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17467</v>
      </c>
      <c r="G324">
        <f>'4I'!$C$75</f>
        <v>0</v>
      </c>
    </row>
    <row r="325" spans="1:7">
      <c r="A325" t="s">
        <v>17333</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17467</v>
      </c>
      <c r="G325">
        <f>'4I'!$D$75</f>
        <v>0</v>
      </c>
    </row>
    <row r="326" spans="1:7">
      <c r="A326" t="s">
        <v>17333</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17467</v>
      </c>
      <c r="G326">
        <f>'4I'!$E$75</f>
        <v>0</v>
      </c>
    </row>
    <row r="327" spans="1:7">
      <c r="A327" t="s">
        <v>17333</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17467</v>
      </c>
      <c r="G327">
        <f>'4I'!$F$75</f>
        <v>0</v>
      </c>
    </row>
    <row r="328" spans="1:7">
      <c r="A328" t="s">
        <v>17333</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17467</v>
      </c>
      <c r="G328">
        <f>'4I'!$G$75</f>
        <v>0</v>
      </c>
    </row>
    <row r="329" spans="1:7">
      <c r="A329" t="s">
        <v>17333</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17467</v>
      </c>
      <c r="G329">
        <f>'4I'!$H$75</f>
        <v>0</v>
      </c>
    </row>
    <row r="330" spans="1:7">
      <c r="A330" t="s">
        <v>17333</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17467</v>
      </c>
      <c r="G330">
        <f>'4I'!$I$75</f>
        <v>0</v>
      </c>
    </row>
    <row r="331" spans="1:7">
      <c r="A331" t="s">
        <v>17333</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17467</v>
      </c>
      <c r="G331">
        <f>'4I'!$C$76</f>
        <v>0</v>
      </c>
    </row>
    <row r="332" spans="1:7">
      <c r="A332" t="s">
        <v>17333</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17467</v>
      </c>
      <c r="G332">
        <f>'4I'!$D$76</f>
        <v>0</v>
      </c>
    </row>
    <row r="333" spans="1:7">
      <c r="A333" t="s">
        <v>17333</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17467</v>
      </c>
      <c r="G333">
        <f>'4I'!$E$76</f>
        <v>0</v>
      </c>
    </row>
    <row r="334" spans="1:7">
      <c r="A334" t="s">
        <v>17333</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17467</v>
      </c>
      <c r="G334">
        <f>'4I'!$F$76</f>
        <v>0</v>
      </c>
    </row>
    <row r="335" spans="1:7">
      <c r="A335" t="s">
        <v>17333</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17467</v>
      </c>
      <c r="G335">
        <f>'4I'!$G$76</f>
        <v>0</v>
      </c>
    </row>
    <row r="336" spans="1:7">
      <c r="A336" t="s">
        <v>17333</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17467</v>
      </c>
      <c r="G336">
        <f>'4I'!$H$76</f>
        <v>0</v>
      </c>
    </row>
    <row r="337" spans="1:7">
      <c r="A337" t="s">
        <v>17333</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17467</v>
      </c>
      <c r="G337">
        <f>'4I'!$I$76</f>
        <v>0</v>
      </c>
    </row>
    <row r="338" spans="1:7">
      <c r="A338" t="s">
        <v>17333</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17467</v>
      </c>
      <c r="G338">
        <f>'4I'!$C$77</f>
        <v>0</v>
      </c>
    </row>
    <row r="339" spans="1:7">
      <c r="A339" t="s">
        <v>17333</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17467</v>
      </c>
      <c r="G339">
        <f>'4I'!$D$77</f>
        <v>0</v>
      </c>
    </row>
    <row r="340" spans="1:7">
      <c r="A340" t="s">
        <v>17333</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17467</v>
      </c>
      <c r="G340">
        <f>'4I'!$E$77</f>
        <v>0</v>
      </c>
    </row>
    <row r="341" spans="1:7">
      <c r="A341" t="s">
        <v>17333</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17467</v>
      </c>
      <c r="G341">
        <f>'4I'!$F$77</f>
        <v>0</v>
      </c>
    </row>
    <row r="342" spans="1:7">
      <c r="A342" t="s">
        <v>17333</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17467</v>
      </c>
      <c r="G342">
        <f>'4I'!$G$77</f>
        <v>0</v>
      </c>
    </row>
    <row r="343" spans="1:7">
      <c r="A343" t="s">
        <v>17333</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17467</v>
      </c>
      <c r="G343">
        <f>'4I'!$H$77</f>
        <v>0</v>
      </c>
    </row>
    <row r="344" spans="1:7">
      <c r="A344" t="s">
        <v>17333</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17467</v>
      </c>
      <c r="G344">
        <f>'4I'!$I$77</f>
        <v>0</v>
      </c>
    </row>
    <row r="345" spans="1:7">
      <c r="A345" t="s">
        <v>17333</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17467</v>
      </c>
      <c r="G345">
        <f>'4I'!$C$78</f>
        <v>0</v>
      </c>
    </row>
    <row r="346" spans="1:7">
      <c r="A346" t="s">
        <v>17333</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17467</v>
      </c>
      <c r="G346">
        <f>'4I'!$D$78</f>
        <v>0</v>
      </c>
    </row>
    <row r="347" spans="1:7">
      <c r="A347" t="s">
        <v>17333</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17467</v>
      </c>
      <c r="G347">
        <f>'4I'!$E$78</f>
        <v>0</v>
      </c>
    </row>
    <row r="348" spans="1:7">
      <c r="A348" t="s">
        <v>17333</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17467</v>
      </c>
      <c r="G348">
        <f>'4I'!$F$78</f>
        <v>0</v>
      </c>
    </row>
    <row r="349" spans="1:7">
      <c r="A349" t="s">
        <v>17333</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17467</v>
      </c>
      <c r="G349">
        <f>'4I'!$G$78</f>
        <v>0</v>
      </c>
    </row>
    <row r="350" spans="1:7">
      <c r="A350" t="s">
        <v>17333</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17467</v>
      </c>
      <c r="G350">
        <f>'4I'!$H$78</f>
        <v>0</v>
      </c>
    </row>
    <row r="351" spans="1:7">
      <c r="A351" t="s">
        <v>17333</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17467</v>
      </c>
      <c r="G351">
        <f>'4I'!$I$78</f>
        <v>0</v>
      </c>
    </row>
    <row r="352" spans="1:7">
      <c r="A352" t="s">
        <v>17333</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17467</v>
      </c>
      <c r="G352">
        <f>'4I'!$C$81</f>
        <v>0</v>
      </c>
    </row>
    <row r="353" spans="1:7">
      <c r="A353" t="s">
        <v>17333</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17467</v>
      </c>
      <c r="G353">
        <f>'4I'!$D$81</f>
        <v>0</v>
      </c>
    </row>
    <row r="354" spans="1:7">
      <c r="A354" t="s">
        <v>17333</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17467</v>
      </c>
      <c r="G354">
        <f>'4I'!$E$81</f>
        <v>0</v>
      </c>
    </row>
    <row r="355" spans="1:7">
      <c r="A355" t="s">
        <v>17333</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17467</v>
      </c>
      <c r="G355">
        <f>'4I'!$F$81</f>
        <v>0</v>
      </c>
    </row>
    <row r="356" spans="1:7">
      <c r="A356" t="s">
        <v>17333</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17467</v>
      </c>
      <c r="G356">
        <f>'4I'!$G$81</f>
        <v>0</v>
      </c>
    </row>
    <row r="357" spans="1:7">
      <c r="A357" t="s">
        <v>17333</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17467</v>
      </c>
      <c r="G357">
        <f>'4I'!$H$81</f>
        <v>0</v>
      </c>
    </row>
    <row r="358" spans="1:7">
      <c r="A358" t="s">
        <v>17333</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17467</v>
      </c>
      <c r="G358">
        <f>'4I'!$I$81</f>
        <v>0</v>
      </c>
    </row>
    <row r="359" spans="1:7">
      <c r="A359" t="s">
        <v>17333</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17467</v>
      </c>
      <c r="G359">
        <f>'4I'!$C$82</f>
        <v>0</v>
      </c>
    </row>
    <row r="360" spans="1:7">
      <c r="A360" t="s">
        <v>17333</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17467</v>
      </c>
      <c r="G360">
        <f>'4I'!$D$82</f>
        <v>0</v>
      </c>
    </row>
    <row r="361" spans="1:7">
      <c r="A361" t="s">
        <v>17333</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17467</v>
      </c>
      <c r="G361">
        <f>'4I'!$E$82</f>
        <v>0</v>
      </c>
    </row>
    <row r="362" spans="1:7">
      <c r="A362" t="s">
        <v>17333</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17467</v>
      </c>
      <c r="G362">
        <f>'4I'!$F$82</f>
        <v>0</v>
      </c>
    </row>
    <row r="363" spans="1:7">
      <c r="A363" t="s">
        <v>17333</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17467</v>
      </c>
      <c r="G363">
        <f>'4I'!$G$82</f>
        <v>0</v>
      </c>
    </row>
    <row r="364" spans="1:7">
      <c r="A364" t="s">
        <v>17333</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17467</v>
      </c>
      <c r="G364">
        <f>'4I'!$H$82</f>
        <v>0</v>
      </c>
    </row>
    <row r="365" spans="1:7">
      <c r="A365" t="s">
        <v>17333</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17467</v>
      </c>
      <c r="G365">
        <f>'4I'!$I$82</f>
        <v>0</v>
      </c>
    </row>
    <row r="366" spans="1:7">
      <c r="A366" t="s">
        <v>17333</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17467</v>
      </c>
      <c r="G366">
        <f>'4I'!$C$83</f>
        <v>0</v>
      </c>
    </row>
    <row r="367" spans="1:7">
      <c r="A367" t="s">
        <v>17333</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17467</v>
      </c>
      <c r="G367">
        <f>'4I'!$D$83</f>
        <v>0</v>
      </c>
    </row>
    <row r="368" spans="1:7">
      <c r="A368" t="s">
        <v>17333</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17467</v>
      </c>
      <c r="G368">
        <f>'4I'!$E$83</f>
        <v>0</v>
      </c>
    </row>
    <row r="369" spans="1:7">
      <c r="A369" t="s">
        <v>17333</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17467</v>
      </c>
      <c r="G369">
        <f>'4I'!$F$83</f>
        <v>0</v>
      </c>
    </row>
    <row r="370" spans="1:7">
      <c r="A370" t="s">
        <v>17333</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17467</v>
      </c>
      <c r="G370">
        <f>'4I'!$G$83</f>
        <v>0</v>
      </c>
    </row>
    <row r="371" spans="1:7">
      <c r="A371" t="s">
        <v>17333</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17467</v>
      </c>
      <c r="G371">
        <f>'4I'!$H$83</f>
        <v>0</v>
      </c>
    </row>
    <row r="372" spans="1:7">
      <c r="A372" t="s">
        <v>17333</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17467</v>
      </c>
      <c r="G372">
        <f>'4I'!$I$83</f>
        <v>0</v>
      </c>
    </row>
    <row r="373" spans="1:7">
      <c r="A373" t="s">
        <v>17333</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17467</v>
      </c>
      <c r="G373">
        <f>'4I'!$C$84</f>
        <v>0</v>
      </c>
    </row>
    <row r="374" spans="1:7">
      <c r="A374" t="s">
        <v>17333</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17467</v>
      </c>
      <c r="G374">
        <f>'4I'!$D$84</f>
        <v>0</v>
      </c>
    </row>
    <row r="375" spans="1:7">
      <c r="A375" t="s">
        <v>17333</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17467</v>
      </c>
      <c r="G375">
        <f>'4I'!$E$84</f>
        <v>0</v>
      </c>
    </row>
    <row r="376" spans="1:7">
      <c r="A376" t="s">
        <v>17333</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17467</v>
      </c>
      <c r="G376">
        <f>'4I'!$F$84</f>
        <v>0</v>
      </c>
    </row>
    <row r="377" spans="1:7">
      <c r="A377" t="s">
        <v>17333</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17467</v>
      </c>
      <c r="G377">
        <f>'4I'!$G$84</f>
        <v>0</v>
      </c>
    </row>
    <row r="378" spans="1:7">
      <c r="A378" t="s">
        <v>17333</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17467</v>
      </c>
      <c r="G378">
        <f>'4I'!$H$84</f>
        <v>0</v>
      </c>
    </row>
    <row r="379" spans="1:7">
      <c r="A379" t="s">
        <v>17333</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17467</v>
      </c>
      <c r="G379">
        <f>'4I'!$I$84</f>
        <v>0</v>
      </c>
    </row>
    <row r="380" spans="1:7">
      <c r="A380" t="s">
        <v>17333</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17467</v>
      </c>
      <c r="G380">
        <f>'4I'!$C$85</f>
        <v>0</v>
      </c>
    </row>
    <row r="381" spans="1:7">
      <c r="A381" t="s">
        <v>17333</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17467</v>
      </c>
      <c r="G381">
        <f>'4I'!$D$85</f>
        <v>0</v>
      </c>
    </row>
    <row r="382" spans="1:7">
      <c r="A382" t="s">
        <v>17333</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17467</v>
      </c>
      <c r="G382">
        <f>'4I'!$E$85</f>
        <v>0</v>
      </c>
    </row>
    <row r="383" spans="1:7">
      <c r="A383" t="s">
        <v>17333</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17467</v>
      </c>
      <c r="G383">
        <f>'4I'!$F$85</f>
        <v>0</v>
      </c>
    </row>
    <row r="384" spans="1:7">
      <c r="A384" t="s">
        <v>17333</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17467</v>
      </c>
      <c r="G384">
        <f>'4I'!$G$85</f>
        <v>0</v>
      </c>
    </row>
    <row r="385" spans="1:7">
      <c r="A385" t="s">
        <v>17333</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17467</v>
      </c>
      <c r="G385">
        <f>'4I'!$H$85</f>
        <v>0</v>
      </c>
    </row>
    <row r="386" spans="1:7">
      <c r="A386" t="s">
        <v>17333</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17467</v>
      </c>
      <c r="G386">
        <f>'4I'!$I$85</f>
        <v>0</v>
      </c>
    </row>
    <row r="387" spans="1:7">
      <c r="A387" t="s">
        <v>17333</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17467</v>
      </c>
      <c r="G387">
        <f>'4I'!$C$86</f>
        <v>0</v>
      </c>
    </row>
    <row r="388" spans="1:7">
      <c r="A388" t="s">
        <v>17333</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17467</v>
      </c>
      <c r="G388">
        <f>'4I'!$D$86</f>
        <v>0</v>
      </c>
    </row>
    <row r="389" spans="1:7">
      <c r="A389" t="s">
        <v>17333</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17467</v>
      </c>
      <c r="G389">
        <f>'4I'!$E$86</f>
        <v>0</v>
      </c>
    </row>
    <row r="390" spans="1:7">
      <c r="A390" t="s">
        <v>17333</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17467</v>
      </c>
      <c r="G390">
        <f>'4I'!$F$86</f>
        <v>0</v>
      </c>
    </row>
    <row r="391" spans="1:7">
      <c r="A391" t="s">
        <v>17333</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17467</v>
      </c>
      <c r="G391">
        <f>'4I'!$G$86</f>
        <v>0</v>
      </c>
    </row>
    <row r="392" spans="1:7">
      <c r="A392" t="s">
        <v>17333</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17467</v>
      </c>
      <c r="G392">
        <f>'4I'!$H$86</f>
        <v>0</v>
      </c>
    </row>
    <row r="393" spans="1:7">
      <c r="A393" t="s">
        <v>17333</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17467</v>
      </c>
      <c r="G393">
        <f>'4I'!$I$86</f>
        <v>0</v>
      </c>
    </row>
    <row r="394" spans="1:7">
      <c r="A394" t="s">
        <v>17333</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17467</v>
      </c>
      <c r="G394">
        <f>'4I'!$C$87</f>
        <v>0</v>
      </c>
    </row>
    <row r="395" spans="1:7">
      <c r="A395" t="s">
        <v>17333</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17467</v>
      </c>
      <c r="G395">
        <f>'4I'!$D$87</f>
        <v>0</v>
      </c>
    </row>
    <row r="396" spans="1:7">
      <c r="A396" t="s">
        <v>17333</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17467</v>
      </c>
      <c r="G396">
        <f>'4I'!$E$87</f>
        <v>0</v>
      </c>
    </row>
    <row r="397" spans="1:7">
      <c r="A397" t="s">
        <v>17333</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17467</v>
      </c>
      <c r="G397">
        <f>'4I'!$F$87</f>
        <v>0</v>
      </c>
    </row>
    <row r="398" spans="1:7">
      <c r="A398" t="s">
        <v>17333</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17467</v>
      </c>
      <c r="G398">
        <f>'4I'!$G$87</f>
        <v>0</v>
      </c>
    </row>
    <row r="399" spans="1:7">
      <c r="A399" t="s">
        <v>17333</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17467</v>
      </c>
      <c r="G399">
        <f>'4I'!$H$87</f>
        <v>0</v>
      </c>
    </row>
    <row r="400" spans="1:7">
      <c r="A400" t="s">
        <v>17333</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17467</v>
      </c>
      <c r="G400">
        <f>'4I'!$I$87</f>
        <v>0</v>
      </c>
    </row>
    <row r="401" spans="1:7">
      <c r="A401" t="s">
        <v>17333</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17467</v>
      </c>
      <c r="G401">
        <f>'4I'!$C$88</f>
        <v>0</v>
      </c>
    </row>
    <row r="402" spans="1:7">
      <c r="A402" t="s">
        <v>17333</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17467</v>
      </c>
      <c r="G402">
        <f>'4I'!$D$88</f>
        <v>0</v>
      </c>
    </row>
    <row r="403" spans="1:7">
      <c r="A403" t="s">
        <v>17333</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17467</v>
      </c>
      <c r="G403">
        <f>'4I'!$E$88</f>
        <v>0</v>
      </c>
    </row>
    <row r="404" spans="1:7">
      <c r="A404" t="s">
        <v>17333</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17467</v>
      </c>
      <c r="G404">
        <f>'4I'!$F$88</f>
        <v>0</v>
      </c>
    </row>
    <row r="405" spans="1:7">
      <c r="A405" t="s">
        <v>17333</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17467</v>
      </c>
      <c r="G405">
        <f>'4I'!$G$88</f>
        <v>0</v>
      </c>
    </row>
    <row r="406" spans="1:7">
      <c r="A406" t="s">
        <v>17333</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17467</v>
      </c>
      <c r="G406">
        <f>'4I'!$H$88</f>
        <v>0</v>
      </c>
    </row>
    <row r="407" spans="1:7">
      <c r="A407" t="s">
        <v>17333</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17467</v>
      </c>
      <c r="G407">
        <f>'4I'!$I$88</f>
        <v>0</v>
      </c>
    </row>
    <row r="408" spans="1:7">
      <c r="A408" t="s">
        <v>17333</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17467</v>
      </c>
      <c r="G408">
        <f>'4I'!$C$91</f>
        <v>0</v>
      </c>
    </row>
    <row r="409" spans="1:7">
      <c r="A409" t="s">
        <v>17333</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17467</v>
      </c>
      <c r="G409">
        <f>'4I'!$D$91</f>
        <v>0</v>
      </c>
    </row>
    <row r="410" spans="1:7">
      <c r="A410" t="s">
        <v>17333</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17467</v>
      </c>
      <c r="G410">
        <f>'4I'!$E$91</f>
        <v>0</v>
      </c>
    </row>
    <row r="411" spans="1:7">
      <c r="A411" t="s">
        <v>17333</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17467</v>
      </c>
      <c r="G411">
        <f>'4I'!$F$91</f>
        <v>0</v>
      </c>
    </row>
    <row r="412" spans="1:7">
      <c r="A412" t="s">
        <v>17333</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17467</v>
      </c>
      <c r="G412">
        <f>'4I'!$G$91</f>
        <v>0</v>
      </c>
    </row>
    <row r="413" spans="1:7">
      <c r="A413" t="s">
        <v>17333</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17467</v>
      </c>
      <c r="G413">
        <f>'4I'!$H$91</f>
        <v>0</v>
      </c>
    </row>
    <row r="414" spans="1:7">
      <c r="A414" t="s">
        <v>17333</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17467</v>
      </c>
      <c r="G414">
        <f>'4I'!$I$91</f>
        <v>0</v>
      </c>
    </row>
    <row r="415" spans="1:7">
      <c r="A415" t="s">
        <v>17333</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17467</v>
      </c>
      <c r="G415">
        <f>'4I'!$C$93</f>
        <v>0</v>
      </c>
    </row>
    <row r="416" spans="1:7">
      <c r="A416" t="s">
        <v>17333</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17467</v>
      </c>
      <c r="G416">
        <f>'4I'!$D$93</f>
        <v>0</v>
      </c>
    </row>
    <row r="417" spans="1:7">
      <c r="A417" t="s">
        <v>17333</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17467</v>
      </c>
      <c r="G417">
        <f>'4I'!$E$93</f>
        <v>0</v>
      </c>
    </row>
    <row r="418" spans="1:7">
      <c r="A418" t="s">
        <v>17333</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17467</v>
      </c>
      <c r="G418">
        <f>'4I'!$F$93</f>
        <v>438.48399999999998</v>
      </c>
    </row>
    <row r="419" spans="1:7">
      <c r="A419" t="s">
        <v>17333</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17467</v>
      </c>
      <c r="G419">
        <f>'4I'!$G$93</f>
        <v>438.48399999999998</v>
      </c>
    </row>
    <row r="420" spans="1:7">
      <c r="A420" t="s">
        <v>17333</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17467</v>
      </c>
      <c r="G420">
        <f>'4I'!$H$93</f>
        <v>50.524999999999999</v>
      </c>
    </row>
    <row r="421" spans="1:7">
      <c r="A421" t="s">
        <v>17333</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17467</v>
      </c>
      <c r="G421">
        <f>'4I'!$I$93</f>
        <v>0</v>
      </c>
    </row>
    <row r="422" spans="1:7">
      <c r="A422" t="s">
        <v>17333</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17467</v>
      </c>
      <c r="G422">
        <f>'4I'!$C$102</f>
        <v>0</v>
      </c>
    </row>
    <row r="423" spans="1:7">
      <c r="A423" t="s">
        <v>17333</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17467</v>
      </c>
      <c r="G423">
        <f>'4I'!$D$102</f>
        <v>0</v>
      </c>
    </row>
    <row r="424" spans="1:7">
      <c r="A424" t="s">
        <v>17333</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17467</v>
      </c>
      <c r="G424">
        <f>'4I'!$E$102</f>
        <v>0</v>
      </c>
    </row>
    <row r="425" spans="1:7">
      <c r="A425" t="s">
        <v>17333</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17467</v>
      </c>
      <c r="G425">
        <f>'4I'!$F$102</f>
        <v>0</v>
      </c>
    </row>
    <row r="426" spans="1:7">
      <c r="A426" t="s">
        <v>17333</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17467</v>
      </c>
      <c r="G426">
        <f>'4I'!$G$102</f>
        <v>0</v>
      </c>
    </row>
    <row r="427" spans="1:7">
      <c r="A427" t="s">
        <v>17333</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17467</v>
      </c>
      <c r="G427">
        <f>'4I'!$H$102</f>
        <v>0</v>
      </c>
    </row>
    <row r="428" spans="1:7">
      <c r="A428" t="s">
        <v>17333</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17467</v>
      </c>
      <c r="G428">
        <f>'4I'!$I$102</f>
        <v>0</v>
      </c>
    </row>
    <row r="429" spans="1:7">
      <c r="A429" t="s">
        <v>17333</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17467</v>
      </c>
      <c r="G429">
        <f>'4I'!$J$102</f>
        <v>0</v>
      </c>
    </row>
    <row r="430" spans="1:7">
      <c r="A430" t="s">
        <v>17333</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17467</v>
      </c>
      <c r="G430">
        <f>'4I'!$K$102</f>
        <v>0</v>
      </c>
    </row>
    <row r="431" spans="1:7">
      <c r="A431" t="s">
        <v>17333</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17467</v>
      </c>
      <c r="G431">
        <f>'4I'!$C$103</f>
        <v>0</v>
      </c>
    </row>
    <row r="432" spans="1:7">
      <c r="A432" t="s">
        <v>17333</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17467</v>
      </c>
      <c r="G432">
        <f>'4I'!$D$103</f>
        <v>0</v>
      </c>
    </row>
    <row r="433" spans="1:7">
      <c r="A433" t="s">
        <v>17333</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17467</v>
      </c>
      <c r="G433">
        <f>'4I'!$E$103</f>
        <v>0</v>
      </c>
    </row>
    <row r="434" spans="1:7">
      <c r="A434" t="s">
        <v>17333</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17467</v>
      </c>
      <c r="G434">
        <f>'4I'!$F$103</f>
        <v>0</v>
      </c>
    </row>
    <row r="435" spans="1:7">
      <c r="A435" t="s">
        <v>17333</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17467</v>
      </c>
      <c r="G435">
        <f>'4I'!$G$103</f>
        <v>0</v>
      </c>
    </row>
    <row r="436" spans="1:7">
      <c r="A436" t="s">
        <v>17333</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17467</v>
      </c>
      <c r="G436">
        <f>'4I'!$H$103</f>
        <v>0</v>
      </c>
    </row>
    <row r="437" spans="1:7">
      <c r="A437" t="s">
        <v>17333</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17467</v>
      </c>
      <c r="G437">
        <f>'4I'!$I$103</f>
        <v>0</v>
      </c>
    </row>
    <row r="438" spans="1:7">
      <c r="A438" t="s">
        <v>17333</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17467</v>
      </c>
      <c r="G438">
        <f>'4I'!$J$103</f>
        <v>0</v>
      </c>
    </row>
    <row r="439" spans="1:7">
      <c r="A439" t="s">
        <v>17333</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17467</v>
      </c>
      <c r="G439">
        <f>'4I'!$K$103</f>
        <v>0</v>
      </c>
    </row>
    <row r="440" spans="1:7">
      <c r="A440" t="s">
        <v>17333</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17467</v>
      </c>
      <c r="G440">
        <f>'4I'!$C$104</f>
        <v>0</v>
      </c>
    </row>
    <row r="441" spans="1:7">
      <c r="A441" t="s">
        <v>17333</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17467</v>
      </c>
      <c r="G441">
        <f>'4I'!$D$104</f>
        <v>0</v>
      </c>
    </row>
    <row r="442" spans="1:7">
      <c r="A442" t="s">
        <v>17333</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17467</v>
      </c>
      <c r="G442">
        <f>'4I'!$E$104</f>
        <v>0</v>
      </c>
    </row>
    <row r="443" spans="1:7">
      <c r="A443" t="s">
        <v>17333</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17467</v>
      </c>
      <c r="G443">
        <f>'4I'!$F$104</f>
        <v>0</v>
      </c>
    </row>
    <row r="444" spans="1:7">
      <c r="A444" t="s">
        <v>17333</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17467</v>
      </c>
      <c r="G444">
        <f>'4I'!$G$104</f>
        <v>0</v>
      </c>
    </row>
    <row r="445" spans="1:7">
      <c r="A445" t="s">
        <v>17333</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17467</v>
      </c>
      <c r="G445">
        <f>'4I'!$H$104</f>
        <v>0</v>
      </c>
    </row>
    <row r="446" spans="1:7">
      <c r="A446" t="s">
        <v>17333</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17467</v>
      </c>
      <c r="G446">
        <f>'4I'!$I$104</f>
        <v>0</v>
      </c>
    </row>
    <row r="447" spans="1:7">
      <c r="A447" t="s">
        <v>17333</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17467</v>
      </c>
      <c r="G447">
        <f>'4I'!$J$104</f>
        <v>0</v>
      </c>
    </row>
    <row r="448" spans="1:7">
      <c r="A448" t="s">
        <v>17333</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17467</v>
      </c>
      <c r="G448">
        <f>'4I'!$K$104</f>
        <v>0</v>
      </c>
    </row>
    <row r="449" spans="1:7">
      <c r="A449" t="s">
        <v>17333</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17467</v>
      </c>
      <c r="G449">
        <f>'4I'!$C$105</f>
        <v>0</v>
      </c>
    </row>
    <row r="450" spans="1:7">
      <c r="A450" t="s">
        <v>17333</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17467</v>
      </c>
      <c r="G450">
        <f>'4I'!$D$105</f>
        <v>0</v>
      </c>
    </row>
    <row r="451" spans="1:7">
      <c r="A451" t="s">
        <v>17333</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17467</v>
      </c>
      <c r="G451">
        <f>'4I'!$E$105</f>
        <v>0</v>
      </c>
    </row>
    <row r="452" spans="1:7">
      <c r="A452" t="s">
        <v>17333</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17467</v>
      </c>
      <c r="G452">
        <f>'4I'!$F$105</f>
        <v>0</v>
      </c>
    </row>
    <row r="453" spans="1:7">
      <c r="A453" t="s">
        <v>17333</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17467</v>
      </c>
      <c r="G453">
        <f>'4I'!$G$105</f>
        <v>0</v>
      </c>
    </row>
    <row r="454" spans="1:7">
      <c r="A454" t="s">
        <v>17333</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17467</v>
      </c>
      <c r="G454">
        <f>'4I'!$H$105</f>
        <v>0</v>
      </c>
    </row>
    <row r="455" spans="1:7">
      <c r="A455" t="s">
        <v>17333</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17467</v>
      </c>
      <c r="G455">
        <f>'4I'!$I$105</f>
        <v>0</v>
      </c>
    </row>
    <row r="456" spans="1:7">
      <c r="A456" t="s">
        <v>17333</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17467</v>
      </c>
      <c r="G456">
        <f>'4I'!$J$105</f>
        <v>0</v>
      </c>
    </row>
    <row r="457" spans="1:7">
      <c r="A457" t="s">
        <v>17333</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17467</v>
      </c>
      <c r="G457">
        <f>'4I'!$K$105</f>
        <v>0</v>
      </c>
    </row>
    <row r="458" spans="1:7">
      <c r="A458" t="s">
        <v>17333</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17467</v>
      </c>
      <c r="G458">
        <f>'4I'!$C$106</f>
        <v>0</v>
      </c>
    </row>
    <row r="459" spans="1:7">
      <c r="A459" t="s">
        <v>17333</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17467</v>
      </c>
      <c r="G459">
        <f>'4I'!$D$106</f>
        <v>0</v>
      </c>
    </row>
    <row r="460" spans="1:7">
      <c r="A460" t="s">
        <v>17333</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17467</v>
      </c>
      <c r="G460">
        <f>'4I'!$E$106</f>
        <v>0</v>
      </c>
    </row>
    <row r="461" spans="1:7">
      <c r="A461" t="s">
        <v>17333</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17467</v>
      </c>
      <c r="G461">
        <f>'4I'!$F$106</f>
        <v>0</v>
      </c>
    </row>
    <row r="462" spans="1:7">
      <c r="A462" t="s">
        <v>17333</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17467</v>
      </c>
      <c r="G462">
        <f>'4I'!$G$106</f>
        <v>0</v>
      </c>
    </row>
    <row r="463" spans="1:7">
      <c r="A463" t="s">
        <v>17333</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17467</v>
      </c>
      <c r="G463">
        <f>'4I'!$H$106</f>
        <v>0</v>
      </c>
    </row>
    <row r="464" spans="1:7">
      <c r="A464" t="s">
        <v>17333</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17467</v>
      </c>
      <c r="G464">
        <f>'4I'!$I$106</f>
        <v>0</v>
      </c>
    </row>
    <row r="465" spans="1:7">
      <c r="A465" t="s">
        <v>17333</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17467</v>
      </c>
      <c r="G465">
        <f>'4I'!$J$106</f>
        <v>0</v>
      </c>
    </row>
    <row r="466" spans="1:7">
      <c r="A466" t="s">
        <v>17333</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17467</v>
      </c>
      <c r="G466">
        <f>'4I'!$K$106</f>
        <v>0</v>
      </c>
    </row>
    <row r="467" spans="1:7">
      <c r="A467" t="s">
        <v>17333</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17467</v>
      </c>
      <c r="G467">
        <f>'4I'!$C$107</f>
        <v>0</v>
      </c>
    </row>
    <row r="468" spans="1:7">
      <c r="A468" t="s">
        <v>17333</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17467</v>
      </c>
      <c r="G468">
        <f>'4I'!$D$107</f>
        <v>0</v>
      </c>
    </row>
    <row r="469" spans="1:7">
      <c r="A469" t="s">
        <v>17333</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17467</v>
      </c>
      <c r="G469">
        <f>'4I'!$E$107</f>
        <v>0</v>
      </c>
    </row>
    <row r="470" spans="1:7">
      <c r="A470" t="s">
        <v>17333</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17467</v>
      </c>
      <c r="G470">
        <f>'4I'!$F$107</f>
        <v>0</v>
      </c>
    </row>
    <row r="471" spans="1:7">
      <c r="A471" t="s">
        <v>17333</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17467</v>
      </c>
      <c r="G471">
        <f>'4I'!$G$107</f>
        <v>0</v>
      </c>
    </row>
    <row r="472" spans="1:7">
      <c r="A472" t="s">
        <v>17333</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17467</v>
      </c>
      <c r="G472">
        <f>'4I'!$H$107</f>
        <v>0</v>
      </c>
    </row>
    <row r="473" spans="1:7">
      <c r="A473" t="s">
        <v>17333</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17467</v>
      </c>
      <c r="G473">
        <f>'4I'!$I$107</f>
        <v>0</v>
      </c>
    </row>
    <row r="474" spans="1:7">
      <c r="A474" t="s">
        <v>17333</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17467</v>
      </c>
      <c r="G474">
        <f>'4I'!$J$107</f>
        <v>0</v>
      </c>
    </row>
    <row r="475" spans="1:7">
      <c r="A475" t="s">
        <v>17333</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17467</v>
      </c>
      <c r="G475">
        <f>'4I'!$K$107</f>
        <v>0</v>
      </c>
    </row>
    <row r="476" spans="1:7">
      <c r="A476" t="s">
        <v>17333</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17467</v>
      </c>
      <c r="G476">
        <f>'4I'!$C$108</f>
        <v>0</v>
      </c>
    </row>
    <row r="477" spans="1:7">
      <c r="A477" t="s">
        <v>17333</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17467</v>
      </c>
      <c r="G477">
        <f>'4I'!$D$108</f>
        <v>0</v>
      </c>
    </row>
    <row r="478" spans="1:7">
      <c r="A478" t="s">
        <v>17333</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17467</v>
      </c>
      <c r="G478">
        <f>'4I'!$E$108</f>
        <v>0</v>
      </c>
    </row>
    <row r="479" spans="1:7">
      <c r="A479" t="s">
        <v>17333</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17467</v>
      </c>
      <c r="G479">
        <f>'4I'!$F$108</f>
        <v>0</v>
      </c>
    </row>
    <row r="480" spans="1:7">
      <c r="A480" t="s">
        <v>17333</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17467</v>
      </c>
      <c r="G480">
        <f>'4I'!$G$108</f>
        <v>0</v>
      </c>
    </row>
    <row r="481" spans="1:7">
      <c r="A481" t="s">
        <v>17333</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17467</v>
      </c>
      <c r="G481">
        <f>'4I'!$H$108</f>
        <v>0</v>
      </c>
    </row>
    <row r="482" spans="1:7">
      <c r="A482" t="s">
        <v>17333</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17467</v>
      </c>
      <c r="G482">
        <f>'4I'!$I$108</f>
        <v>0</v>
      </c>
    </row>
    <row r="483" spans="1:7">
      <c r="A483" t="s">
        <v>17333</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17467</v>
      </c>
      <c r="G483">
        <f>'4I'!$J$108</f>
        <v>0</v>
      </c>
    </row>
    <row r="484" spans="1:7">
      <c r="A484" t="s">
        <v>17333</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17467</v>
      </c>
      <c r="G484">
        <f>'4I'!$K$108</f>
        <v>0</v>
      </c>
    </row>
    <row r="485" spans="1:7">
      <c r="A485" t="s">
        <v>17333</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17467</v>
      </c>
      <c r="G485">
        <f>'4I'!$C$109</f>
        <v>0</v>
      </c>
    </row>
    <row r="486" spans="1:7">
      <c r="A486" t="s">
        <v>17333</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17467</v>
      </c>
      <c r="G486">
        <f>'4I'!$D$109</f>
        <v>0</v>
      </c>
    </row>
    <row r="487" spans="1:7">
      <c r="A487" t="s">
        <v>17333</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17467</v>
      </c>
      <c r="G487">
        <f>'4I'!$E$109</f>
        <v>0</v>
      </c>
    </row>
    <row r="488" spans="1:7">
      <c r="A488" t="s">
        <v>17333</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17467</v>
      </c>
      <c r="G488">
        <f>'4I'!$F$109</f>
        <v>0</v>
      </c>
    </row>
    <row r="489" spans="1:7">
      <c r="A489" t="s">
        <v>17333</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17467</v>
      </c>
      <c r="G489">
        <f>'4I'!$G$109</f>
        <v>0</v>
      </c>
    </row>
    <row r="490" spans="1:7">
      <c r="A490" t="s">
        <v>17333</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17467</v>
      </c>
      <c r="G490">
        <f>'4I'!$H$109</f>
        <v>0</v>
      </c>
    </row>
    <row r="491" spans="1:7">
      <c r="A491" t="s">
        <v>17333</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17467</v>
      </c>
      <c r="G491">
        <f>'4I'!$I$109</f>
        <v>0</v>
      </c>
    </row>
    <row r="492" spans="1:7">
      <c r="A492" t="s">
        <v>17333</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17467</v>
      </c>
      <c r="G492">
        <f>'4I'!$C$112</f>
        <v>0</v>
      </c>
    </row>
    <row r="493" spans="1:7">
      <c r="A493" t="s">
        <v>17333</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17467</v>
      </c>
      <c r="G493">
        <f>'4I'!$D$112</f>
        <v>0</v>
      </c>
    </row>
    <row r="494" spans="1:7">
      <c r="A494" t="s">
        <v>17333</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17467</v>
      </c>
      <c r="G494">
        <f>'4I'!$E$112</f>
        <v>0</v>
      </c>
    </row>
    <row r="495" spans="1:7">
      <c r="A495" t="s">
        <v>17333</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17467</v>
      </c>
      <c r="G495">
        <f>'4I'!$F$112</f>
        <v>0</v>
      </c>
    </row>
    <row r="496" spans="1:7">
      <c r="A496" t="s">
        <v>17333</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17467</v>
      </c>
      <c r="G496">
        <f>'4I'!$G$112</f>
        <v>0</v>
      </c>
    </row>
    <row r="497" spans="1:7">
      <c r="A497" t="s">
        <v>17333</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17467</v>
      </c>
      <c r="G497">
        <f>'4I'!$H$112</f>
        <v>0</v>
      </c>
    </row>
    <row r="498" spans="1:7">
      <c r="A498" t="s">
        <v>17333</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17467</v>
      </c>
      <c r="G498">
        <f>'4I'!$I$112</f>
        <v>0</v>
      </c>
    </row>
    <row r="499" spans="1:7">
      <c r="A499" t="s">
        <v>17333</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17467</v>
      </c>
      <c r="G499">
        <f>'4I'!$C$113</f>
        <v>0</v>
      </c>
    </row>
    <row r="500" spans="1:7">
      <c r="A500" t="s">
        <v>17333</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17467</v>
      </c>
      <c r="G500">
        <f>'4I'!$D$113</f>
        <v>0</v>
      </c>
    </row>
    <row r="501" spans="1:7">
      <c r="A501" t="s">
        <v>17333</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17467</v>
      </c>
      <c r="G501">
        <f>'4I'!$E$113</f>
        <v>0</v>
      </c>
    </row>
    <row r="502" spans="1:7">
      <c r="A502" t="s">
        <v>17333</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17467</v>
      </c>
      <c r="G502">
        <f>'4I'!$F$113</f>
        <v>0</v>
      </c>
    </row>
    <row r="503" spans="1:7">
      <c r="A503" t="s">
        <v>17333</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17467</v>
      </c>
      <c r="G503">
        <f>'4I'!$G$113</f>
        <v>0</v>
      </c>
    </row>
    <row r="504" spans="1:7">
      <c r="A504" t="s">
        <v>17333</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17467</v>
      </c>
      <c r="G504">
        <f>'4I'!$H$113</f>
        <v>0</v>
      </c>
    </row>
    <row r="505" spans="1:7">
      <c r="A505" t="s">
        <v>17333</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17467</v>
      </c>
      <c r="G505">
        <f>'4I'!$I$113</f>
        <v>0</v>
      </c>
    </row>
    <row r="506" spans="1:7">
      <c r="A506" t="s">
        <v>17333</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17467</v>
      </c>
      <c r="G506">
        <f>'4I'!$C$114</f>
        <v>0</v>
      </c>
    </row>
    <row r="507" spans="1:7">
      <c r="A507" t="s">
        <v>17333</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17467</v>
      </c>
      <c r="G507">
        <f>'4I'!$D$114</f>
        <v>0</v>
      </c>
    </row>
    <row r="508" spans="1:7">
      <c r="A508" t="s">
        <v>17333</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17467</v>
      </c>
      <c r="G508">
        <f>'4I'!$E$114</f>
        <v>0</v>
      </c>
    </row>
    <row r="509" spans="1:7">
      <c r="A509" t="s">
        <v>17333</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17467</v>
      </c>
      <c r="G509">
        <f>'4I'!$F$114</f>
        <v>0</v>
      </c>
    </row>
    <row r="510" spans="1:7">
      <c r="A510" t="s">
        <v>17333</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17467</v>
      </c>
      <c r="G510">
        <f>'4I'!$G$114</f>
        <v>0</v>
      </c>
    </row>
    <row r="511" spans="1:7">
      <c r="A511" t="s">
        <v>17333</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17467</v>
      </c>
      <c r="G511">
        <f>'4I'!$H$114</f>
        <v>0</v>
      </c>
    </row>
    <row r="512" spans="1:7">
      <c r="A512" t="s">
        <v>17333</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17467</v>
      </c>
      <c r="G512">
        <f>'4I'!$I$114</f>
        <v>0</v>
      </c>
    </row>
    <row r="513" spans="1:7">
      <c r="A513" t="s">
        <v>17333</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17467</v>
      </c>
      <c r="G513">
        <f>'4I'!$C$115</f>
        <v>0</v>
      </c>
    </row>
    <row r="514" spans="1:7">
      <c r="A514" t="s">
        <v>17333</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17467</v>
      </c>
      <c r="G514">
        <f>'4I'!$D$115</f>
        <v>0</v>
      </c>
    </row>
    <row r="515" spans="1:7">
      <c r="A515" t="s">
        <v>17333</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17467</v>
      </c>
      <c r="G515">
        <f>'4I'!$E$115</f>
        <v>0</v>
      </c>
    </row>
    <row r="516" spans="1:7">
      <c r="A516" t="s">
        <v>17333</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17467</v>
      </c>
      <c r="G516">
        <f>'4I'!$F$115</f>
        <v>0</v>
      </c>
    </row>
    <row r="517" spans="1:7">
      <c r="A517" t="s">
        <v>17333</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17467</v>
      </c>
      <c r="G517">
        <f>'4I'!$G$115</f>
        <v>0</v>
      </c>
    </row>
    <row r="518" spans="1:7">
      <c r="A518" t="s">
        <v>17333</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17467</v>
      </c>
      <c r="G518">
        <f>'4I'!$H$115</f>
        <v>0</v>
      </c>
    </row>
    <row r="519" spans="1:7">
      <c r="A519" t="s">
        <v>17333</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17467</v>
      </c>
      <c r="G519">
        <f>'4I'!$I$115</f>
        <v>0</v>
      </c>
    </row>
    <row r="520" spans="1:7">
      <c r="A520" t="s">
        <v>17333</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17467</v>
      </c>
      <c r="G520">
        <f>'4I'!$C$116</f>
        <v>0</v>
      </c>
    </row>
    <row r="521" spans="1:7">
      <c r="A521" t="s">
        <v>17333</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17467</v>
      </c>
      <c r="G521">
        <f>'4I'!$D$116</f>
        <v>0</v>
      </c>
    </row>
    <row r="522" spans="1:7">
      <c r="A522" t="s">
        <v>17333</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17467</v>
      </c>
      <c r="G522">
        <f>'4I'!$E$116</f>
        <v>0</v>
      </c>
    </row>
    <row r="523" spans="1:7">
      <c r="A523" t="s">
        <v>17333</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17467</v>
      </c>
      <c r="G523">
        <f>'4I'!$F$116</f>
        <v>0</v>
      </c>
    </row>
    <row r="524" spans="1:7">
      <c r="A524" t="s">
        <v>17333</v>
      </c>
      <c r="C524" t="str">
        <f>'4I'!$AJ$116</f>
        <v>CR2009N6_FD_B</v>
      </c>
      <c r="D524" t="str">
        <f>_xlfn.CONCAT('4I'!$B$111, "-", '4I'!$B$116, "-", '4I'!$G$99, "-", '4I'!$G$98, "-", '4I'!$G$97, "-", '4I'!$G$96, "-", '4I'!$C$95)</f>
        <v>Foreign Exchange-Total-3-£m-Nominal value (net)-Total value at 31 March-Financial derivatives – (B) Pari-passu swaps with breaks or accretion paydowns</v>
      </c>
      <c r="F524" t="s">
        <v>17467</v>
      </c>
      <c r="G524">
        <f>'4I'!$G$116</f>
        <v>0</v>
      </c>
    </row>
    <row r="525" spans="1:7">
      <c r="A525" t="s">
        <v>17333</v>
      </c>
      <c r="C525" t="str">
        <f>'4I'!$AK$116</f>
        <v>CR2009MM_FD_B</v>
      </c>
      <c r="D525" t="str">
        <f>_xlfn.CONCAT('4I'!$B$111, "-", '4I'!$B$116, "-", '4I'!$H$99, "-", '4I'!$H$98, "-", '4I'!$H$97, "-", '4I'!$G$96, "-", '4I'!$C$95)</f>
        <v>Foreign Exchange-Total-3-£m-Mark to Market-Total value at 31 March-Financial derivatives – (B) Pari-passu swaps with breaks or accretion paydowns</v>
      </c>
      <c r="F525" t="s">
        <v>17467</v>
      </c>
      <c r="G525">
        <f>'4I'!$H$116</f>
        <v>0</v>
      </c>
    </row>
    <row r="526" spans="1:7">
      <c r="A526" t="s">
        <v>17333</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17467</v>
      </c>
      <c r="G526">
        <f>'4I'!$I$116</f>
        <v>0</v>
      </c>
    </row>
    <row r="527" spans="1:7">
      <c r="A527" t="s">
        <v>17333</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17467</v>
      </c>
      <c r="G527">
        <f>'4I'!$C$119</f>
        <v>0</v>
      </c>
    </row>
    <row r="528" spans="1:7">
      <c r="A528" t="s">
        <v>17333</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17467</v>
      </c>
      <c r="G528">
        <f>'4I'!$D$119</f>
        <v>0</v>
      </c>
    </row>
    <row r="529" spans="1:7">
      <c r="A529" t="s">
        <v>17333</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17467</v>
      </c>
      <c r="G529">
        <f>'4I'!$E$119</f>
        <v>0</v>
      </c>
    </row>
    <row r="530" spans="1:7">
      <c r="A530" t="s">
        <v>17333</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17467</v>
      </c>
      <c r="G530">
        <f>'4I'!$F$119</f>
        <v>0</v>
      </c>
    </row>
    <row r="531" spans="1:7">
      <c r="A531" t="s">
        <v>17333</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17467</v>
      </c>
      <c r="G531">
        <f>'4I'!$G$119</f>
        <v>0</v>
      </c>
    </row>
    <row r="532" spans="1:7">
      <c r="A532" t="s">
        <v>17333</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17467</v>
      </c>
      <c r="G532">
        <f>'4I'!$H$119</f>
        <v>0</v>
      </c>
    </row>
    <row r="533" spans="1:7">
      <c r="A533" t="s">
        <v>17333</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17467</v>
      </c>
      <c r="G533">
        <f>'4I'!$I$119</f>
        <v>0</v>
      </c>
    </row>
    <row r="534" spans="1:7">
      <c r="A534" t="s">
        <v>17333</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17467</v>
      </c>
      <c r="G534">
        <f>'4I'!$C$120</f>
        <v>0</v>
      </c>
    </row>
    <row r="535" spans="1:7">
      <c r="A535" t="s">
        <v>17333</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17467</v>
      </c>
      <c r="G535">
        <f>'4I'!$D$120</f>
        <v>0</v>
      </c>
    </row>
    <row r="536" spans="1:7">
      <c r="A536" t="s">
        <v>17333</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17467</v>
      </c>
      <c r="G536">
        <f>'4I'!$E$120</f>
        <v>0</v>
      </c>
    </row>
    <row r="537" spans="1:7">
      <c r="A537" t="s">
        <v>17333</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17467</v>
      </c>
      <c r="G537">
        <f>'4I'!$F$120</f>
        <v>0</v>
      </c>
    </row>
    <row r="538" spans="1:7">
      <c r="A538" t="s">
        <v>17333</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17467</v>
      </c>
      <c r="G538">
        <f>'4I'!$G$120</f>
        <v>0</v>
      </c>
    </row>
    <row r="539" spans="1:7">
      <c r="A539" t="s">
        <v>17333</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17467</v>
      </c>
      <c r="G539">
        <f>'4I'!$H$120</f>
        <v>0</v>
      </c>
    </row>
    <row r="540" spans="1:7">
      <c r="A540" t="s">
        <v>17333</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17467</v>
      </c>
      <c r="G540">
        <f>'4I'!$I$120</f>
        <v>0</v>
      </c>
    </row>
    <row r="541" spans="1:7">
      <c r="A541" t="s">
        <v>17333</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17467</v>
      </c>
      <c r="G541">
        <f>'4I'!$C$121</f>
        <v>0</v>
      </c>
    </row>
    <row r="542" spans="1:7">
      <c r="A542" t="s">
        <v>17333</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17467</v>
      </c>
      <c r="G542">
        <f>'4I'!$D$121</f>
        <v>0</v>
      </c>
    </row>
    <row r="543" spans="1:7">
      <c r="A543" t="s">
        <v>17333</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17467</v>
      </c>
      <c r="G543">
        <f>'4I'!$E$121</f>
        <v>0</v>
      </c>
    </row>
    <row r="544" spans="1:7">
      <c r="A544" t="s">
        <v>17333</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17467</v>
      </c>
      <c r="G544">
        <f>'4I'!$F$121</f>
        <v>0</v>
      </c>
    </row>
    <row r="545" spans="1:7">
      <c r="A545" t="s">
        <v>17333</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17467</v>
      </c>
      <c r="G545">
        <f>'4I'!$G$121</f>
        <v>0</v>
      </c>
    </row>
    <row r="546" spans="1:7">
      <c r="A546" t="s">
        <v>17333</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17467</v>
      </c>
      <c r="G546">
        <f>'4I'!$H$121</f>
        <v>0</v>
      </c>
    </row>
    <row r="547" spans="1:7">
      <c r="A547" t="s">
        <v>17333</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17467</v>
      </c>
      <c r="G547">
        <f>'4I'!$I$121</f>
        <v>0</v>
      </c>
    </row>
    <row r="548" spans="1:7">
      <c r="A548" t="s">
        <v>17333</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17467</v>
      </c>
      <c r="G548">
        <f>'4I'!$C$122</f>
        <v>0</v>
      </c>
    </row>
    <row r="549" spans="1:7">
      <c r="A549" t="s">
        <v>17333</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17467</v>
      </c>
      <c r="G549">
        <f>'4I'!$D$122</f>
        <v>0</v>
      </c>
    </row>
    <row r="550" spans="1:7">
      <c r="A550" t="s">
        <v>17333</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17467</v>
      </c>
      <c r="G550">
        <f>'4I'!$E$122</f>
        <v>0</v>
      </c>
    </row>
    <row r="551" spans="1:7">
      <c r="A551" t="s">
        <v>17333</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17467</v>
      </c>
      <c r="G551">
        <f>'4I'!$F$122</f>
        <v>0</v>
      </c>
    </row>
    <row r="552" spans="1:7">
      <c r="A552" t="s">
        <v>17333</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17467</v>
      </c>
      <c r="G552">
        <f>'4I'!$G$122</f>
        <v>0</v>
      </c>
    </row>
    <row r="553" spans="1:7">
      <c r="A553" t="s">
        <v>17333</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17467</v>
      </c>
      <c r="G553">
        <f>'4I'!$H$122</f>
        <v>0</v>
      </c>
    </row>
    <row r="554" spans="1:7">
      <c r="A554" t="s">
        <v>17333</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17467</v>
      </c>
      <c r="G554">
        <f>'4I'!$I$122</f>
        <v>0</v>
      </c>
    </row>
    <row r="555" spans="1:7">
      <c r="A555" t="s">
        <v>17333</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17467</v>
      </c>
      <c r="G555">
        <f>'4I'!$C$123</f>
        <v>0</v>
      </c>
    </row>
    <row r="556" spans="1:7">
      <c r="A556" t="s">
        <v>17333</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17467</v>
      </c>
      <c r="G556">
        <f>'4I'!$D$123</f>
        <v>0</v>
      </c>
    </row>
    <row r="557" spans="1:7">
      <c r="A557" t="s">
        <v>17333</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17467</v>
      </c>
      <c r="G557">
        <f>'4I'!$E$123</f>
        <v>0</v>
      </c>
    </row>
    <row r="558" spans="1:7">
      <c r="A558" t="s">
        <v>17333</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17467</v>
      </c>
      <c r="G558">
        <f>'4I'!$F$123</f>
        <v>0</v>
      </c>
    </row>
    <row r="559" spans="1:7">
      <c r="A559" t="s">
        <v>17333</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17467</v>
      </c>
      <c r="G559">
        <f>'4I'!$G$123</f>
        <v>0</v>
      </c>
    </row>
    <row r="560" spans="1:7">
      <c r="A560" t="s">
        <v>17333</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17467</v>
      </c>
      <c r="G560">
        <f>'4I'!$H$123</f>
        <v>0</v>
      </c>
    </row>
    <row r="561" spans="1:7">
      <c r="A561" t="s">
        <v>17333</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17467</v>
      </c>
      <c r="G561">
        <f>'4I'!$I$123</f>
        <v>0</v>
      </c>
    </row>
    <row r="562" spans="1:7">
      <c r="A562" t="s">
        <v>17333</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17467</v>
      </c>
      <c r="G562">
        <f>'4I'!$C$126</f>
        <v>0</v>
      </c>
    </row>
    <row r="563" spans="1:7">
      <c r="A563" t="s">
        <v>17333</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17467</v>
      </c>
      <c r="G563">
        <f>'4I'!$D$126</f>
        <v>0</v>
      </c>
    </row>
    <row r="564" spans="1:7">
      <c r="A564" t="s">
        <v>17333</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17467</v>
      </c>
      <c r="G564">
        <f>'4I'!$E$126</f>
        <v>0</v>
      </c>
    </row>
    <row r="565" spans="1:7">
      <c r="A565" t="s">
        <v>17333</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17467</v>
      </c>
      <c r="G565">
        <f>'4I'!$F$126</f>
        <v>0</v>
      </c>
    </row>
    <row r="566" spans="1:7">
      <c r="A566" t="s">
        <v>17333</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17467</v>
      </c>
      <c r="G566">
        <f>'4I'!$G$126</f>
        <v>0</v>
      </c>
    </row>
    <row r="567" spans="1:7">
      <c r="A567" t="s">
        <v>17333</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17467</v>
      </c>
      <c r="G567">
        <f>'4I'!$H$126</f>
        <v>0</v>
      </c>
    </row>
    <row r="568" spans="1:7">
      <c r="A568" t="s">
        <v>17333</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17467</v>
      </c>
      <c r="G568">
        <f>'4I'!$I$126</f>
        <v>0</v>
      </c>
    </row>
    <row r="569" spans="1:7">
      <c r="A569" t="s">
        <v>17333</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17467</v>
      </c>
      <c r="G569">
        <f>'4I'!$C$127</f>
        <v>0</v>
      </c>
    </row>
    <row r="570" spans="1:7">
      <c r="A570" t="s">
        <v>17333</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17467</v>
      </c>
      <c r="G570">
        <f>'4I'!$D$127</f>
        <v>0</v>
      </c>
    </row>
    <row r="571" spans="1:7">
      <c r="A571" t="s">
        <v>17333</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17467</v>
      </c>
      <c r="G571">
        <f>'4I'!$E$127</f>
        <v>0</v>
      </c>
    </row>
    <row r="572" spans="1:7">
      <c r="A572" t="s">
        <v>17333</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17467</v>
      </c>
      <c r="G572">
        <f>'4I'!$F$127</f>
        <v>0</v>
      </c>
    </row>
    <row r="573" spans="1:7">
      <c r="A573" t="s">
        <v>17333</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17467</v>
      </c>
      <c r="G573">
        <f>'4I'!$G$127</f>
        <v>0</v>
      </c>
    </row>
    <row r="574" spans="1:7">
      <c r="A574" t="s">
        <v>17333</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17467</v>
      </c>
      <c r="G574">
        <f>'4I'!$H$127</f>
        <v>0</v>
      </c>
    </row>
    <row r="575" spans="1:7">
      <c r="A575" t="s">
        <v>17333</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17467</v>
      </c>
      <c r="G575">
        <f>'4I'!$I$127</f>
        <v>0</v>
      </c>
    </row>
    <row r="576" spans="1:7">
      <c r="A576" t="s">
        <v>17333</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17467</v>
      </c>
      <c r="G576">
        <f>'4I'!$C$128</f>
        <v>0</v>
      </c>
    </row>
    <row r="577" spans="1:7">
      <c r="A577" t="s">
        <v>17333</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17467</v>
      </c>
      <c r="G577">
        <f>'4I'!$D$128</f>
        <v>0</v>
      </c>
    </row>
    <row r="578" spans="1:7">
      <c r="A578" t="s">
        <v>17333</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17467</v>
      </c>
      <c r="G578">
        <f>'4I'!$E$128</f>
        <v>0</v>
      </c>
    </row>
    <row r="579" spans="1:7">
      <c r="A579" t="s">
        <v>17333</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17467</v>
      </c>
      <c r="G579">
        <f>'4I'!$F$128</f>
        <v>0</v>
      </c>
    </row>
    <row r="580" spans="1:7">
      <c r="A580" t="s">
        <v>17333</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17467</v>
      </c>
      <c r="G580">
        <f>'4I'!$G$128</f>
        <v>0</v>
      </c>
    </row>
    <row r="581" spans="1:7">
      <c r="A581" t="s">
        <v>17333</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17467</v>
      </c>
      <c r="G581">
        <f>'4I'!$H$128</f>
        <v>0</v>
      </c>
    </row>
    <row r="582" spans="1:7">
      <c r="A582" t="s">
        <v>17333</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17467</v>
      </c>
      <c r="G582">
        <f>'4I'!$I$128</f>
        <v>0</v>
      </c>
    </row>
    <row r="583" spans="1:7">
      <c r="A583" t="s">
        <v>17333</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17467</v>
      </c>
      <c r="G583">
        <f>'4I'!$C$129</f>
        <v>0</v>
      </c>
    </row>
    <row r="584" spans="1:7">
      <c r="A584" t="s">
        <v>17333</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17467</v>
      </c>
      <c r="G584">
        <f>'4I'!$D$129</f>
        <v>0</v>
      </c>
    </row>
    <row r="585" spans="1:7">
      <c r="A585" t="s">
        <v>17333</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17467</v>
      </c>
      <c r="G585">
        <f>'4I'!$E$129</f>
        <v>0</v>
      </c>
    </row>
    <row r="586" spans="1:7">
      <c r="A586" t="s">
        <v>17333</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17467</v>
      </c>
      <c r="G586">
        <f>'4I'!$F$129</f>
        <v>0</v>
      </c>
    </row>
    <row r="587" spans="1:7">
      <c r="A587" t="s">
        <v>17333</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17467</v>
      </c>
      <c r="G587">
        <f>'4I'!$G$129</f>
        <v>0</v>
      </c>
    </row>
    <row r="588" spans="1:7">
      <c r="A588" t="s">
        <v>17333</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17467</v>
      </c>
      <c r="G588">
        <f>'4I'!$H$129</f>
        <v>0</v>
      </c>
    </row>
    <row r="589" spans="1:7">
      <c r="A589" t="s">
        <v>17333</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17467</v>
      </c>
      <c r="G589">
        <f>'4I'!$I$129</f>
        <v>0</v>
      </c>
    </row>
    <row r="590" spans="1:7">
      <c r="A590" t="s">
        <v>17333</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17467</v>
      </c>
      <c r="G590">
        <f>'4I'!$C$130</f>
        <v>0</v>
      </c>
    </row>
    <row r="591" spans="1:7">
      <c r="A591" t="s">
        <v>17333</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17467</v>
      </c>
      <c r="G591">
        <f>'4I'!$D$130</f>
        <v>0</v>
      </c>
    </row>
    <row r="592" spans="1:7">
      <c r="A592" t="s">
        <v>17333</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17467</v>
      </c>
      <c r="G592">
        <f>'4I'!$E$130</f>
        <v>0</v>
      </c>
    </row>
    <row r="593" spans="1:7">
      <c r="A593" t="s">
        <v>17333</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17467</v>
      </c>
      <c r="G593">
        <f>'4I'!$F$130</f>
        <v>0</v>
      </c>
    </row>
    <row r="594" spans="1:7">
      <c r="A594" t="s">
        <v>17333</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17467</v>
      </c>
      <c r="G594">
        <f>'4I'!$G$130</f>
        <v>0</v>
      </c>
    </row>
    <row r="595" spans="1:7">
      <c r="A595" t="s">
        <v>17333</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17467</v>
      </c>
      <c r="G595">
        <f>'4I'!$H$130</f>
        <v>0</v>
      </c>
    </row>
    <row r="596" spans="1:7">
      <c r="A596" t="s">
        <v>17333</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17467</v>
      </c>
      <c r="G596">
        <f>'4I'!$I$130</f>
        <v>0</v>
      </c>
    </row>
    <row r="597" spans="1:7">
      <c r="A597" t="s">
        <v>17333</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17467</v>
      </c>
      <c r="G597">
        <f>'4I'!$C$131</f>
        <v>0</v>
      </c>
    </row>
    <row r="598" spans="1:7">
      <c r="A598" t="s">
        <v>17333</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17467</v>
      </c>
      <c r="G598">
        <f>'4I'!$D$131</f>
        <v>0</v>
      </c>
    </row>
    <row r="599" spans="1:7">
      <c r="A599" t="s">
        <v>17333</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17467</v>
      </c>
      <c r="G599">
        <f>'4I'!$E$131</f>
        <v>0</v>
      </c>
    </row>
    <row r="600" spans="1:7">
      <c r="A600" t="s">
        <v>17333</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17467</v>
      </c>
      <c r="G600">
        <f>'4I'!$F$131</f>
        <v>0</v>
      </c>
    </row>
    <row r="601" spans="1:7">
      <c r="A601" t="s">
        <v>17333</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17467</v>
      </c>
      <c r="G601">
        <f>'4I'!$G$131</f>
        <v>0</v>
      </c>
    </row>
    <row r="602" spans="1:7">
      <c r="A602" t="s">
        <v>17333</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17467</v>
      </c>
      <c r="G602">
        <f>'4I'!$H$131</f>
        <v>0</v>
      </c>
    </row>
    <row r="603" spans="1:7">
      <c r="A603" t="s">
        <v>17333</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17467</v>
      </c>
      <c r="G603">
        <f>'4I'!$I$131</f>
        <v>0</v>
      </c>
    </row>
    <row r="604" spans="1:7">
      <c r="A604" t="s">
        <v>17333</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17467</v>
      </c>
      <c r="G604">
        <f>'4I'!$C$132</f>
        <v>0</v>
      </c>
    </row>
    <row r="605" spans="1:7">
      <c r="A605" t="s">
        <v>17333</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17467</v>
      </c>
      <c r="G605">
        <f>'4I'!$D$132</f>
        <v>0</v>
      </c>
    </row>
    <row r="606" spans="1:7">
      <c r="A606" t="s">
        <v>17333</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17467</v>
      </c>
      <c r="G606">
        <f>'4I'!$E$132</f>
        <v>0</v>
      </c>
    </row>
    <row r="607" spans="1:7">
      <c r="A607" t="s">
        <v>17333</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17467</v>
      </c>
      <c r="G607">
        <f>'4I'!$F$132</f>
        <v>0</v>
      </c>
    </row>
    <row r="608" spans="1:7">
      <c r="A608" t="s">
        <v>17333</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17467</v>
      </c>
      <c r="G608">
        <f>'4I'!$G$132</f>
        <v>0</v>
      </c>
    </row>
    <row r="609" spans="1:7">
      <c r="A609" t="s">
        <v>17333</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17467</v>
      </c>
      <c r="G609">
        <f>'4I'!$H$132</f>
        <v>0</v>
      </c>
    </row>
    <row r="610" spans="1:7">
      <c r="A610" t="s">
        <v>17333</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17467</v>
      </c>
      <c r="G610">
        <f>'4I'!$I$132</f>
        <v>0</v>
      </c>
    </row>
    <row r="611" spans="1:7">
      <c r="A611" t="s">
        <v>17333</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17467</v>
      </c>
      <c r="G611">
        <f>'4I'!$C$133</f>
        <v>0</v>
      </c>
    </row>
    <row r="612" spans="1:7">
      <c r="A612" t="s">
        <v>17333</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17467</v>
      </c>
      <c r="G612">
        <f>'4I'!$D$133</f>
        <v>0</v>
      </c>
    </row>
    <row r="613" spans="1:7">
      <c r="A613" t="s">
        <v>17333</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17467</v>
      </c>
      <c r="G613">
        <f>'4I'!$E$133</f>
        <v>0</v>
      </c>
    </row>
    <row r="614" spans="1:7">
      <c r="A614" t="s">
        <v>17333</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17467</v>
      </c>
      <c r="G614">
        <f>'4I'!$F$133</f>
        <v>0</v>
      </c>
    </row>
    <row r="615" spans="1:7">
      <c r="A615" t="s">
        <v>17333</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17467</v>
      </c>
      <c r="G615">
        <f>'4I'!$G$133</f>
        <v>0</v>
      </c>
    </row>
    <row r="616" spans="1:7">
      <c r="A616" t="s">
        <v>17333</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17467</v>
      </c>
      <c r="G616">
        <f>'4I'!$H$133</f>
        <v>0</v>
      </c>
    </row>
    <row r="617" spans="1:7">
      <c r="A617" t="s">
        <v>17333</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17467</v>
      </c>
      <c r="G617">
        <f>'4I'!$I$133</f>
        <v>0</v>
      </c>
    </row>
    <row r="618" spans="1:7">
      <c r="A618" t="s">
        <v>17333</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17467</v>
      </c>
      <c r="G618">
        <f>'4I'!$C$136</f>
        <v>0</v>
      </c>
    </row>
    <row r="619" spans="1:7">
      <c r="A619" t="s">
        <v>17333</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17467</v>
      </c>
      <c r="G619">
        <f>'4I'!$D$136</f>
        <v>0</v>
      </c>
    </row>
    <row r="620" spans="1:7">
      <c r="A620" t="s">
        <v>17333</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17467</v>
      </c>
      <c r="G620">
        <f>'4I'!$E$136</f>
        <v>0</v>
      </c>
    </row>
    <row r="621" spans="1:7">
      <c r="A621" t="s">
        <v>17333</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17467</v>
      </c>
      <c r="G621">
        <f>'4I'!$F$136</f>
        <v>0</v>
      </c>
    </row>
    <row r="622" spans="1:7">
      <c r="A622" t="s">
        <v>17333</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17467</v>
      </c>
      <c r="G622">
        <f>'4I'!$G$136</f>
        <v>0</v>
      </c>
    </row>
    <row r="623" spans="1:7">
      <c r="A623" t="s">
        <v>17333</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17467</v>
      </c>
      <c r="G623">
        <f>'4I'!$H$136</f>
        <v>0</v>
      </c>
    </row>
    <row r="624" spans="1:7">
      <c r="A624" t="s">
        <v>17333</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17467</v>
      </c>
      <c r="G624">
        <f>'4I'!$I$136</f>
        <v>0</v>
      </c>
    </row>
    <row r="625" spans="1:7">
      <c r="A625" t="s">
        <v>17333</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17467</v>
      </c>
      <c r="G625">
        <f>'4I'!$C$138</f>
        <v>0</v>
      </c>
    </row>
    <row r="626" spans="1:7">
      <c r="A626" t="s">
        <v>17333</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17467</v>
      </c>
      <c r="G626">
        <f>'4I'!$D$138</f>
        <v>0</v>
      </c>
    </row>
    <row r="627" spans="1:7">
      <c r="A627" t="s">
        <v>17333</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17467</v>
      </c>
      <c r="G627">
        <f>'4I'!$E$138</f>
        <v>0</v>
      </c>
    </row>
    <row r="628" spans="1:7">
      <c r="A628" t="s">
        <v>17333</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17467</v>
      </c>
      <c r="G628">
        <f>'4I'!$F$138</f>
        <v>0</v>
      </c>
    </row>
    <row r="629" spans="1:7">
      <c r="A629" t="s">
        <v>17333</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17467</v>
      </c>
      <c r="G629">
        <f>'4I'!$G$138</f>
        <v>0</v>
      </c>
    </row>
    <row r="630" spans="1:7">
      <c r="A630" t="s">
        <v>17333</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17467</v>
      </c>
      <c r="G630">
        <f>'4I'!$H$138</f>
        <v>0</v>
      </c>
    </row>
    <row r="631" spans="1:7">
      <c r="A631" t="s">
        <v>17333</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17467</v>
      </c>
      <c r="G631">
        <f>'4I'!$I$138</f>
        <v>0</v>
      </c>
    </row>
    <row r="632" spans="1:7">
      <c r="A632" t="s">
        <v>17333</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17467</v>
      </c>
      <c r="G632">
        <f>'4I'!$C$147</f>
        <v>0</v>
      </c>
    </row>
    <row r="633" spans="1:7">
      <c r="A633" t="s">
        <v>17333</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17467</v>
      </c>
      <c r="G633">
        <f>'4I'!$D$147</f>
        <v>0</v>
      </c>
    </row>
    <row r="634" spans="1:7">
      <c r="A634" t="s">
        <v>17333</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17467</v>
      </c>
      <c r="G634">
        <f>'4I'!$E$147</f>
        <v>0</v>
      </c>
    </row>
    <row r="635" spans="1:7">
      <c r="A635" t="s">
        <v>17333</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17467</v>
      </c>
      <c r="G635">
        <f>'4I'!$F$147</f>
        <v>0</v>
      </c>
    </row>
    <row r="636" spans="1:7">
      <c r="A636" t="s">
        <v>17333</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17467</v>
      </c>
      <c r="G636">
        <f>'4I'!$G$147</f>
        <v>0</v>
      </c>
    </row>
    <row r="637" spans="1:7">
      <c r="A637" t="s">
        <v>17333</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17467</v>
      </c>
      <c r="G637">
        <f>'4I'!$H$147</f>
        <v>0</v>
      </c>
    </row>
    <row r="638" spans="1:7">
      <c r="A638" t="s">
        <v>17333</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17467</v>
      </c>
      <c r="G638">
        <f>'4I'!$I$147</f>
        <v>0</v>
      </c>
    </row>
    <row r="639" spans="1:7">
      <c r="A639" t="s">
        <v>17333</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17467</v>
      </c>
      <c r="G639">
        <f>'4I'!$J$147</f>
        <v>0</v>
      </c>
    </row>
    <row r="640" spans="1:7">
      <c r="A640" t="s">
        <v>17333</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17467</v>
      </c>
      <c r="G640">
        <f>'4I'!$K$147</f>
        <v>0</v>
      </c>
    </row>
    <row r="641" spans="1:7">
      <c r="A641" t="s">
        <v>17333</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17467</v>
      </c>
      <c r="G641">
        <f>'4I'!$C$148</f>
        <v>0</v>
      </c>
    </row>
    <row r="642" spans="1:7">
      <c r="A642" t="s">
        <v>17333</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17467</v>
      </c>
      <c r="G642">
        <f>'4I'!$D$148</f>
        <v>0</v>
      </c>
    </row>
    <row r="643" spans="1:7">
      <c r="A643" t="s">
        <v>17333</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17467</v>
      </c>
      <c r="G643">
        <f>'4I'!$E$148</f>
        <v>0</v>
      </c>
    </row>
    <row r="644" spans="1:7">
      <c r="A644" t="s">
        <v>17333</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17467</v>
      </c>
      <c r="G644">
        <f>'4I'!$F$148</f>
        <v>0</v>
      </c>
    </row>
    <row r="645" spans="1:7">
      <c r="A645" t="s">
        <v>17333</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17467</v>
      </c>
      <c r="G645">
        <f>'4I'!$G$148</f>
        <v>0</v>
      </c>
    </row>
    <row r="646" spans="1:7">
      <c r="A646" t="s">
        <v>17333</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17467</v>
      </c>
      <c r="G646">
        <f>'4I'!$H$148</f>
        <v>0</v>
      </c>
    </row>
    <row r="647" spans="1:7">
      <c r="A647" t="s">
        <v>17333</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17467</v>
      </c>
      <c r="G647">
        <f>'4I'!$I$148</f>
        <v>0</v>
      </c>
    </row>
    <row r="648" spans="1:7">
      <c r="A648" t="s">
        <v>17333</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17467</v>
      </c>
      <c r="G648">
        <f>'4I'!$J$148</f>
        <v>0</v>
      </c>
    </row>
    <row r="649" spans="1:7">
      <c r="A649" t="s">
        <v>17333</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17467</v>
      </c>
      <c r="G649">
        <f>'4I'!$K$148</f>
        <v>0</v>
      </c>
    </row>
    <row r="650" spans="1:7">
      <c r="A650" t="s">
        <v>17333</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17467</v>
      </c>
      <c r="G650">
        <f>'4I'!$C$149</f>
        <v>0</v>
      </c>
    </row>
    <row r="651" spans="1:7">
      <c r="A651" t="s">
        <v>17333</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17467</v>
      </c>
      <c r="G651">
        <f>'4I'!$D$149</f>
        <v>0</v>
      </c>
    </row>
    <row r="652" spans="1:7">
      <c r="A652" t="s">
        <v>17333</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17467</v>
      </c>
      <c r="G652">
        <f>'4I'!$E$149</f>
        <v>0</v>
      </c>
    </row>
    <row r="653" spans="1:7">
      <c r="A653" t="s">
        <v>17333</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17467</v>
      </c>
      <c r="G653">
        <f>'4I'!$F$149</f>
        <v>0</v>
      </c>
    </row>
    <row r="654" spans="1:7">
      <c r="A654" t="s">
        <v>17333</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17467</v>
      </c>
      <c r="G654">
        <f>'4I'!$G$149</f>
        <v>0</v>
      </c>
    </row>
    <row r="655" spans="1:7">
      <c r="A655" t="s">
        <v>17333</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17467</v>
      </c>
      <c r="G655">
        <f>'4I'!$H$149</f>
        <v>0</v>
      </c>
    </row>
    <row r="656" spans="1:7">
      <c r="A656" t="s">
        <v>17333</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17467</v>
      </c>
      <c r="G656">
        <f>'4I'!$I$149</f>
        <v>0</v>
      </c>
    </row>
    <row r="657" spans="1:7">
      <c r="A657" t="s">
        <v>17333</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17467</v>
      </c>
      <c r="G657">
        <f>'4I'!$J$149</f>
        <v>0</v>
      </c>
    </row>
    <row r="658" spans="1:7">
      <c r="A658" t="s">
        <v>17333</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17467</v>
      </c>
      <c r="G658">
        <f>'4I'!$K$149</f>
        <v>0</v>
      </c>
    </row>
    <row r="659" spans="1:7">
      <c r="A659" t="s">
        <v>17333</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17467</v>
      </c>
      <c r="G659">
        <f>'4I'!$C$150</f>
        <v>0</v>
      </c>
    </row>
    <row r="660" spans="1:7">
      <c r="A660" t="s">
        <v>17333</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17467</v>
      </c>
      <c r="G660">
        <f>'4I'!$D$150</f>
        <v>0</v>
      </c>
    </row>
    <row r="661" spans="1:7">
      <c r="A661" t="s">
        <v>17333</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17467</v>
      </c>
      <c r="G661">
        <f>'4I'!$E$150</f>
        <v>0</v>
      </c>
    </row>
    <row r="662" spans="1:7">
      <c r="A662" t="s">
        <v>17333</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17467</v>
      </c>
      <c r="G662">
        <f>'4I'!$F$150</f>
        <v>0</v>
      </c>
    </row>
    <row r="663" spans="1:7">
      <c r="A663" t="s">
        <v>17333</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17467</v>
      </c>
      <c r="G663">
        <f>'4I'!$G$150</f>
        <v>0</v>
      </c>
    </row>
    <row r="664" spans="1:7">
      <c r="A664" t="s">
        <v>17333</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17467</v>
      </c>
      <c r="G664">
        <f>'4I'!$H$150</f>
        <v>0</v>
      </c>
    </row>
    <row r="665" spans="1:7">
      <c r="A665" t="s">
        <v>17333</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17467</v>
      </c>
      <c r="G665">
        <f>'4I'!$I$150</f>
        <v>0</v>
      </c>
    </row>
    <row r="666" spans="1:7">
      <c r="A666" t="s">
        <v>17333</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17467</v>
      </c>
      <c r="G666">
        <f>'4I'!$J$150</f>
        <v>0</v>
      </c>
    </row>
    <row r="667" spans="1:7">
      <c r="A667" t="s">
        <v>17333</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17467</v>
      </c>
      <c r="G667">
        <f>'4I'!$K$150</f>
        <v>0</v>
      </c>
    </row>
    <row r="668" spans="1:7">
      <c r="A668" t="s">
        <v>17333</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17467</v>
      </c>
      <c r="G668">
        <f>'4I'!$C$151</f>
        <v>0</v>
      </c>
    </row>
    <row r="669" spans="1:7">
      <c r="A669" t="s">
        <v>17333</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17467</v>
      </c>
      <c r="G669">
        <f>'4I'!$D$151</f>
        <v>0</v>
      </c>
    </row>
    <row r="670" spans="1:7">
      <c r="A670" t="s">
        <v>17333</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17467</v>
      </c>
      <c r="G670">
        <f>'4I'!$E$151</f>
        <v>0</v>
      </c>
    </row>
    <row r="671" spans="1:7">
      <c r="A671" t="s">
        <v>17333</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17467</v>
      </c>
      <c r="G671">
        <f>'4I'!$F$151</f>
        <v>0</v>
      </c>
    </row>
    <row r="672" spans="1:7">
      <c r="A672" t="s">
        <v>17333</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17467</v>
      </c>
      <c r="G672">
        <f>'4I'!$G$151</f>
        <v>0</v>
      </c>
    </row>
    <row r="673" spans="1:7">
      <c r="A673" t="s">
        <v>17333</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17467</v>
      </c>
      <c r="G673">
        <f>'4I'!$H$151</f>
        <v>0</v>
      </c>
    </row>
    <row r="674" spans="1:7">
      <c r="A674" t="s">
        <v>17333</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17467</v>
      </c>
      <c r="G674">
        <f>'4I'!$I$151</f>
        <v>0</v>
      </c>
    </row>
    <row r="675" spans="1:7">
      <c r="A675" t="s">
        <v>17333</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17467</v>
      </c>
      <c r="G675">
        <f>'4I'!$J$151</f>
        <v>0</v>
      </c>
    </row>
    <row r="676" spans="1:7">
      <c r="A676" t="s">
        <v>17333</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17467</v>
      </c>
      <c r="G676">
        <f>'4I'!$K$151</f>
        <v>0</v>
      </c>
    </row>
    <row r="677" spans="1:7">
      <c r="A677" t="s">
        <v>17333</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17467</v>
      </c>
      <c r="G677">
        <f>'4I'!$C$152</f>
        <v>0</v>
      </c>
    </row>
    <row r="678" spans="1:7">
      <c r="A678" t="s">
        <v>17333</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17467</v>
      </c>
      <c r="G678">
        <f>'4I'!$D$152</f>
        <v>0</v>
      </c>
    </row>
    <row r="679" spans="1:7">
      <c r="A679" t="s">
        <v>17333</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17467</v>
      </c>
      <c r="G679">
        <f>'4I'!$E$152</f>
        <v>0</v>
      </c>
    </row>
    <row r="680" spans="1:7">
      <c r="A680" t="s">
        <v>17333</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17467</v>
      </c>
      <c r="G680">
        <f>'4I'!$F$152</f>
        <v>0</v>
      </c>
    </row>
    <row r="681" spans="1:7">
      <c r="A681" t="s">
        <v>17333</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17467</v>
      </c>
      <c r="G681">
        <f>'4I'!$G$152</f>
        <v>0</v>
      </c>
    </row>
    <row r="682" spans="1:7">
      <c r="A682" t="s">
        <v>17333</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17467</v>
      </c>
      <c r="G682">
        <f>'4I'!$H$152</f>
        <v>0</v>
      </c>
    </row>
    <row r="683" spans="1:7">
      <c r="A683" t="s">
        <v>17333</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17467</v>
      </c>
      <c r="G683">
        <f>'4I'!$I$152</f>
        <v>0</v>
      </c>
    </row>
    <row r="684" spans="1:7">
      <c r="A684" t="s">
        <v>17333</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17467</v>
      </c>
      <c r="G684">
        <f>'4I'!$J$152</f>
        <v>0</v>
      </c>
    </row>
    <row r="685" spans="1:7">
      <c r="A685" t="s">
        <v>17333</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17467</v>
      </c>
      <c r="G685">
        <f>'4I'!$K$152</f>
        <v>0</v>
      </c>
    </row>
    <row r="686" spans="1:7">
      <c r="A686" t="s">
        <v>17333</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17467</v>
      </c>
      <c r="G686">
        <f>'4I'!$C$153</f>
        <v>0</v>
      </c>
    </row>
    <row r="687" spans="1:7">
      <c r="A687" t="s">
        <v>17333</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17467</v>
      </c>
      <c r="G687">
        <f>'4I'!$D$153</f>
        <v>0</v>
      </c>
    </row>
    <row r="688" spans="1:7">
      <c r="A688" t="s">
        <v>17333</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17467</v>
      </c>
      <c r="G688">
        <f>'4I'!$E$153</f>
        <v>0</v>
      </c>
    </row>
    <row r="689" spans="1:7">
      <c r="A689" t="s">
        <v>17333</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17467</v>
      </c>
      <c r="G689">
        <f>'4I'!$F$153</f>
        <v>0</v>
      </c>
    </row>
    <row r="690" spans="1:7">
      <c r="A690" t="s">
        <v>17333</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17467</v>
      </c>
      <c r="G690">
        <f>'4I'!$G$153</f>
        <v>0</v>
      </c>
    </row>
    <row r="691" spans="1:7">
      <c r="A691" t="s">
        <v>17333</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17467</v>
      </c>
      <c r="G691">
        <f>'4I'!$H$153</f>
        <v>0</v>
      </c>
    </row>
    <row r="692" spans="1:7">
      <c r="A692" t="s">
        <v>17333</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17467</v>
      </c>
      <c r="G692">
        <f>'4I'!$I$153</f>
        <v>0</v>
      </c>
    </row>
    <row r="693" spans="1:7">
      <c r="A693" t="s">
        <v>17333</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17467</v>
      </c>
      <c r="G693">
        <f>'4I'!$J$153</f>
        <v>0</v>
      </c>
    </row>
    <row r="694" spans="1:7">
      <c r="A694" t="s">
        <v>17333</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17467</v>
      </c>
      <c r="G694">
        <f>'4I'!$K$153</f>
        <v>0</v>
      </c>
    </row>
    <row r="695" spans="1:7">
      <c r="A695" t="s">
        <v>17333</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17467</v>
      </c>
      <c r="G695">
        <f>'4I'!$C$154</f>
        <v>0</v>
      </c>
    </row>
    <row r="696" spans="1:7">
      <c r="A696" t="s">
        <v>17333</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17467</v>
      </c>
      <c r="G696">
        <f>'4I'!$D$154</f>
        <v>0</v>
      </c>
    </row>
    <row r="697" spans="1:7">
      <c r="A697" t="s">
        <v>17333</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17467</v>
      </c>
      <c r="G697">
        <f>'4I'!$E$154</f>
        <v>0</v>
      </c>
    </row>
    <row r="698" spans="1:7">
      <c r="A698" t="s">
        <v>17333</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17467</v>
      </c>
      <c r="G698">
        <f>'4I'!$F$154</f>
        <v>0</v>
      </c>
    </row>
    <row r="699" spans="1:7">
      <c r="A699" t="s">
        <v>17333</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17467</v>
      </c>
      <c r="G699">
        <f>'4I'!$G$154</f>
        <v>0</v>
      </c>
    </row>
    <row r="700" spans="1:7">
      <c r="A700" t="s">
        <v>17333</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17467</v>
      </c>
      <c r="G700">
        <f>'4I'!$H$154</f>
        <v>0</v>
      </c>
    </row>
    <row r="701" spans="1:7">
      <c r="A701" t="s">
        <v>17333</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17467</v>
      </c>
      <c r="G701">
        <f>'4I'!$I$154</f>
        <v>0</v>
      </c>
    </row>
    <row r="702" spans="1:7">
      <c r="A702" t="s">
        <v>17333</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17467</v>
      </c>
      <c r="G702">
        <f>'4I'!$C$157</f>
        <v>0</v>
      </c>
    </row>
    <row r="703" spans="1:7">
      <c r="A703" t="s">
        <v>17333</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17467</v>
      </c>
      <c r="G703">
        <f>'4I'!$D$157</f>
        <v>0</v>
      </c>
    </row>
    <row r="704" spans="1:7">
      <c r="A704" t="s">
        <v>17333</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17467</v>
      </c>
      <c r="G704">
        <f>'4I'!$E$157</f>
        <v>0</v>
      </c>
    </row>
    <row r="705" spans="1:7">
      <c r="A705" t="s">
        <v>17333</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17467</v>
      </c>
      <c r="G705">
        <f>'4I'!$F$157</f>
        <v>0</v>
      </c>
    </row>
    <row r="706" spans="1:7">
      <c r="A706" t="s">
        <v>17333</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17467</v>
      </c>
      <c r="G706">
        <f>'4I'!$G$157</f>
        <v>0</v>
      </c>
    </row>
    <row r="707" spans="1:7">
      <c r="A707" t="s">
        <v>17333</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17467</v>
      </c>
      <c r="G707">
        <f>'4I'!$H$157</f>
        <v>0</v>
      </c>
    </row>
    <row r="708" spans="1:7">
      <c r="A708" t="s">
        <v>17333</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17467</v>
      </c>
      <c r="G708">
        <f>'4I'!$I$157</f>
        <v>0</v>
      </c>
    </row>
    <row r="709" spans="1:7">
      <c r="A709" t="s">
        <v>17333</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17467</v>
      </c>
      <c r="G709">
        <f>'4I'!$C$158</f>
        <v>0</v>
      </c>
    </row>
    <row r="710" spans="1:7">
      <c r="A710" t="s">
        <v>17333</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17467</v>
      </c>
      <c r="G710">
        <f>'4I'!$D$158</f>
        <v>0</v>
      </c>
    </row>
    <row r="711" spans="1:7">
      <c r="A711" t="s">
        <v>17333</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17467</v>
      </c>
      <c r="G711">
        <f>'4I'!$E$158</f>
        <v>0</v>
      </c>
    </row>
    <row r="712" spans="1:7">
      <c r="A712" t="s">
        <v>17333</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17467</v>
      </c>
      <c r="G712">
        <f>'4I'!$F$158</f>
        <v>0</v>
      </c>
    </row>
    <row r="713" spans="1:7">
      <c r="A713" t="s">
        <v>17333</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17467</v>
      </c>
      <c r="G713">
        <f>'4I'!$G$158</f>
        <v>0</v>
      </c>
    </row>
    <row r="714" spans="1:7">
      <c r="A714" t="s">
        <v>17333</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17467</v>
      </c>
      <c r="G714">
        <f>'4I'!$H$158</f>
        <v>0</v>
      </c>
    </row>
    <row r="715" spans="1:7">
      <c r="A715" t="s">
        <v>17333</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17467</v>
      </c>
      <c r="G715">
        <f>'4I'!$I$158</f>
        <v>0</v>
      </c>
    </row>
    <row r="716" spans="1:7">
      <c r="A716" t="s">
        <v>17333</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17467</v>
      </c>
      <c r="G716">
        <f>'4I'!$C$159</f>
        <v>0</v>
      </c>
    </row>
    <row r="717" spans="1:7">
      <c r="A717" t="s">
        <v>17333</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17467</v>
      </c>
      <c r="G717">
        <f>'4I'!$D$159</f>
        <v>0</v>
      </c>
    </row>
    <row r="718" spans="1:7">
      <c r="A718" t="s">
        <v>17333</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17467</v>
      </c>
      <c r="G718">
        <f>'4I'!$E$159</f>
        <v>0</v>
      </c>
    </row>
    <row r="719" spans="1:7">
      <c r="A719" t="s">
        <v>17333</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17467</v>
      </c>
      <c r="G719">
        <f>'4I'!$F$159</f>
        <v>0</v>
      </c>
    </row>
    <row r="720" spans="1:7">
      <c r="A720" t="s">
        <v>17333</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17467</v>
      </c>
      <c r="G720">
        <f>'4I'!$G$159</f>
        <v>0</v>
      </c>
    </row>
    <row r="721" spans="1:7">
      <c r="A721" t="s">
        <v>17333</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17467</v>
      </c>
      <c r="G721">
        <f>'4I'!$H$159</f>
        <v>0</v>
      </c>
    </row>
    <row r="722" spans="1:7">
      <c r="A722" t="s">
        <v>17333</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17467</v>
      </c>
      <c r="G722">
        <f>'4I'!$I$159</f>
        <v>0</v>
      </c>
    </row>
    <row r="723" spans="1:7">
      <c r="A723" t="s">
        <v>17333</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17467</v>
      </c>
      <c r="G723">
        <f>'4I'!$C$160</f>
        <v>0</v>
      </c>
    </row>
    <row r="724" spans="1:7">
      <c r="A724" t="s">
        <v>17333</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17467</v>
      </c>
      <c r="G724">
        <f>'4I'!$D$160</f>
        <v>0</v>
      </c>
    </row>
    <row r="725" spans="1:7">
      <c r="A725" t="s">
        <v>17333</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17467</v>
      </c>
      <c r="G725">
        <f>'4I'!$E$160</f>
        <v>0</v>
      </c>
    </row>
    <row r="726" spans="1:7">
      <c r="A726" t="s">
        <v>17333</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17467</v>
      </c>
      <c r="G726">
        <f>'4I'!$F$160</f>
        <v>0</v>
      </c>
    </row>
    <row r="727" spans="1:7">
      <c r="A727" t="s">
        <v>17333</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17467</v>
      </c>
      <c r="G727">
        <f>'4I'!$G$160</f>
        <v>0</v>
      </c>
    </row>
    <row r="728" spans="1:7">
      <c r="A728" t="s">
        <v>17333</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17467</v>
      </c>
      <c r="G728">
        <f>'4I'!$H$160</f>
        <v>0</v>
      </c>
    </row>
    <row r="729" spans="1:7">
      <c r="A729" t="s">
        <v>17333</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17467</v>
      </c>
      <c r="G729">
        <f>'4I'!$I$160</f>
        <v>0</v>
      </c>
    </row>
    <row r="730" spans="1:7">
      <c r="A730" t="s">
        <v>17333</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17467</v>
      </c>
      <c r="G730">
        <f>'4I'!$C$161</f>
        <v>0</v>
      </c>
    </row>
    <row r="731" spans="1:7">
      <c r="A731" t="s">
        <v>17333</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17467</v>
      </c>
      <c r="G731">
        <f>'4I'!$D$161</f>
        <v>0</v>
      </c>
    </row>
    <row r="732" spans="1:7">
      <c r="A732" t="s">
        <v>17333</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17467</v>
      </c>
      <c r="G732">
        <f>'4I'!$E$161</f>
        <v>0</v>
      </c>
    </row>
    <row r="733" spans="1:7">
      <c r="A733" t="s">
        <v>17333</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17467</v>
      </c>
      <c r="G733">
        <f>'4I'!$F$161</f>
        <v>0</v>
      </c>
    </row>
    <row r="734" spans="1:7">
      <c r="A734" t="s">
        <v>17333</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17467</v>
      </c>
      <c r="G734">
        <f>'4I'!$G$161</f>
        <v>0</v>
      </c>
    </row>
    <row r="735" spans="1:7">
      <c r="A735" t="s">
        <v>17333</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17467</v>
      </c>
      <c r="G735">
        <f>'4I'!$H$161</f>
        <v>0</v>
      </c>
    </row>
    <row r="736" spans="1:7">
      <c r="A736" t="s">
        <v>17333</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17467</v>
      </c>
      <c r="G736">
        <f>'4I'!$I$161</f>
        <v>0</v>
      </c>
    </row>
    <row r="737" spans="1:7">
      <c r="A737" t="s">
        <v>17333</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17467</v>
      </c>
      <c r="G737">
        <f>'4I'!$C$164</f>
        <v>0</v>
      </c>
    </row>
    <row r="738" spans="1:7">
      <c r="A738" t="s">
        <v>17333</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17467</v>
      </c>
      <c r="G738">
        <f>'4I'!$D$164</f>
        <v>0</v>
      </c>
    </row>
    <row r="739" spans="1:7">
      <c r="A739" t="s">
        <v>17333</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17467</v>
      </c>
      <c r="G739">
        <f>'4I'!$E$164</f>
        <v>0</v>
      </c>
    </row>
    <row r="740" spans="1:7">
      <c r="A740" t="s">
        <v>17333</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17467</v>
      </c>
      <c r="G740">
        <f>'4I'!$F$164</f>
        <v>0</v>
      </c>
    </row>
    <row r="741" spans="1:7">
      <c r="A741" t="s">
        <v>17333</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17467</v>
      </c>
      <c r="G741">
        <f>'4I'!$G$164</f>
        <v>0</v>
      </c>
    </row>
    <row r="742" spans="1:7">
      <c r="A742" t="s">
        <v>17333</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17467</v>
      </c>
      <c r="G742">
        <f>'4I'!$H$164</f>
        <v>0</v>
      </c>
    </row>
    <row r="743" spans="1:7">
      <c r="A743" t="s">
        <v>17333</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17467</v>
      </c>
      <c r="G743">
        <f>'4I'!$I$164</f>
        <v>0</v>
      </c>
    </row>
    <row r="744" spans="1:7">
      <c r="A744" t="s">
        <v>17333</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17467</v>
      </c>
      <c r="G744">
        <f>'4I'!$C$165</f>
        <v>0</v>
      </c>
    </row>
    <row r="745" spans="1:7">
      <c r="A745" t="s">
        <v>17333</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17467</v>
      </c>
      <c r="G745">
        <f>'4I'!$D$165</f>
        <v>0</v>
      </c>
    </row>
    <row r="746" spans="1:7">
      <c r="A746" t="s">
        <v>17333</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17467</v>
      </c>
      <c r="G746">
        <f>'4I'!$E$165</f>
        <v>0</v>
      </c>
    </row>
    <row r="747" spans="1:7">
      <c r="A747" t="s">
        <v>17333</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17467</v>
      </c>
      <c r="G747">
        <f>'4I'!$F$165</f>
        <v>0</v>
      </c>
    </row>
    <row r="748" spans="1:7">
      <c r="A748" t="s">
        <v>17333</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17467</v>
      </c>
      <c r="G748">
        <f>'4I'!$G$165</f>
        <v>0</v>
      </c>
    </row>
    <row r="749" spans="1:7">
      <c r="A749" t="s">
        <v>17333</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17467</v>
      </c>
      <c r="G749">
        <f>'4I'!$H$165</f>
        <v>0</v>
      </c>
    </row>
    <row r="750" spans="1:7">
      <c r="A750" t="s">
        <v>17333</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17467</v>
      </c>
      <c r="G750">
        <f>'4I'!$I$165</f>
        <v>0</v>
      </c>
    </row>
    <row r="751" spans="1:7">
      <c r="A751" t="s">
        <v>17333</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17467</v>
      </c>
      <c r="G751">
        <f>'4I'!$C$166</f>
        <v>0</v>
      </c>
    </row>
    <row r="752" spans="1:7">
      <c r="A752" t="s">
        <v>17333</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17467</v>
      </c>
      <c r="G752">
        <f>'4I'!$D$166</f>
        <v>0</v>
      </c>
    </row>
    <row r="753" spans="1:7">
      <c r="A753" t="s">
        <v>17333</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17467</v>
      </c>
      <c r="G753">
        <f>'4I'!$E$166</f>
        <v>0</v>
      </c>
    </row>
    <row r="754" spans="1:7">
      <c r="A754" t="s">
        <v>17333</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17467</v>
      </c>
      <c r="G754">
        <f>'4I'!$F$166</f>
        <v>0</v>
      </c>
    </row>
    <row r="755" spans="1:7">
      <c r="A755" t="s">
        <v>17333</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17467</v>
      </c>
      <c r="G755">
        <f>'4I'!$G$166</f>
        <v>0</v>
      </c>
    </row>
    <row r="756" spans="1:7">
      <c r="A756" t="s">
        <v>17333</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17467</v>
      </c>
      <c r="G756">
        <f>'4I'!$H$166</f>
        <v>0</v>
      </c>
    </row>
    <row r="757" spans="1:7">
      <c r="A757" t="s">
        <v>17333</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17467</v>
      </c>
      <c r="G757">
        <f>'4I'!$I$166</f>
        <v>0</v>
      </c>
    </row>
    <row r="758" spans="1:7">
      <c r="A758" t="s">
        <v>17333</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17467</v>
      </c>
      <c r="G758">
        <f>'4I'!$C$167</f>
        <v>0</v>
      </c>
    </row>
    <row r="759" spans="1:7">
      <c r="A759" t="s">
        <v>17333</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17467</v>
      </c>
      <c r="G759">
        <f>'4I'!$D$167</f>
        <v>0</v>
      </c>
    </row>
    <row r="760" spans="1:7">
      <c r="A760" t="s">
        <v>17333</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17467</v>
      </c>
      <c r="G760">
        <f>'4I'!$E$167</f>
        <v>0</v>
      </c>
    </row>
    <row r="761" spans="1:7">
      <c r="A761" t="s">
        <v>17333</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17467</v>
      </c>
      <c r="G761">
        <f>'4I'!$F$167</f>
        <v>0</v>
      </c>
    </row>
    <row r="762" spans="1:7">
      <c r="A762" t="s">
        <v>17333</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17467</v>
      </c>
      <c r="G762">
        <f>'4I'!$G$167</f>
        <v>0</v>
      </c>
    </row>
    <row r="763" spans="1:7">
      <c r="A763" t="s">
        <v>17333</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17467</v>
      </c>
      <c r="G763">
        <f>'4I'!$H$167</f>
        <v>0</v>
      </c>
    </row>
    <row r="764" spans="1:7">
      <c r="A764" t="s">
        <v>17333</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17467</v>
      </c>
      <c r="G764">
        <f>'4I'!$I$167</f>
        <v>0</v>
      </c>
    </row>
    <row r="765" spans="1:7">
      <c r="A765" t="s">
        <v>17333</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17467</v>
      </c>
      <c r="G765">
        <f>'4I'!$C$168</f>
        <v>0</v>
      </c>
    </row>
    <row r="766" spans="1:7">
      <c r="A766" t="s">
        <v>17333</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17467</v>
      </c>
      <c r="G766">
        <f>'4I'!$D$168</f>
        <v>0</v>
      </c>
    </row>
    <row r="767" spans="1:7">
      <c r="A767" t="s">
        <v>17333</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17467</v>
      </c>
      <c r="G767">
        <f>'4I'!$E$168</f>
        <v>0</v>
      </c>
    </row>
    <row r="768" spans="1:7">
      <c r="A768" t="s">
        <v>17333</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17467</v>
      </c>
      <c r="G768">
        <f>'4I'!$F$168</f>
        <v>0</v>
      </c>
    </row>
    <row r="769" spans="1:7">
      <c r="A769" t="s">
        <v>17333</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17467</v>
      </c>
      <c r="G769">
        <f>'4I'!$G$168</f>
        <v>0</v>
      </c>
    </row>
    <row r="770" spans="1:7">
      <c r="A770" t="s">
        <v>17333</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17467</v>
      </c>
      <c r="G770">
        <f>'4I'!$H$168</f>
        <v>0</v>
      </c>
    </row>
    <row r="771" spans="1:7">
      <c r="A771" t="s">
        <v>17333</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17467</v>
      </c>
      <c r="G771">
        <f>'4I'!$I$168</f>
        <v>0</v>
      </c>
    </row>
    <row r="772" spans="1:7">
      <c r="A772" t="s">
        <v>17333</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17467</v>
      </c>
      <c r="G772">
        <f>'4I'!$C$171</f>
        <v>0</v>
      </c>
    </row>
    <row r="773" spans="1:7">
      <c r="A773" t="s">
        <v>17333</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17467</v>
      </c>
      <c r="G773">
        <f>'4I'!$D$171</f>
        <v>0</v>
      </c>
    </row>
    <row r="774" spans="1:7">
      <c r="A774" t="s">
        <v>17333</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17467</v>
      </c>
      <c r="G774">
        <f>'4I'!$E$171</f>
        <v>0</v>
      </c>
    </row>
    <row r="775" spans="1:7">
      <c r="A775" t="s">
        <v>17333</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17467</v>
      </c>
      <c r="G775">
        <f>'4I'!$F$171</f>
        <v>0</v>
      </c>
    </row>
    <row r="776" spans="1:7">
      <c r="A776" t="s">
        <v>17333</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17467</v>
      </c>
      <c r="G776">
        <f>'4I'!$G$171</f>
        <v>0</v>
      </c>
    </row>
    <row r="777" spans="1:7">
      <c r="A777" t="s">
        <v>17333</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17467</v>
      </c>
      <c r="G777">
        <f>'4I'!$H$171</f>
        <v>0</v>
      </c>
    </row>
    <row r="778" spans="1:7">
      <c r="A778" t="s">
        <v>17333</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17467</v>
      </c>
      <c r="G778">
        <f>'4I'!$I$171</f>
        <v>0</v>
      </c>
    </row>
    <row r="779" spans="1:7">
      <c r="A779" t="s">
        <v>17333</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17467</v>
      </c>
      <c r="G779">
        <f>'4I'!$C$172</f>
        <v>0</v>
      </c>
    </row>
    <row r="780" spans="1:7">
      <c r="A780" t="s">
        <v>17333</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17467</v>
      </c>
      <c r="G780">
        <f>'4I'!$D$172</f>
        <v>0</v>
      </c>
    </row>
    <row r="781" spans="1:7">
      <c r="A781" t="s">
        <v>17333</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17467</v>
      </c>
      <c r="G781">
        <f>'4I'!$E$172</f>
        <v>0</v>
      </c>
    </row>
    <row r="782" spans="1:7">
      <c r="A782" t="s">
        <v>17333</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17467</v>
      </c>
      <c r="G782">
        <f>'4I'!$F$172</f>
        <v>0</v>
      </c>
    </row>
    <row r="783" spans="1:7">
      <c r="A783" t="s">
        <v>17333</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17467</v>
      </c>
      <c r="G783">
        <f>'4I'!$G$172</f>
        <v>0</v>
      </c>
    </row>
    <row r="784" spans="1:7">
      <c r="A784" t="s">
        <v>17333</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17467</v>
      </c>
      <c r="G784">
        <f>'4I'!$H$172</f>
        <v>0</v>
      </c>
    </row>
    <row r="785" spans="1:7">
      <c r="A785" t="s">
        <v>17333</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17467</v>
      </c>
      <c r="G785">
        <f>'4I'!$I$172</f>
        <v>0</v>
      </c>
    </row>
    <row r="786" spans="1:7">
      <c r="A786" t="s">
        <v>17333</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17467</v>
      </c>
      <c r="G786">
        <f>'4I'!$C$173</f>
        <v>0</v>
      </c>
    </row>
    <row r="787" spans="1:7">
      <c r="A787" t="s">
        <v>17333</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17467</v>
      </c>
      <c r="G787">
        <f>'4I'!$D$173</f>
        <v>0</v>
      </c>
    </row>
    <row r="788" spans="1:7">
      <c r="A788" t="s">
        <v>17333</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17467</v>
      </c>
      <c r="G788">
        <f>'4I'!$E$173</f>
        <v>0</v>
      </c>
    </row>
    <row r="789" spans="1:7">
      <c r="A789" t="s">
        <v>17333</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17467</v>
      </c>
      <c r="G789">
        <f>'4I'!$F$173</f>
        <v>0</v>
      </c>
    </row>
    <row r="790" spans="1:7">
      <c r="A790" t="s">
        <v>17333</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17467</v>
      </c>
      <c r="G790">
        <f>'4I'!$G$173</f>
        <v>0</v>
      </c>
    </row>
    <row r="791" spans="1:7">
      <c r="A791" t="s">
        <v>17333</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17467</v>
      </c>
      <c r="G791">
        <f>'4I'!$H$173</f>
        <v>0</v>
      </c>
    </row>
    <row r="792" spans="1:7">
      <c r="A792" t="s">
        <v>17333</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17467</v>
      </c>
      <c r="G792">
        <f>'4I'!$I$173</f>
        <v>0</v>
      </c>
    </row>
    <row r="793" spans="1:7">
      <c r="A793" t="s">
        <v>17333</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17467</v>
      </c>
      <c r="G793">
        <f>'4I'!$C$174</f>
        <v>0</v>
      </c>
    </row>
    <row r="794" spans="1:7">
      <c r="A794" t="s">
        <v>17333</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17467</v>
      </c>
      <c r="G794">
        <f>'4I'!$D$174</f>
        <v>0</v>
      </c>
    </row>
    <row r="795" spans="1:7">
      <c r="A795" t="s">
        <v>17333</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17467</v>
      </c>
      <c r="G795">
        <f>'4I'!$E$174</f>
        <v>0</v>
      </c>
    </row>
    <row r="796" spans="1:7">
      <c r="A796" t="s">
        <v>17333</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17467</v>
      </c>
      <c r="G796">
        <f>'4I'!$F$174</f>
        <v>0</v>
      </c>
    </row>
    <row r="797" spans="1:7">
      <c r="A797" t="s">
        <v>17333</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17467</v>
      </c>
      <c r="G797">
        <f>'4I'!$G$174</f>
        <v>0</v>
      </c>
    </row>
    <row r="798" spans="1:7">
      <c r="A798" t="s">
        <v>17333</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17467</v>
      </c>
      <c r="G798">
        <f>'4I'!$H$174</f>
        <v>0</v>
      </c>
    </row>
    <row r="799" spans="1:7">
      <c r="A799" t="s">
        <v>17333</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17467</v>
      </c>
      <c r="G799">
        <f>'4I'!$I$174</f>
        <v>0</v>
      </c>
    </row>
    <row r="800" spans="1:7">
      <c r="A800" t="s">
        <v>17333</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17467</v>
      </c>
      <c r="G800">
        <f>'4I'!$C$175</f>
        <v>0</v>
      </c>
    </row>
    <row r="801" spans="1:7">
      <c r="A801" t="s">
        <v>17333</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17467</v>
      </c>
      <c r="G801">
        <f>'4I'!$D$175</f>
        <v>0</v>
      </c>
    </row>
    <row r="802" spans="1:7">
      <c r="A802" t="s">
        <v>17333</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17467</v>
      </c>
      <c r="G802">
        <f>'4I'!$E$175</f>
        <v>0</v>
      </c>
    </row>
    <row r="803" spans="1:7">
      <c r="A803" t="s">
        <v>17333</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17467</v>
      </c>
      <c r="G803">
        <f>'4I'!$F$175</f>
        <v>0</v>
      </c>
    </row>
    <row r="804" spans="1:7">
      <c r="A804" t="s">
        <v>17333</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17467</v>
      </c>
      <c r="G804">
        <f>'4I'!$G$175</f>
        <v>0</v>
      </c>
    </row>
    <row r="805" spans="1:7">
      <c r="A805" t="s">
        <v>17333</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17467</v>
      </c>
      <c r="G805">
        <f>'4I'!$H$175</f>
        <v>0</v>
      </c>
    </row>
    <row r="806" spans="1:7">
      <c r="A806" t="s">
        <v>17333</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17467</v>
      </c>
      <c r="G806">
        <f>'4I'!$I$175</f>
        <v>0</v>
      </c>
    </row>
    <row r="807" spans="1:7">
      <c r="A807" t="s">
        <v>17333</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17467</v>
      </c>
      <c r="G807">
        <f>'4I'!$C$176</f>
        <v>0</v>
      </c>
    </row>
    <row r="808" spans="1:7">
      <c r="A808" t="s">
        <v>17333</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17467</v>
      </c>
      <c r="G808">
        <f>'4I'!$D$176</f>
        <v>0</v>
      </c>
    </row>
    <row r="809" spans="1:7">
      <c r="A809" t="s">
        <v>17333</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17467</v>
      </c>
      <c r="G809">
        <f>'4I'!$E$176</f>
        <v>0</v>
      </c>
    </row>
    <row r="810" spans="1:7">
      <c r="A810" t="s">
        <v>17333</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17467</v>
      </c>
      <c r="G810">
        <f>'4I'!$F$176</f>
        <v>0</v>
      </c>
    </row>
    <row r="811" spans="1:7">
      <c r="A811" t="s">
        <v>17333</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17467</v>
      </c>
      <c r="G811">
        <f>'4I'!$G$176</f>
        <v>0</v>
      </c>
    </row>
    <row r="812" spans="1:7">
      <c r="A812" t="s">
        <v>17333</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17467</v>
      </c>
      <c r="G812">
        <f>'4I'!$H$176</f>
        <v>0</v>
      </c>
    </row>
    <row r="813" spans="1:7">
      <c r="A813" t="s">
        <v>17333</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17467</v>
      </c>
      <c r="G813">
        <f>'4I'!$I$176</f>
        <v>0</v>
      </c>
    </row>
    <row r="814" spans="1:7">
      <c r="A814" t="s">
        <v>17333</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17467</v>
      </c>
      <c r="G814">
        <f>'4I'!$C$177</f>
        <v>0</v>
      </c>
    </row>
    <row r="815" spans="1:7">
      <c r="A815" t="s">
        <v>17333</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17467</v>
      </c>
      <c r="G815">
        <f>'4I'!$D$177</f>
        <v>0</v>
      </c>
    </row>
    <row r="816" spans="1:7">
      <c r="A816" t="s">
        <v>17333</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17467</v>
      </c>
      <c r="G816">
        <f>'4I'!$E$177</f>
        <v>0</v>
      </c>
    </row>
    <row r="817" spans="1:7">
      <c r="A817" t="s">
        <v>17333</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17467</v>
      </c>
      <c r="G817">
        <f>'4I'!$F$177</f>
        <v>0</v>
      </c>
    </row>
    <row r="818" spans="1:7">
      <c r="A818" t="s">
        <v>17333</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17467</v>
      </c>
      <c r="G818">
        <f>'4I'!$G$177</f>
        <v>0</v>
      </c>
    </row>
    <row r="819" spans="1:7">
      <c r="A819" t="s">
        <v>17333</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17467</v>
      </c>
      <c r="G819">
        <f>'4I'!$H$177</f>
        <v>0</v>
      </c>
    </row>
    <row r="820" spans="1:7">
      <c r="A820" t="s">
        <v>17333</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17467</v>
      </c>
      <c r="G820">
        <f>'4I'!$I$177</f>
        <v>0</v>
      </c>
    </row>
    <row r="821" spans="1:7">
      <c r="A821" t="s">
        <v>17333</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17467</v>
      </c>
      <c r="G821">
        <f>'4I'!$C$178</f>
        <v>0</v>
      </c>
    </row>
    <row r="822" spans="1:7">
      <c r="A822" t="s">
        <v>17333</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17467</v>
      </c>
      <c r="G822">
        <f>'4I'!$D$178</f>
        <v>0</v>
      </c>
    </row>
    <row r="823" spans="1:7">
      <c r="A823" t="s">
        <v>17333</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17467</v>
      </c>
      <c r="G823">
        <f>'4I'!$E$178</f>
        <v>0</v>
      </c>
    </row>
    <row r="824" spans="1:7">
      <c r="A824" t="s">
        <v>17333</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17467</v>
      </c>
      <c r="G824">
        <f>'4I'!$F$178</f>
        <v>0</v>
      </c>
    </row>
    <row r="825" spans="1:7">
      <c r="A825" t="s">
        <v>17333</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17467</v>
      </c>
      <c r="G825">
        <f>'4I'!$G$178</f>
        <v>0</v>
      </c>
    </row>
    <row r="826" spans="1:7">
      <c r="A826" t="s">
        <v>17333</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17467</v>
      </c>
      <c r="G826">
        <f>'4I'!$H$178</f>
        <v>0</v>
      </c>
    </row>
    <row r="827" spans="1:7">
      <c r="A827" t="s">
        <v>17333</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17467</v>
      </c>
      <c r="G827">
        <f>'4I'!$I$178</f>
        <v>0</v>
      </c>
    </row>
    <row r="828" spans="1:7">
      <c r="A828" t="s">
        <v>17333</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17467</v>
      </c>
      <c r="G828">
        <f>'4I'!$C$181</f>
        <v>0</v>
      </c>
    </row>
    <row r="829" spans="1:7">
      <c r="A829" t="s">
        <v>17333</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17467</v>
      </c>
      <c r="G829">
        <f>'4I'!$D$181</f>
        <v>0</v>
      </c>
    </row>
    <row r="830" spans="1:7">
      <c r="A830" t="s">
        <v>17333</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17467</v>
      </c>
      <c r="G830">
        <f>'4I'!$E$181</f>
        <v>0</v>
      </c>
    </row>
    <row r="831" spans="1:7">
      <c r="A831" t="s">
        <v>17333</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17467</v>
      </c>
      <c r="G831">
        <f>'4I'!$F$181</f>
        <v>0</v>
      </c>
    </row>
    <row r="832" spans="1:7">
      <c r="A832" t="s">
        <v>17333</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17467</v>
      </c>
      <c r="G832">
        <f>'4I'!$G$181</f>
        <v>0</v>
      </c>
    </row>
    <row r="833" spans="1:7">
      <c r="A833" t="s">
        <v>17333</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17467</v>
      </c>
      <c r="G833">
        <f>'4I'!$H$181</f>
        <v>0</v>
      </c>
    </row>
    <row r="834" spans="1:7">
      <c r="A834" t="s">
        <v>17333</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17467</v>
      </c>
      <c r="G834">
        <f>'4I'!$I$181</f>
        <v>0</v>
      </c>
    </row>
    <row r="835" spans="1:7">
      <c r="A835" t="s">
        <v>17333</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17467</v>
      </c>
      <c r="G835">
        <f>'4I'!$C$183</f>
        <v>0</v>
      </c>
    </row>
    <row r="836" spans="1:7">
      <c r="A836" t="s">
        <v>17333</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17467</v>
      </c>
      <c r="G836">
        <f>'4I'!$D$183</f>
        <v>0</v>
      </c>
    </row>
    <row r="837" spans="1:7">
      <c r="A837" t="s">
        <v>17333</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17467</v>
      </c>
      <c r="G837">
        <f>'4I'!$E$183</f>
        <v>0</v>
      </c>
    </row>
    <row r="838" spans="1:7">
      <c r="A838" t="s">
        <v>17333</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17467</v>
      </c>
      <c r="G838">
        <f>'4I'!$F$183</f>
        <v>0</v>
      </c>
    </row>
    <row r="839" spans="1:7">
      <c r="A839" t="s">
        <v>17333</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17467</v>
      </c>
      <c r="G839">
        <f>'4I'!$G$183</f>
        <v>0</v>
      </c>
    </row>
    <row r="840" spans="1:7">
      <c r="A840" t="s">
        <v>17333</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17467</v>
      </c>
      <c r="G840">
        <f>'4I'!$H$183</f>
        <v>0</v>
      </c>
    </row>
    <row r="841" spans="1:7">
      <c r="A841" t="s">
        <v>17333</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17467</v>
      </c>
      <c r="G841">
        <f>'4I'!$I$183</f>
        <v>0</v>
      </c>
    </row>
    <row r="842" spans="1:7">
      <c r="A842" t="s">
        <v>17333</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17467</v>
      </c>
      <c r="G842">
        <f>'4I'!$C$192</f>
        <v>0</v>
      </c>
    </row>
    <row r="843" spans="1:7">
      <c r="A843" t="s">
        <v>17333</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17467</v>
      </c>
      <c r="G843">
        <f>'4I'!$D$192</f>
        <v>0</v>
      </c>
    </row>
    <row r="844" spans="1:7">
      <c r="A844" t="s">
        <v>17333</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17467</v>
      </c>
      <c r="G844">
        <f>'4I'!$E$192</f>
        <v>0</v>
      </c>
    </row>
    <row r="845" spans="1:7">
      <c r="A845" t="s">
        <v>17333</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17467</v>
      </c>
      <c r="G845">
        <f>'4I'!$F$192</f>
        <v>192</v>
      </c>
    </row>
    <row r="846" spans="1:7">
      <c r="A846" t="s">
        <v>17333</v>
      </c>
      <c r="C846" t="str">
        <f>'4I'!$AJ$192</f>
        <v>CR2021N6_FD_D</v>
      </c>
      <c r="D846" t="str">
        <f>_xlfn.CONCAT('4I'!$B$191, "-", '4I'!$B$192, "-", '4I'!$G$189, "-", '4I'!$G$188, "-", '4I'!$G$187, "-", '4I'!$G$186, "-", '4I'!$C$185)</f>
        <v>Interest rate swap (sterling)-Floating to fixed rate-3-£m-Nominal value (net)-Total value at 31 March-Financial derivatives – (D) Other swaps</v>
      </c>
      <c r="F846" t="s">
        <v>17467</v>
      </c>
      <c r="G846">
        <f>'4I'!$G$192</f>
        <v>192</v>
      </c>
    </row>
    <row r="847" spans="1:7">
      <c r="A847" t="s">
        <v>17333</v>
      </c>
      <c r="C847" t="str">
        <f>'4I'!$AK$192</f>
        <v>CR2021MM_FD_D</v>
      </c>
      <c r="D847" t="str">
        <f>_xlfn.CONCAT('4I'!$B$191, "-", '4I'!$B$192, "-", '4I'!$H$189, "-", '4I'!$H$188, "-", '4I'!$H$187, "-", '4I'!$G$186, "-", '4I'!$C$185)</f>
        <v>Interest rate swap (sterling)-Floating to fixed rate-3-£m-Mark to Market-Total value at 31 March-Financial derivatives – (D) Other swaps</v>
      </c>
      <c r="F847" t="s">
        <v>17467</v>
      </c>
      <c r="G847">
        <f>'4I'!$H$192</f>
        <v>26.155999999999999</v>
      </c>
    </row>
    <row r="848" spans="1:7">
      <c r="A848" t="s">
        <v>17333</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17467</v>
      </c>
      <c r="G848">
        <f>'4I'!$I$192</f>
        <v>0</v>
      </c>
    </row>
    <row r="849" spans="1:7">
      <c r="A849" t="s">
        <v>17333</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17467</v>
      </c>
      <c r="G849">
        <f>'4I'!$J$192</f>
        <v>5.67E-2</v>
      </c>
    </row>
    <row r="850" spans="1:7">
      <c r="A850" t="s">
        <v>17333</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17467</v>
      </c>
      <c r="G850">
        <f>'4I'!$K$192</f>
        <v>9.5999999999999992E-3</v>
      </c>
    </row>
    <row r="851" spans="1:7">
      <c r="A851" t="s">
        <v>17333</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17467</v>
      </c>
      <c r="G851">
        <f>'4I'!$C$193</f>
        <v>0</v>
      </c>
    </row>
    <row r="852" spans="1:7">
      <c r="A852" t="s">
        <v>17333</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17467</v>
      </c>
      <c r="G852">
        <f>'4I'!$D$193</f>
        <v>0</v>
      </c>
    </row>
    <row r="853" spans="1:7">
      <c r="A853" t="s">
        <v>17333</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17467</v>
      </c>
      <c r="G853">
        <f>'4I'!$E$193</f>
        <v>0</v>
      </c>
    </row>
    <row r="854" spans="1:7">
      <c r="A854" t="s">
        <v>17333</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17467</v>
      </c>
      <c r="G854">
        <f>'4I'!$F$193</f>
        <v>0</v>
      </c>
    </row>
    <row r="855" spans="1:7">
      <c r="A855" t="s">
        <v>17333</v>
      </c>
      <c r="C855" t="str">
        <f>'4I'!$AJ$193</f>
        <v>CR2022N6_FD_D</v>
      </c>
      <c r="D855" t="str">
        <f>_xlfn.CONCAT('4I'!$B$191, "-", '4I'!$B$193, "-", '4I'!$G$189, "-", '4I'!$G$188, "-", '4I'!$G$187, "-", '4I'!$G$186, "-", '4I'!$C$185)</f>
        <v>Interest rate swap (sterling)-Floating from fixed rate-3-£m-Nominal value (net)-Total value at 31 March-Financial derivatives – (D) Other swaps</v>
      </c>
      <c r="F855" t="s">
        <v>17467</v>
      </c>
      <c r="G855">
        <f>'4I'!$G$193</f>
        <v>0</v>
      </c>
    </row>
    <row r="856" spans="1:7">
      <c r="A856" t="s">
        <v>17333</v>
      </c>
      <c r="C856" t="str">
        <f>'4I'!$AK$193</f>
        <v>CR2022MM_FD_D</v>
      </c>
      <c r="D856" t="str">
        <f>_xlfn.CONCAT('4I'!$B$191, "-", '4I'!$B$193, "-", '4I'!$H$189, "-", '4I'!$H$188, "-", '4I'!$H$187, "-", '4I'!$G$186, "-", '4I'!$C$185)</f>
        <v>Interest rate swap (sterling)-Floating from fixed rate-3-£m-Mark to Market-Total value at 31 March-Financial derivatives – (D) Other swaps</v>
      </c>
      <c r="F856" t="s">
        <v>17467</v>
      </c>
      <c r="G856">
        <f>'4I'!$H$193</f>
        <v>0</v>
      </c>
    </row>
    <row r="857" spans="1:7">
      <c r="A857" t="s">
        <v>17333</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17467</v>
      </c>
      <c r="G857">
        <f>'4I'!$I$193</f>
        <v>0</v>
      </c>
    </row>
    <row r="858" spans="1:7">
      <c r="A858" t="s">
        <v>17333</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17467</v>
      </c>
      <c r="G858">
        <f>'4I'!$J$193</f>
        <v>0</v>
      </c>
    </row>
    <row r="859" spans="1:7">
      <c r="A859" t="s">
        <v>17333</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17467</v>
      </c>
      <c r="G859">
        <f>'4I'!$K$193</f>
        <v>0</v>
      </c>
    </row>
    <row r="860" spans="1:7">
      <c r="A860" t="s">
        <v>17333</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17467</v>
      </c>
      <c r="G860">
        <f>'4I'!$C$194</f>
        <v>0</v>
      </c>
    </row>
    <row r="861" spans="1:7">
      <c r="A861" t="s">
        <v>17333</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17467</v>
      </c>
      <c r="G861">
        <f>'4I'!$D$194</f>
        <v>0</v>
      </c>
    </row>
    <row r="862" spans="1:7">
      <c r="A862" t="s">
        <v>17333</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17467</v>
      </c>
      <c r="G862">
        <f>'4I'!$E$194</f>
        <v>550</v>
      </c>
    </row>
    <row r="863" spans="1:7">
      <c r="A863" t="s">
        <v>17333</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17467</v>
      </c>
      <c r="G863">
        <f>'4I'!$F$194</f>
        <v>700</v>
      </c>
    </row>
    <row r="864" spans="1:7">
      <c r="A864" t="s">
        <v>17333</v>
      </c>
      <c r="C864" t="str">
        <f>'4I'!$AJ$194</f>
        <v>CR2023N6_FD_D</v>
      </c>
      <c r="D864" t="str">
        <f>_xlfn.CONCAT('4I'!$B$191, "-", '4I'!$B$194, "-", '4I'!$G$189, "-", '4I'!$G$188, "-", '4I'!$G$187, "-", '4I'!$G$186, "-", '4I'!$C$185)</f>
        <v>Interest rate swap (sterling)-Floating to index linked-3-£m-Nominal value (net)-Total value at 31 March-Financial derivatives – (D) Other swaps</v>
      </c>
      <c r="F864" t="s">
        <v>17467</v>
      </c>
      <c r="G864">
        <f>'4I'!$G$194</f>
        <v>1250</v>
      </c>
    </row>
    <row r="865" spans="1:7">
      <c r="A865" t="s">
        <v>17333</v>
      </c>
      <c r="C865" t="str">
        <f>'4I'!$AK$194</f>
        <v>CR2023MM_FD_D</v>
      </c>
      <c r="D865" t="str">
        <f>_xlfn.CONCAT('4I'!$B$191, "-", '4I'!$B$194, "-", '4I'!$H$189, "-", '4I'!$H$188, "-", '4I'!$H$187, "-", '4I'!$G$186, "-", '4I'!$C$185)</f>
        <v>Interest rate swap (sterling)-Floating to index linked-3-£m-Mark to Market-Total value at 31 March-Financial derivatives – (D) Other swaps</v>
      </c>
      <c r="F865" t="s">
        <v>17467</v>
      </c>
      <c r="G865">
        <f>'4I'!$H$194</f>
        <v>367.93</v>
      </c>
    </row>
    <row r="866" spans="1:7">
      <c r="A866" t="s">
        <v>17333</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17467</v>
      </c>
      <c r="G866">
        <f>'4I'!$I$194</f>
        <v>344.654</v>
      </c>
    </row>
    <row r="867" spans="1:7">
      <c r="A867" t="s">
        <v>17333</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17467</v>
      </c>
      <c r="G867">
        <f>'4I'!$J$194</f>
        <v>-5.0000000000000001E-4</v>
      </c>
    </row>
    <row r="868" spans="1:7">
      <c r="A868" t="s">
        <v>17333</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17467</v>
      </c>
      <c r="G868">
        <f>'4I'!$K$194</f>
        <v>3.2099999999999997E-2</v>
      </c>
    </row>
    <row r="869" spans="1:7">
      <c r="A869" t="s">
        <v>17333</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17467</v>
      </c>
      <c r="G869">
        <f>'4I'!$C$195</f>
        <v>0</v>
      </c>
    </row>
    <row r="870" spans="1:7">
      <c r="A870" t="s">
        <v>17333</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17467</v>
      </c>
      <c r="G870">
        <f>'4I'!$D$195</f>
        <v>0</v>
      </c>
    </row>
    <row r="871" spans="1:7">
      <c r="A871" t="s">
        <v>17333</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17467</v>
      </c>
      <c r="G871">
        <f>'4I'!$E$195</f>
        <v>0</v>
      </c>
    </row>
    <row r="872" spans="1:7">
      <c r="A872" t="s">
        <v>17333</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17467</v>
      </c>
      <c r="G872">
        <f>'4I'!$F$195</f>
        <v>0</v>
      </c>
    </row>
    <row r="873" spans="1:7">
      <c r="A873" t="s">
        <v>17333</v>
      </c>
      <c r="C873" t="str">
        <f>'4I'!$AJ$195</f>
        <v>CR2024N6_FD_D</v>
      </c>
      <c r="D873" t="str">
        <f>_xlfn.CONCAT('4I'!$B$191, "-", '4I'!$B$195, "-", '4I'!$G$189, "-", '4I'!$G$188, "-", '4I'!$G$187, "-", '4I'!$G$186, "-", '4I'!$C$185)</f>
        <v>Interest rate swap (sterling)-Floating from index linked-3-£m-Nominal value (net)-Total value at 31 March-Financial derivatives – (D) Other swaps</v>
      </c>
      <c r="F873" t="s">
        <v>17467</v>
      </c>
      <c r="G873">
        <f>'4I'!$G$195</f>
        <v>0</v>
      </c>
    </row>
    <row r="874" spans="1:7">
      <c r="A874" t="s">
        <v>17333</v>
      </c>
      <c r="C874" t="str">
        <f>'4I'!$AK$195</f>
        <v>CR2024MM_FD_D</v>
      </c>
      <c r="D874" t="str">
        <f>_xlfn.CONCAT('4I'!$B$191, "-", '4I'!$B$195, "-", '4I'!$H$189, "-", '4I'!$H$188, "-", '4I'!$H$187, "-", '4I'!$G$186, "-", '4I'!$C$185)</f>
        <v>Interest rate swap (sterling)-Floating from index linked-3-£m-Mark to Market-Total value at 31 March-Financial derivatives – (D) Other swaps</v>
      </c>
      <c r="F874" t="s">
        <v>17467</v>
      </c>
      <c r="G874">
        <f>'4I'!$H$195</f>
        <v>0</v>
      </c>
    </row>
    <row r="875" spans="1:7">
      <c r="A875" t="s">
        <v>17333</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17467</v>
      </c>
      <c r="G875">
        <f>'4I'!$I$195</f>
        <v>0</v>
      </c>
    </row>
    <row r="876" spans="1:7">
      <c r="A876" t="s">
        <v>17333</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17467</v>
      </c>
      <c r="G876">
        <f>'4I'!$J$195</f>
        <v>0</v>
      </c>
    </row>
    <row r="877" spans="1:7">
      <c r="A877" t="s">
        <v>17333</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17467</v>
      </c>
      <c r="G877">
        <f>'4I'!$K$195</f>
        <v>0</v>
      </c>
    </row>
    <row r="878" spans="1:7">
      <c r="A878" t="s">
        <v>17333</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17467</v>
      </c>
      <c r="G878">
        <f>'4I'!$C$196</f>
        <v>0</v>
      </c>
    </row>
    <row r="879" spans="1:7">
      <c r="A879" t="s">
        <v>17333</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17467</v>
      </c>
      <c r="G879">
        <f>'4I'!$D$196</f>
        <v>0</v>
      </c>
    </row>
    <row r="880" spans="1:7">
      <c r="A880" t="s">
        <v>17333</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17467</v>
      </c>
      <c r="G880">
        <f>'4I'!$E$196</f>
        <v>0</v>
      </c>
    </row>
    <row r="881" spans="1:7">
      <c r="A881" t="s">
        <v>17333</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17467</v>
      </c>
      <c r="G881">
        <f>'4I'!$F$196</f>
        <v>0</v>
      </c>
    </row>
    <row r="882" spans="1:7">
      <c r="A882" t="s">
        <v>17333</v>
      </c>
      <c r="C882" t="str">
        <f>'4I'!$AJ$196</f>
        <v>CR2025N6_FD_D</v>
      </c>
      <c r="D882" t="str">
        <f>_xlfn.CONCAT('4I'!$B$191, "-", '4I'!$B$196, "-", '4I'!$G$189, "-", '4I'!$G$188, "-", '4I'!$G$187, "-", '4I'!$G$186, "-", '4I'!$C$185)</f>
        <v>Interest rate swap (sterling)-Fixed to index-linked-3-£m-Nominal value (net)-Total value at 31 March-Financial derivatives – (D) Other swaps</v>
      </c>
      <c r="F882" t="s">
        <v>17467</v>
      </c>
      <c r="G882">
        <f>'4I'!$G$196</f>
        <v>0</v>
      </c>
    </row>
    <row r="883" spans="1:7">
      <c r="A883" t="s">
        <v>17333</v>
      </c>
      <c r="C883" t="str">
        <f>'4I'!$AK$196</f>
        <v>CR2025MM_FD_D</v>
      </c>
      <c r="D883" t="str">
        <f>_xlfn.CONCAT('4I'!$B$191, "-", '4I'!$B$196, "-", '4I'!$H$189, "-", '4I'!$H$188, "-", '4I'!$H$187, "-", '4I'!$G$186, "-", '4I'!$C$185)</f>
        <v>Interest rate swap (sterling)-Fixed to index-linked-3-£m-Mark to Market-Total value at 31 March-Financial derivatives – (D) Other swaps</v>
      </c>
      <c r="F883" t="s">
        <v>17467</v>
      </c>
      <c r="G883">
        <f>'4I'!$H$196</f>
        <v>0</v>
      </c>
    </row>
    <row r="884" spans="1:7">
      <c r="A884" t="s">
        <v>17333</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17467</v>
      </c>
      <c r="G884">
        <f>'4I'!$I$196</f>
        <v>0</v>
      </c>
    </row>
    <row r="885" spans="1:7">
      <c r="A885" t="s">
        <v>17333</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17467</v>
      </c>
      <c r="G885">
        <f>'4I'!$J$196</f>
        <v>0</v>
      </c>
    </row>
    <row r="886" spans="1:7">
      <c r="A886" t="s">
        <v>17333</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17467</v>
      </c>
      <c r="G886">
        <f>'4I'!$K$196</f>
        <v>0</v>
      </c>
    </row>
    <row r="887" spans="1:7">
      <c r="A887" t="s">
        <v>17333</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17467</v>
      </c>
      <c r="G887">
        <f>'4I'!$C$197</f>
        <v>0</v>
      </c>
    </row>
    <row r="888" spans="1:7">
      <c r="A888" t="s">
        <v>17333</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17467</v>
      </c>
      <c r="G888">
        <f>'4I'!$D$197</f>
        <v>0</v>
      </c>
    </row>
    <row r="889" spans="1:7">
      <c r="A889" t="s">
        <v>17333</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17467</v>
      </c>
      <c r="G889">
        <f>'4I'!$E$197</f>
        <v>0</v>
      </c>
    </row>
    <row r="890" spans="1:7">
      <c r="A890" t="s">
        <v>17333</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17467</v>
      </c>
      <c r="G890">
        <f>'4I'!$F$197</f>
        <v>0</v>
      </c>
    </row>
    <row r="891" spans="1:7">
      <c r="A891" t="s">
        <v>17333</v>
      </c>
      <c r="C891" t="str">
        <f>'4I'!$AJ$197</f>
        <v>CR2026N6_FD_D</v>
      </c>
      <c r="D891" t="str">
        <f>_xlfn.CONCAT('4I'!$B$191, "-", '4I'!$B$197, "-", '4I'!$G$189, "-", '4I'!$G$188, "-", '4I'!$G$187, "-", '4I'!$G$186, "-", '4I'!$C$185)</f>
        <v>Interest rate swap (sterling)-Fixed from index-linked-3-£m-Nominal value (net)-Total value at 31 March-Financial derivatives – (D) Other swaps</v>
      </c>
      <c r="F891" t="s">
        <v>17467</v>
      </c>
      <c r="G891">
        <f>'4I'!$G$197</f>
        <v>0</v>
      </c>
    </row>
    <row r="892" spans="1:7">
      <c r="A892" t="s">
        <v>17333</v>
      </c>
      <c r="C892" t="str">
        <f>'4I'!$AK$197</f>
        <v>CR2026MM_FD_D</v>
      </c>
      <c r="D892" t="str">
        <f>_xlfn.CONCAT('4I'!$B$191, "-", '4I'!$B$197, "-", '4I'!$H$189, "-", '4I'!$H$188, "-", '4I'!$H$187, "-", '4I'!$G$186, "-", '4I'!$C$185)</f>
        <v>Interest rate swap (sterling)-Fixed from index-linked-3-£m-Mark to Market-Total value at 31 March-Financial derivatives – (D) Other swaps</v>
      </c>
      <c r="F892" t="s">
        <v>17467</v>
      </c>
      <c r="G892">
        <f>'4I'!$H$197</f>
        <v>0</v>
      </c>
    </row>
    <row r="893" spans="1:7">
      <c r="A893" t="s">
        <v>17333</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17467</v>
      </c>
      <c r="G893">
        <f>'4I'!$I$197</f>
        <v>0</v>
      </c>
    </row>
    <row r="894" spans="1:7">
      <c r="A894" t="s">
        <v>17333</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17467</v>
      </c>
      <c r="G894">
        <f>'4I'!$J$197</f>
        <v>0</v>
      </c>
    </row>
    <row r="895" spans="1:7">
      <c r="A895" t="s">
        <v>17333</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17467</v>
      </c>
      <c r="G895">
        <f>'4I'!$K$197</f>
        <v>0</v>
      </c>
    </row>
    <row r="896" spans="1:7">
      <c r="A896" t="s">
        <v>17333</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17467</v>
      </c>
      <c r="G896">
        <f>'4I'!$C$198</f>
        <v>0</v>
      </c>
    </row>
    <row r="897" spans="1:7">
      <c r="A897" t="s">
        <v>17333</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17467</v>
      </c>
      <c r="G897">
        <f>'4I'!$D$198</f>
        <v>0</v>
      </c>
    </row>
    <row r="898" spans="1:7">
      <c r="A898" t="s">
        <v>17333</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17467</v>
      </c>
      <c r="G898">
        <f>'4I'!$E$198</f>
        <v>0</v>
      </c>
    </row>
    <row r="899" spans="1:7">
      <c r="A899" t="s">
        <v>17333</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17467</v>
      </c>
      <c r="G899">
        <f>'4I'!$F$198</f>
        <v>0</v>
      </c>
    </row>
    <row r="900" spans="1:7">
      <c r="A900" t="s">
        <v>17333</v>
      </c>
      <c r="C900" t="str">
        <f>'4I'!$AJ$198</f>
        <v>CR4029N6_FD_D</v>
      </c>
      <c r="D900" t="str">
        <f>_xlfn.CONCAT('4I'!$B$191, "-", '4I'!$B$198, "-", '4I'!$G$189, "-", '4I'!$G$188, "-", '4I'!$G$187, "-", '4I'!$G$186, "-", '4I'!$C$185)</f>
        <v>Interest rate swap (sterling)-Index-linked to index-linked-3-£m-Nominal value (net)-Total value at 31 March-Financial derivatives – (D) Other swaps</v>
      </c>
      <c r="F900" t="s">
        <v>17467</v>
      </c>
      <c r="G900">
        <f>'4I'!$G$198</f>
        <v>0</v>
      </c>
    </row>
    <row r="901" spans="1:7">
      <c r="A901" t="s">
        <v>17333</v>
      </c>
      <c r="C901" t="str">
        <f>'4I'!$AK$198</f>
        <v>CR4029MM_FD_D</v>
      </c>
      <c r="D901" t="str">
        <f>_xlfn.CONCAT('4I'!$B$191, "-", '4I'!$B$198, "-", '4I'!$H$189, "-", '4I'!$H$188, "-", '4I'!$H$187, "-", '4I'!$G$186, "-", '4I'!$C$185)</f>
        <v>Interest rate swap (sterling)-Index-linked to index-linked-3-£m-Mark to Market-Total value at 31 March-Financial derivatives – (D) Other swaps</v>
      </c>
      <c r="F901" t="s">
        <v>17467</v>
      </c>
      <c r="G901">
        <f>'4I'!$H$198</f>
        <v>0</v>
      </c>
    </row>
    <row r="902" spans="1:7">
      <c r="A902" t="s">
        <v>17333</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17467</v>
      </c>
      <c r="G902">
        <f>'4I'!$I$198</f>
        <v>0</v>
      </c>
    </row>
    <row r="903" spans="1:7">
      <c r="A903" t="s">
        <v>17333</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17467</v>
      </c>
      <c r="G903">
        <f>'4I'!$J$198</f>
        <v>0</v>
      </c>
    </row>
    <row r="904" spans="1:7">
      <c r="A904" t="s">
        <v>17333</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17467</v>
      </c>
      <c r="G904">
        <f>'4I'!$K$198</f>
        <v>0</v>
      </c>
    </row>
    <row r="905" spans="1:7">
      <c r="A905" t="s">
        <v>17333</v>
      </c>
      <c r="C905" t="str">
        <f>'4I'!$AF$199</f>
        <v>CR2027N0_FD_D</v>
      </c>
      <c r="D905" t="str">
        <f>_xlfn.CONCAT('4I'!$B$191, "-", '4I'!$B$199, "-", '4I'!$C$189, "-", '4I'!$C$188, "-", '4I'!$C$187, "-", '4I'!$C$186, "-", '4I'!$C$185)</f>
        <v>Interest rate swap (sterling)-Total-3-£m-0 to 1 years-Nominal value by maturity (net) at 31 March-Financial derivatives – (D) Other swaps</v>
      </c>
      <c r="F905" t="s">
        <v>17467</v>
      </c>
      <c r="G905">
        <f>'4I'!$C$199</f>
        <v>0</v>
      </c>
    </row>
    <row r="906" spans="1:7">
      <c r="A906" t="s">
        <v>17333</v>
      </c>
      <c r="C906" t="str">
        <f>'4I'!$AG$199</f>
        <v>CR2027N1_FD_D</v>
      </c>
      <c r="D906" t="str">
        <f>_xlfn.CONCAT('4I'!$B$191, "-", '4I'!$B$199, "-", '4I'!$D$189, "-", '4I'!$D$188, "-", '4I'!$D$187, "-", '4I'!$C$186, "-", '4I'!$C$185)</f>
        <v>Interest rate swap (sterling)-Total-3-£m-1 to 2 years-Nominal value by maturity (net) at 31 March-Financial derivatives – (D) Other swaps</v>
      </c>
      <c r="F906" t="s">
        <v>17467</v>
      </c>
      <c r="G906">
        <f>'4I'!$D$199</f>
        <v>0</v>
      </c>
    </row>
    <row r="907" spans="1:7">
      <c r="A907" t="s">
        <v>17333</v>
      </c>
      <c r="C907" t="str">
        <f>'4I'!$AH$199</f>
        <v>CR2027N2_FD_D</v>
      </c>
      <c r="D907" t="str">
        <f>_xlfn.CONCAT('4I'!$B$191, "-", '4I'!$B$199, "-", '4I'!$E$189, "-", '4I'!$E$188, "-", '4I'!$E$187, "-", '4I'!$C$186, "-", '4I'!$C$185)</f>
        <v>Interest rate swap (sterling)-Total-3-£m-2 to 5 years-Nominal value by maturity (net) at 31 March-Financial derivatives – (D) Other swaps</v>
      </c>
      <c r="F907" t="s">
        <v>17467</v>
      </c>
      <c r="G907">
        <f>'4I'!$E$199</f>
        <v>550</v>
      </c>
    </row>
    <row r="908" spans="1:7">
      <c r="A908" t="s">
        <v>17333</v>
      </c>
      <c r="C908" t="str">
        <f>'4I'!$AI$199</f>
        <v>CR2027N5_FD_D</v>
      </c>
      <c r="D908" t="str">
        <f>_xlfn.CONCAT('4I'!$B$191, "-", '4I'!$B$199, "-", '4I'!$F$189, "-", '4I'!$F$188, "-", '4I'!$F$187, "-", '4I'!$C$186, "-", '4I'!$C$185)</f>
        <v>Interest rate swap (sterling)-Total-3-£m-Over 5 years-Nominal value by maturity (net) at 31 March-Financial derivatives – (D) Other swaps</v>
      </c>
      <c r="F908" t="s">
        <v>17467</v>
      </c>
      <c r="G908">
        <f>'4I'!$F$199</f>
        <v>892</v>
      </c>
    </row>
    <row r="909" spans="1:7">
      <c r="A909" t="s">
        <v>17333</v>
      </c>
      <c r="C909" t="str">
        <f>'4I'!$AJ$199</f>
        <v>CR2027N6_FD_D</v>
      </c>
      <c r="D909" t="str">
        <f>_xlfn.CONCAT('4I'!$B$191, "-", '4I'!$B$199, "-", '4I'!$G$189, "-", '4I'!$G$188, "-", '4I'!$G$187, "-", '4I'!$G$186, "-", '4I'!$C$185)</f>
        <v>Interest rate swap (sterling)-Total-3-£m-Nominal value (net)-Total value at 31 March-Financial derivatives – (D) Other swaps</v>
      </c>
      <c r="F909" t="s">
        <v>17467</v>
      </c>
      <c r="G909">
        <f>'4I'!$G$199</f>
        <v>1442</v>
      </c>
    </row>
    <row r="910" spans="1:7">
      <c r="A910" t="s">
        <v>17333</v>
      </c>
      <c r="C910" t="str">
        <f>'4I'!$AK$199</f>
        <v>CR2027MM_FD_D</v>
      </c>
      <c r="D910" t="str">
        <f>_xlfn.CONCAT('4I'!$B$191, "-", '4I'!$B$199, "-", '4I'!$H$189, "-", '4I'!$H$188, "-", '4I'!$H$187, "-", '4I'!$G$186, "-", '4I'!$C$185)</f>
        <v>Interest rate swap (sterling)-Total-3-£m-Mark to Market-Total value at 31 March-Financial derivatives – (D) Other swaps</v>
      </c>
      <c r="F910" t="s">
        <v>17467</v>
      </c>
      <c r="G910">
        <f>'4I'!$H$199</f>
        <v>394.08600000000001</v>
      </c>
    </row>
    <row r="911" spans="1:7">
      <c r="A911" t="s">
        <v>17333</v>
      </c>
      <c r="C911" t="str">
        <f>'4I'!$AL$199</f>
        <v>CR2027TA_FD_D</v>
      </c>
      <c r="D911" t="str">
        <f>_xlfn.CONCAT('4I'!$B$191, "-", '4I'!$B$199, "-", '4I'!$I$189, "-", '4I'!$I$188, "-", '4I'!$I$186, "-", '4I'!$I$186, "-", '4I'!$C$185)</f>
        <v>Interest rate swap (sterling)-Total-3-£m-Total accretion at 31 March-Total accretion at 31 March-Financial derivatives – (D) Other swaps</v>
      </c>
      <c r="F911" t="s">
        <v>17467</v>
      </c>
      <c r="G911">
        <f>'4I'!$I$199</f>
        <v>344.654</v>
      </c>
    </row>
    <row r="912" spans="1:7">
      <c r="A912" t="s">
        <v>17333</v>
      </c>
      <c r="C912" t="str">
        <f>'4I'!$AF$202</f>
        <v>CR2005N0_FD_D</v>
      </c>
      <c r="D912" t="str">
        <f>_xlfn.CONCAT('4I'!$B$201, "-", '4I'!$B$202, "-", '4I'!$C$189, "-", '4I'!$C$188, "-", '4I'!$C$187, "-", '4I'!$C$186, "-", '4I'!$C$185)</f>
        <v>Foreign Exchange-Cross currency swap USD-3-£m-0 to 1 years-Nominal value by maturity (net) at 31 March-Financial derivatives – (D) Other swaps</v>
      </c>
      <c r="F912" t="s">
        <v>17467</v>
      </c>
      <c r="G912">
        <f>'4I'!$C$202</f>
        <v>0</v>
      </c>
    </row>
    <row r="913" spans="1:7">
      <c r="A913" t="s">
        <v>17333</v>
      </c>
      <c r="C913" t="str">
        <f>'4I'!$AG$202</f>
        <v>CR2005N1_FD_D</v>
      </c>
      <c r="D913" t="str">
        <f>_xlfn.CONCAT('4I'!$B$201, "-", '4I'!$B$202, "-", '4I'!$D$189, "-", '4I'!$D$188, "-", '4I'!$D$187, "-", '4I'!$C$186, "-", '4I'!$C$185)</f>
        <v>Foreign Exchange-Cross currency swap USD-3-£m-1 to 2 years-Nominal value by maturity (net) at 31 March-Financial derivatives – (D) Other swaps</v>
      </c>
      <c r="F913" t="s">
        <v>17467</v>
      </c>
      <c r="G913">
        <f>'4I'!$D$202</f>
        <v>0</v>
      </c>
    </row>
    <row r="914" spans="1:7">
      <c r="A914" t="s">
        <v>17333</v>
      </c>
      <c r="C914" t="str">
        <f>'4I'!$AH$202</f>
        <v>CR2005N2_FD_D</v>
      </c>
      <c r="D914" t="str">
        <f>_xlfn.CONCAT('4I'!$B$201, "-", '4I'!$B$202, "-", '4I'!$E$189, "-", '4I'!$E$188, "-", '4I'!$E$187, "-", '4I'!$C$186, "-", '4I'!$C$185)</f>
        <v>Foreign Exchange-Cross currency swap USD-3-£m-2 to 5 years-Nominal value by maturity (net) at 31 March-Financial derivatives – (D) Other swaps</v>
      </c>
      <c r="F914" t="s">
        <v>17467</v>
      </c>
      <c r="G914">
        <f>'4I'!$E$202</f>
        <v>0</v>
      </c>
    </row>
    <row r="915" spans="1:7">
      <c r="A915" t="s">
        <v>17333</v>
      </c>
      <c r="C915" t="str">
        <f>'4I'!$AI$202</f>
        <v>CR2005N5_FD_D</v>
      </c>
      <c r="D915" t="str">
        <f>_xlfn.CONCAT('4I'!$B$201, "-", '4I'!$B$202, "-", '4I'!$F$189, "-", '4I'!$F$188, "-", '4I'!$F$187, "-", '4I'!$C$186, "-", '4I'!$C$185)</f>
        <v>Foreign Exchange-Cross currency swap USD-3-£m-Over 5 years-Nominal value by maturity (net) at 31 March-Financial derivatives – (D) Other swaps</v>
      </c>
      <c r="F915" t="s">
        <v>17467</v>
      </c>
      <c r="G915">
        <f>'4I'!$F$202</f>
        <v>0</v>
      </c>
    </row>
    <row r="916" spans="1:7">
      <c r="A916" t="s">
        <v>17333</v>
      </c>
      <c r="C916" t="str">
        <f>'4I'!$AJ$202</f>
        <v>CR2005N6_FD_D</v>
      </c>
      <c r="D916" t="str">
        <f>_xlfn.CONCAT('4I'!$B$201, "-", '4I'!$B$202, "-", '4I'!$G$189, "-", '4I'!$G$188, "-", '4I'!$G$187, "-", '4I'!$G$186, "-", '4I'!$C$185)</f>
        <v>Foreign Exchange-Cross currency swap USD-3-£m-Nominal value (net)-Total value at 31 March-Financial derivatives – (D) Other swaps</v>
      </c>
      <c r="F916" t="s">
        <v>17467</v>
      </c>
      <c r="G916">
        <f>'4I'!$G$202</f>
        <v>0</v>
      </c>
    </row>
    <row r="917" spans="1:7">
      <c r="A917" t="s">
        <v>17333</v>
      </c>
      <c r="C917" t="str">
        <f>'4I'!$AK$202</f>
        <v>CR2005MM_FD_D</v>
      </c>
      <c r="D917" t="str">
        <f>_xlfn.CONCAT('4I'!$B$201, "-", '4I'!$B$202, "-", '4I'!$H$189, "-", '4I'!$H$188, "-", '4I'!$H$187, "-", '4I'!$G$186, "-", '4I'!$C$185)</f>
        <v>Foreign Exchange-Cross currency swap USD-3-£m-Mark to Market-Total value at 31 March-Financial derivatives – (D) Other swaps</v>
      </c>
      <c r="F917" t="s">
        <v>17467</v>
      </c>
      <c r="G917">
        <f>'4I'!$H$202</f>
        <v>0</v>
      </c>
    </row>
    <row r="918" spans="1:7">
      <c r="A918" t="s">
        <v>17333</v>
      </c>
      <c r="C918" t="str">
        <f>'4I'!$AL$202</f>
        <v>CR2005TA_FD_D</v>
      </c>
      <c r="D918" t="str">
        <f>_xlfn.CONCAT('4I'!$B$201, "-", '4I'!$B$202, "-", '4I'!$I$189, "-", '4I'!$I$188, "-", '4I'!$I$186, "-", '4I'!$I$186, "-", '4I'!$C$185)</f>
        <v>Foreign Exchange-Cross currency swap USD-3-£m-Total accretion at 31 March-Total accretion at 31 March-Financial derivatives – (D) Other swaps</v>
      </c>
      <c r="F918" t="s">
        <v>17467</v>
      </c>
      <c r="G918">
        <f>'4I'!$I$202</f>
        <v>0</v>
      </c>
    </row>
    <row r="919" spans="1:7">
      <c r="A919" t="s">
        <v>17333</v>
      </c>
      <c r="C919" t="str">
        <f>'4I'!$AF$203</f>
        <v>CR2006N0_FD_D</v>
      </c>
      <c r="D919" t="str">
        <f>_xlfn.CONCAT('4I'!$B$201, "-", '4I'!$B$203, "-", '4I'!$C$189, "-", '4I'!$C$188, "-", '4I'!$C$187, "-", '4I'!$C$186, "-", '4I'!$C$185)</f>
        <v>Foreign Exchange-Cross currency swap EUR-3-£m-0 to 1 years-Nominal value by maturity (net) at 31 March-Financial derivatives – (D) Other swaps</v>
      </c>
      <c r="F919" t="s">
        <v>17467</v>
      </c>
      <c r="G919">
        <f>'4I'!$C$203</f>
        <v>0</v>
      </c>
    </row>
    <row r="920" spans="1:7">
      <c r="A920" t="s">
        <v>17333</v>
      </c>
      <c r="C920" t="str">
        <f>'4I'!$AG$203</f>
        <v>CR2006N1_FD_D</v>
      </c>
      <c r="D920" t="str">
        <f>_xlfn.CONCAT('4I'!$B$201, "-", '4I'!$B$203, "-", '4I'!$D$189, "-", '4I'!$D$188, "-", '4I'!$D$187, "-", '4I'!$C$186, "-", '4I'!$C$185)</f>
        <v>Foreign Exchange-Cross currency swap EUR-3-£m-1 to 2 years-Nominal value by maturity (net) at 31 March-Financial derivatives – (D) Other swaps</v>
      </c>
      <c r="F920" t="s">
        <v>17467</v>
      </c>
      <c r="G920">
        <f>'4I'!$D$203</f>
        <v>0</v>
      </c>
    </row>
    <row r="921" spans="1:7">
      <c r="A921" t="s">
        <v>17333</v>
      </c>
      <c r="C921" t="str">
        <f>'4I'!$AH$203</f>
        <v>CR2006N2_FD_D</v>
      </c>
      <c r="D921" t="str">
        <f>_xlfn.CONCAT('4I'!$B$201, "-", '4I'!$B$203, "-", '4I'!$E$189, "-", '4I'!$E$188, "-", '4I'!$E$187, "-", '4I'!$C$186, "-", '4I'!$C$185)</f>
        <v>Foreign Exchange-Cross currency swap EUR-3-£m-2 to 5 years-Nominal value by maturity (net) at 31 March-Financial derivatives – (D) Other swaps</v>
      </c>
      <c r="F921" t="s">
        <v>17467</v>
      </c>
      <c r="G921">
        <f>'4I'!$E$203</f>
        <v>0</v>
      </c>
    </row>
    <row r="922" spans="1:7">
      <c r="A922" t="s">
        <v>17333</v>
      </c>
      <c r="C922" t="str">
        <f>'4I'!$AI$203</f>
        <v>CR2006N5_FD_D</v>
      </c>
      <c r="D922" t="str">
        <f>_xlfn.CONCAT('4I'!$B$201, "-", '4I'!$B$203, "-", '4I'!$F$189, "-", '4I'!$F$188, "-", '4I'!$F$187, "-", '4I'!$C$186, "-", '4I'!$C$185)</f>
        <v>Foreign Exchange-Cross currency swap EUR-3-£m-Over 5 years-Nominal value by maturity (net) at 31 March-Financial derivatives – (D) Other swaps</v>
      </c>
      <c r="F922" t="s">
        <v>17467</v>
      </c>
      <c r="G922">
        <f>'4I'!$F$203</f>
        <v>0</v>
      </c>
    </row>
    <row r="923" spans="1:7">
      <c r="A923" t="s">
        <v>17333</v>
      </c>
      <c r="C923" t="str">
        <f>'4I'!$AJ$203</f>
        <v>CR2006N6_FD_D</v>
      </c>
      <c r="D923" t="str">
        <f>_xlfn.CONCAT('4I'!$B$201, "-", '4I'!$B$203, "-", '4I'!$G$189, "-", '4I'!$G$188, "-", '4I'!$G$187, "-", '4I'!$G$186, "-", '4I'!$C$185)</f>
        <v>Foreign Exchange-Cross currency swap EUR-3-£m-Nominal value (net)-Total value at 31 March-Financial derivatives – (D) Other swaps</v>
      </c>
      <c r="F923" t="s">
        <v>17467</v>
      </c>
      <c r="G923">
        <f>'4I'!$G$203</f>
        <v>0</v>
      </c>
    </row>
    <row r="924" spans="1:7">
      <c r="A924" t="s">
        <v>17333</v>
      </c>
      <c r="C924" t="str">
        <f>'4I'!$AK$203</f>
        <v>CR2006MM_FD_D</v>
      </c>
      <c r="D924" t="str">
        <f>_xlfn.CONCAT('4I'!$B$201, "-", '4I'!$B$203, "-", '4I'!$H$189, "-", '4I'!$H$188, "-", '4I'!$H$187, "-", '4I'!$G$186, "-", '4I'!$C$185)</f>
        <v>Foreign Exchange-Cross currency swap EUR-3-£m-Mark to Market-Total value at 31 March-Financial derivatives – (D) Other swaps</v>
      </c>
      <c r="F924" t="s">
        <v>17467</v>
      </c>
      <c r="G924">
        <f>'4I'!$H$203</f>
        <v>0</v>
      </c>
    </row>
    <row r="925" spans="1:7">
      <c r="A925" t="s">
        <v>17333</v>
      </c>
      <c r="C925" t="str">
        <f>'4I'!$AL$203</f>
        <v>CR2006TA_FD_D</v>
      </c>
      <c r="D925" t="str">
        <f>_xlfn.CONCAT('4I'!$B$201, "-", '4I'!$B$203, "-", '4I'!$I$189, "-", '4I'!$I$188, "-", '4I'!$I$186, "-", '4I'!$I$186, "-", '4I'!$C$185)</f>
        <v>Foreign Exchange-Cross currency swap EUR-3-£m-Total accretion at 31 March-Total accretion at 31 March-Financial derivatives – (D) Other swaps</v>
      </c>
      <c r="F925" t="s">
        <v>17467</v>
      </c>
      <c r="G925">
        <f>'4I'!$I$203</f>
        <v>0</v>
      </c>
    </row>
    <row r="926" spans="1:7">
      <c r="A926" t="s">
        <v>17333</v>
      </c>
      <c r="C926" t="str">
        <f>'4I'!$AF$204</f>
        <v>CR2007N0_FD_D</v>
      </c>
      <c r="D926" t="str">
        <f>_xlfn.CONCAT('4I'!$B$201, "-", '4I'!$B$204, "-", '4I'!$C$189, "-", '4I'!$C$188, "-", '4I'!$C$187, "-", '4I'!$C$186, "-", '4I'!$C$185)</f>
        <v>Foreign Exchange-Cross currency swap YEN-3-£m-0 to 1 years-Nominal value by maturity (net) at 31 March-Financial derivatives – (D) Other swaps</v>
      </c>
      <c r="F926" t="s">
        <v>17467</v>
      </c>
      <c r="G926">
        <f>'4I'!$C$204</f>
        <v>0</v>
      </c>
    </row>
    <row r="927" spans="1:7">
      <c r="A927" t="s">
        <v>17333</v>
      </c>
      <c r="C927" t="str">
        <f>'4I'!$AG$204</f>
        <v>CR2007N1_FD_D</v>
      </c>
      <c r="D927" t="str">
        <f>_xlfn.CONCAT('4I'!$B$201, "-", '4I'!$B$204, "-", '4I'!$D$189, "-", '4I'!$D$188, "-", '4I'!$D$187, "-", '4I'!$C$186, "-", '4I'!$C$185)</f>
        <v>Foreign Exchange-Cross currency swap YEN-3-£m-1 to 2 years-Nominal value by maturity (net) at 31 March-Financial derivatives – (D) Other swaps</v>
      </c>
      <c r="F927" t="s">
        <v>17467</v>
      </c>
      <c r="G927">
        <f>'4I'!$D$204</f>
        <v>0</v>
      </c>
    </row>
    <row r="928" spans="1:7">
      <c r="A928" t="s">
        <v>17333</v>
      </c>
      <c r="C928" t="str">
        <f>'4I'!$AH$204</f>
        <v>CR2007N2_FD_D</v>
      </c>
      <c r="D928" t="str">
        <f>_xlfn.CONCAT('4I'!$B$201, "-", '4I'!$B$204, "-", '4I'!$E$189, "-", '4I'!$E$188, "-", '4I'!$E$187, "-", '4I'!$C$186, "-", '4I'!$C$185)</f>
        <v>Foreign Exchange-Cross currency swap YEN-3-£m-2 to 5 years-Nominal value by maturity (net) at 31 March-Financial derivatives – (D) Other swaps</v>
      </c>
      <c r="F928" t="s">
        <v>17467</v>
      </c>
      <c r="G928">
        <f>'4I'!$E$204</f>
        <v>0</v>
      </c>
    </row>
    <row r="929" spans="1:7">
      <c r="A929" t="s">
        <v>17333</v>
      </c>
      <c r="C929" t="str">
        <f>'4I'!$AI$204</f>
        <v>CR2007N5_FD_D</v>
      </c>
      <c r="D929" t="str">
        <f>_xlfn.CONCAT('4I'!$B$201, "-", '4I'!$B$204, "-", '4I'!$F$189, "-", '4I'!$F$188, "-", '4I'!$F$187, "-", '4I'!$C$186, "-", '4I'!$C$185)</f>
        <v>Foreign Exchange-Cross currency swap YEN-3-£m-Over 5 years-Nominal value by maturity (net) at 31 March-Financial derivatives – (D) Other swaps</v>
      </c>
      <c r="F929" t="s">
        <v>17467</v>
      </c>
      <c r="G929">
        <f>'4I'!$F$204</f>
        <v>0</v>
      </c>
    </row>
    <row r="930" spans="1:7">
      <c r="A930" t="s">
        <v>17333</v>
      </c>
      <c r="C930" t="str">
        <f>'4I'!$AJ$204</f>
        <v>CR2007N6_FD_D</v>
      </c>
      <c r="D930" t="str">
        <f>_xlfn.CONCAT('4I'!$B$201, "-", '4I'!$B$204, "-", '4I'!$G$189, "-", '4I'!$G$188, "-", '4I'!$G$187, "-", '4I'!$G$186, "-", '4I'!$C$185)</f>
        <v>Foreign Exchange-Cross currency swap YEN-3-£m-Nominal value (net)-Total value at 31 March-Financial derivatives – (D) Other swaps</v>
      </c>
      <c r="F930" t="s">
        <v>17467</v>
      </c>
      <c r="G930">
        <f>'4I'!$G$204</f>
        <v>0</v>
      </c>
    </row>
    <row r="931" spans="1:7">
      <c r="A931" t="s">
        <v>17333</v>
      </c>
      <c r="C931" t="str">
        <f>'4I'!$AK$204</f>
        <v>CR2007MM_FD_D</v>
      </c>
      <c r="D931" t="str">
        <f>_xlfn.CONCAT('4I'!$B$201, "-", '4I'!$B$204, "-", '4I'!$H$189, "-", '4I'!$H$188, "-", '4I'!$H$187, "-", '4I'!$G$186, "-", '4I'!$C$185)</f>
        <v>Foreign Exchange-Cross currency swap YEN-3-£m-Mark to Market-Total value at 31 March-Financial derivatives – (D) Other swaps</v>
      </c>
      <c r="F931" t="s">
        <v>17467</v>
      </c>
      <c r="G931">
        <f>'4I'!$H$204</f>
        <v>0</v>
      </c>
    </row>
    <row r="932" spans="1:7">
      <c r="A932" t="s">
        <v>17333</v>
      </c>
      <c r="C932" t="str">
        <f>'4I'!$AL$204</f>
        <v>CR2007TA_FD_D</v>
      </c>
      <c r="D932" t="str">
        <f>_xlfn.CONCAT('4I'!$B$201, "-", '4I'!$B$204, "-", '4I'!$I$189, "-", '4I'!$I$188, "-", '4I'!$I$186, "-", '4I'!$I$186, "-", '4I'!$C$185)</f>
        <v>Foreign Exchange-Cross currency swap YEN-3-£m-Total accretion at 31 March-Total accretion at 31 March-Financial derivatives – (D) Other swaps</v>
      </c>
      <c r="F932" t="s">
        <v>17467</v>
      </c>
      <c r="G932">
        <f>'4I'!$I$204</f>
        <v>0</v>
      </c>
    </row>
    <row r="933" spans="1:7">
      <c r="A933" t="s">
        <v>17333</v>
      </c>
      <c r="C933" t="str">
        <f>'4I'!$AF$205</f>
        <v>CR2008N0_FD_D</v>
      </c>
      <c r="D933" t="str">
        <f>_xlfn.CONCAT('4I'!$B$201, "-", '4I'!$B$205, "-", '4I'!$C$189, "-", '4I'!$C$188, "-", '4I'!$C$187, "-", '4I'!$C$186, "-", '4I'!$C$185)</f>
        <v>Foreign Exchange-Cross currency swap Other-3-£m-0 to 1 years-Nominal value by maturity (net) at 31 March-Financial derivatives – (D) Other swaps</v>
      </c>
      <c r="F933" t="s">
        <v>17467</v>
      </c>
      <c r="G933">
        <f>'4I'!$C$205</f>
        <v>0</v>
      </c>
    </row>
    <row r="934" spans="1:7">
      <c r="A934" t="s">
        <v>17333</v>
      </c>
      <c r="C934" t="str">
        <f>'4I'!$AG$205</f>
        <v>CR2008N1_FD_D</v>
      </c>
      <c r="D934" t="str">
        <f>_xlfn.CONCAT('4I'!$B$201, "-", '4I'!$B$205, "-", '4I'!$D$189, "-", '4I'!$D$188, "-", '4I'!$D$187, "-", '4I'!$C$186, "-", '4I'!$C$185)</f>
        <v>Foreign Exchange-Cross currency swap Other-3-£m-1 to 2 years-Nominal value by maturity (net) at 31 March-Financial derivatives – (D) Other swaps</v>
      </c>
      <c r="F934" t="s">
        <v>17467</v>
      </c>
      <c r="G934">
        <f>'4I'!$D$205</f>
        <v>0</v>
      </c>
    </row>
    <row r="935" spans="1:7">
      <c r="A935" t="s">
        <v>17333</v>
      </c>
      <c r="C935" t="str">
        <f>'4I'!$AH$205</f>
        <v>CR2008N2_FD_D</v>
      </c>
      <c r="D935" t="str">
        <f>_xlfn.CONCAT('4I'!$B$201, "-", '4I'!$B$205, "-", '4I'!$E$189, "-", '4I'!$E$188, "-", '4I'!$E$187, "-", '4I'!$C$186, "-", '4I'!$C$185)</f>
        <v>Foreign Exchange-Cross currency swap Other-3-£m-2 to 5 years-Nominal value by maturity (net) at 31 March-Financial derivatives – (D) Other swaps</v>
      </c>
      <c r="F935" t="s">
        <v>17467</v>
      </c>
      <c r="G935">
        <f>'4I'!$E$205</f>
        <v>0</v>
      </c>
    </row>
    <row r="936" spans="1:7">
      <c r="A936" t="s">
        <v>17333</v>
      </c>
      <c r="C936" t="str">
        <f>'4I'!$AI$205</f>
        <v>CR2008N5_FD_D</v>
      </c>
      <c r="D936" t="str">
        <f>_xlfn.CONCAT('4I'!$B$201, "-", '4I'!$B$205, "-", '4I'!$F$189, "-", '4I'!$F$188, "-", '4I'!$F$187, "-", '4I'!$C$186, "-", '4I'!$C$185)</f>
        <v>Foreign Exchange-Cross currency swap Other-3-£m-Over 5 years-Nominal value by maturity (net) at 31 March-Financial derivatives – (D) Other swaps</v>
      </c>
      <c r="F936" t="s">
        <v>17467</v>
      </c>
      <c r="G936">
        <f>'4I'!$F$205</f>
        <v>0</v>
      </c>
    </row>
    <row r="937" spans="1:7">
      <c r="A937" t="s">
        <v>17333</v>
      </c>
      <c r="C937" t="str">
        <f>'4I'!$AJ$205</f>
        <v>CR2008N6_FD_D</v>
      </c>
      <c r="D937" t="str">
        <f>_xlfn.CONCAT('4I'!$B$201, "-", '4I'!$B$205, "-", '4I'!$G$189, "-", '4I'!$G$188, "-", '4I'!$G$187, "-", '4I'!$G$186, "-", '4I'!$C$185)</f>
        <v>Foreign Exchange-Cross currency swap Other-3-£m-Nominal value (net)-Total value at 31 March-Financial derivatives – (D) Other swaps</v>
      </c>
      <c r="F937" t="s">
        <v>17467</v>
      </c>
      <c r="G937">
        <f>'4I'!$G$205</f>
        <v>0</v>
      </c>
    </row>
    <row r="938" spans="1:7">
      <c r="A938" t="s">
        <v>17333</v>
      </c>
      <c r="C938" t="str">
        <f>'4I'!$AK$205</f>
        <v>CR2008MM_FD_D</v>
      </c>
      <c r="D938" t="str">
        <f>_xlfn.CONCAT('4I'!$B$201, "-", '4I'!$B$205, "-", '4I'!$H$189, "-", '4I'!$H$188, "-", '4I'!$H$187, "-", '4I'!$G$186, "-", '4I'!$C$185)</f>
        <v>Foreign Exchange-Cross currency swap Other-3-£m-Mark to Market-Total value at 31 March-Financial derivatives – (D) Other swaps</v>
      </c>
      <c r="F938" t="s">
        <v>17467</v>
      </c>
      <c r="G938">
        <f>'4I'!$H$205</f>
        <v>0</v>
      </c>
    </row>
    <row r="939" spans="1:7">
      <c r="A939" t="s">
        <v>17333</v>
      </c>
      <c r="C939" t="str">
        <f>'4I'!$AL$205</f>
        <v>CR2008TA_FD_D</v>
      </c>
      <c r="D939" t="str">
        <f>_xlfn.CONCAT('4I'!$B$201, "-", '4I'!$B$205, "-", '4I'!$I$189, "-", '4I'!$I$188, "-", '4I'!$I$186, "-", '4I'!$I$186, "-", '4I'!$C$185)</f>
        <v>Foreign Exchange-Cross currency swap Other-3-£m-Total accretion at 31 March-Total accretion at 31 March-Financial derivatives – (D) Other swaps</v>
      </c>
      <c r="F939" t="s">
        <v>17467</v>
      </c>
      <c r="G939">
        <f>'4I'!$I$205</f>
        <v>0</v>
      </c>
    </row>
    <row r="940" spans="1:7">
      <c r="A940" t="s">
        <v>17333</v>
      </c>
      <c r="C940" t="str">
        <f>'4I'!$AF$206</f>
        <v>CR2009N0_FD_D</v>
      </c>
      <c r="D940" t="str">
        <f>_xlfn.CONCAT('4I'!$B$201, "-", '4I'!$B$206, "-", '4I'!$C$189, "-", '4I'!$C$188, "-", '4I'!$C$187, "-", '4I'!$C$186, "-", '4I'!$C$185)</f>
        <v>Foreign Exchange-Total-3-£m-0 to 1 years-Nominal value by maturity (net) at 31 March-Financial derivatives – (D) Other swaps</v>
      </c>
      <c r="F940" t="s">
        <v>17467</v>
      </c>
      <c r="G940">
        <f>'4I'!$C$206</f>
        <v>0</v>
      </c>
    </row>
    <row r="941" spans="1:7">
      <c r="A941" t="s">
        <v>17333</v>
      </c>
      <c r="C941" t="str">
        <f>'4I'!$AG$206</f>
        <v>CR2009N1_FD_D</v>
      </c>
      <c r="D941" t="str">
        <f>_xlfn.CONCAT('4I'!$B$201, "-", '4I'!$B$206, "-", '4I'!$D$189, "-", '4I'!$D$188, "-", '4I'!$D$187, "-", '4I'!$C$186, "-", '4I'!$C$185)</f>
        <v>Foreign Exchange-Total-3-£m-1 to 2 years-Nominal value by maturity (net) at 31 March-Financial derivatives – (D) Other swaps</v>
      </c>
      <c r="F941" t="s">
        <v>17467</v>
      </c>
      <c r="G941">
        <f>'4I'!$D$206</f>
        <v>0</v>
      </c>
    </row>
    <row r="942" spans="1:7">
      <c r="A942" t="s">
        <v>17333</v>
      </c>
      <c r="C942" t="str">
        <f>'4I'!$AH$206</f>
        <v>CR2009N2_FD_D</v>
      </c>
      <c r="D942" t="str">
        <f>_xlfn.CONCAT('4I'!$B$201, "-", '4I'!$B$206, "-", '4I'!$E$189, "-", '4I'!$E$188, "-", '4I'!$E$187, "-", '4I'!$C$186, "-", '4I'!$C$185)</f>
        <v>Foreign Exchange-Total-3-£m-2 to 5 years-Nominal value by maturity (net) at 31 March-Financial derivatives – (D) Other swaps</v>
      </c>
      <c r="F942" t="s">
        <v>17467</v>
      </c>
      <c r="G942">
        <f>'4I'!$E$206</f>
        <v>0</v>
      </c>
    </row>
    <row r="943" spans="1:7">
      <c r="A943" t="s">
        <v>17333</v>
      </c>
      <c r="C943" t="str">
        <f>'4I'!$AI$206</f>
        <v>CR2009N5_FD_D</v>
      </c>
      <c r="D943" t="str">
        <f>_xlfn.CONCAT('4I'!$B$201, "-", '4I'!$B$206, "-", '4I'!$F$189, "-", '4I'!$F$188, "-", '4I'!$F$187, "-", '4I'!$C$186, "-", '4I'!$C$185)</f>
        <v>Foreign Exchange-Total-3-£m-Over 5 years-Nominal value by maturity (net) at 31 March-Financial derivatives – (D) Other swaps</v>
      </c>
      <c r="F943" t="s">
        <v>17467</v>
      </c>
      <c r="G943">
        <f>'4I'!$F$206</f>
        <v>0</v>
      </c>
    </row>
    <row r="944" spans="1:7">
      <c r="A944" t="s">
        <v>17333</v>
      </c>
      <c r="C944" t="str">
        <f>'4I'!$AJ$206</f>
        <v>CR2009N6_FD_D</v>
      </c>
      <c r="D944" t="str">
        <f>_xlfn.CONCAT('4I'!$B$201, "-", '4I'!$B$206, "-", '4I'!$G$189, "-", '4I'!$G$188, "-", '4I'!$G$187, "-", '4I'!$G$186, "-", '4I'!$C$185)</f>
        <v>Foreign Exchange-Total-3-£m-Nominal value (net)-Total value at 31 March-Financial derivatives – (D) Other swaps</v>
      </c>
      <c r="F944" t="s">
        <v>17467</v>
      </c>
      <c r="G944">
        <f>'4I'!$G$206</f>
        <v>0</v>
      </c>
    </row>
    <row r="945" spans="1:7">
      <c r="A945" t="s">
        <v>17333</v>
      </c>
      <c r="C945" t="str">
        <f>'4I'!$AK$206</f>
        <v>CR2009MM_FD_D</v>
      </c>
      <c r="D945" t="str">
        <f>_xlfn.CONCAT('4I'!$B$201, "-", '4I'!$B$206, "-", '4I'!$H$189, "-", '4I'!$H$188, "-", '4I'!$H$187, "-", '4I'!$G$186, "-", '4I'!$C$185)</f>
        <v>Foreign Exchange-Total-3-£m-Mark to Market-Total value at 31 March-Financial derivatives – (D) Other swaps</v>
      </c>
      <c r="F945" t="s">
        <v>17467</v>
      </c>
      <c r="G945">
        <f>'4I'!$H$206</f>
        <v>0</v>
      </c>
    </row>
    <row r="946" spans="1:7">
      <c r="A946" t="s">
        <v>17333</v>
      </c>
      <c r="C946" t="str">
        <f>'4I'!$AL$206</f>
        <v>CR2009TA_FD_D</v>
      </c>
      <c r="D946" t="str">
        <f>_xlfn.CONCAT('4I'!$B$201, "-", '4I'!$B$206, "-", '4I'!$I$189, "-", '4I'!$I$188, "-", '4I'!$I$186, "-", '4I'!$I$186, "-", '4I'!$C$185)</f>
        <v>Foreign Exchange-Total-3-£m-Total accretion at 31 March-Total accretion at 31 March-Financial derivatives – (D) Other swaps</v>
      </c>
      <c r="F946" t="s">
        <v>17467</v>
      </c>
      <c r="G946">
        <f>'4I'!$I$206</f>
        <v>0</v>
      </c>
    </row>
    <row r="947" spans="1:7">
      <c r="A947" t="s">
        <v>17333</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17467</v>
      </c>
      <c r="G947">
        <f>'4I'!$C$209</f>
        <v>0</v>
      </c>
    </row>
    <row r="948" spans="1:7">
      <c r="A948" t="s">
        <v>17333</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17467</v>
      </c>
      <c r="G948">
        <f>'4I'!$D$209</f>
        <v>0</v>
      </c>
    </row>
    <row r="949" spans="1:7">
      <c r="A949" t="s">
        <v>17333</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17467</v>
      </c>
      <c r="G949">
        <f>'4I'!$E$209</f>
        <v>0</v>
      </c>
    </row>
    <row r="950" spans="1:7">
      <c r="A950" t="s">
        <v>17333</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17467</v>
      </c>
      <c r="G950">
        <f>'4I'!$F$209</f>
        <v>0</v>
      </c>
    </row>
    <row r="951" spans="1:7">
      <c r="A951" t="s">
        <v>17333</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17467</v>
      </c>
      <c r="G951">
        <f>'4I'!$G$209</f>
        <v>0</v>
      </c>
    </row>
    <row r="952" spans="1:7">
      <c r="A952" t="s">
        <v>17333</v>
      </c>
      <c r="C952" t="str">
        <f>'4I'!$AK$209</f>
        <v>CR20010MM_FD_D</v>
      </c>
      <c r="D952" t="str">
        <f>_xlfn.CONCAT('4I'!$B$208, "-", '4I'!$B$209, "-", '4I'!$H$189, "-", '4I'!$H$188, "-", '4I'!$H$187, "-", '4I'!$G$186, "-", '4I'!$C$185)</f>
        <v>Currency interest rate -Currency interest rate swaps USD-3-£m-Mark to Market-Total value at 31 March-Financial derivatives – (D) Other swaps</v>
      </c>
      <c r="F952" t="s">
        <v>17467</v>
      </c>
      <c r="G952">
        <f>'4I'!$H$209</f>
        <v>0</v>
      </c>
    </row>
    <row r="953" spans="1:7">
      <c r="A953" t="s">
        <v>17333</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17467</v>
      </c>
      <c r="G953">
        <f>'4I'!$I$209</f>
        <v>0</v>
      </c>
    </row>
    <row r="954" spans="1:7">
      <c r="A954" t="s">
        <v>17333</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17467</v>
      </c>
      <c r="G954">
        <f>'4I'!$C$210</f>
        <v>0</v>
      </c>
    </row>
    <row r="955" spans="1:7">
      <c r="A955" t="s">
        <v>17333</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17467</v>
      </c>
      <c r="G955">
        <f>'4I'!$D$210</f>
        <v>0</v>
      </c>
    </row>
    <row r="956" spans="1:7">
      <c r="A956" t="s">
        <v>17333</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17467</v>
      </c>
      <c r="G956">
        <f>'4I'!$E$210</f>
        <v>0</v>
      </c>
    </row>
    <row r="957" spans="1:7">
      <c r="A957" t="s">
        <v>17333</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17467</v>
      </c>
      <c r="G957">
        <f>'4I'!$F$210</f>
        <v>0</v>
      </c>
    </row>
    <row r="958" spans="1:7">
      <c r="A958" t="s">
        <v>17333</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17467</v>
      </c>
      <c r="G958">
        <f>'4I'!$G$210</f>
        <v>0</v>
      </c>
    </row>
    <row r="959" spans="1:7">
      <c r="A959" t="s">
        <v>17333</v>
      </c>
      <c r="C959" t="str">
        <f>'4I'!$AK$210</f>
        <v>CR20011MM_FD_D</v>
      </c>
      <c r="D959" t="str">
        <f>_xlfn.CONCAT('4I'!$B$208, "-", '4I'!$B$210, "-", '4I'!$H$189, "-", '4I'!$H$188, "-", '4I'!$H$187, "-", '4I'!$G$186, "-", '4I'!$C$185)</f>
        <v>Currency interest rate -Currency interest rate swaps EUR-3-£m-Mark to Market-Total value at 31 March-Financial derivatives – (D) Other swaps</v>
      </c>
      <c r="F959" t="s">
        <v>17467</v>
      </c>
      <c r="G959">
        <f>'4I'!$H$210</f>
        <v>0</v>
      </c>
    </row>
    <row r="960" spans="1:7">
      <c r="A960" t="s">
        <v>17333</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17467</v>
      </c>
      <c r="G960">
        <f>'4I'!$I$210</f>
        <v>0</v>
      </c>
    </row>
    <row r="961" spans="1:7">
      <c r="A961" t="s">
        <v>17333</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17467</v>
      </c>
      <c r="G961">
        <f>'4I'!$C$211</f>
        <v>0</v>
      </c>
    </row>
    <row r="962" spans="1:7">
      <c r="A962" t="s">
        <v>17333</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17467</v>
      </c>
      <c r="G962">
        <f>'4I'!$D$211</f>
        <v>0</v>
      </c>
    </row>
    <row r="963" spans="1:7">
      <c r="A963" t="s">
        <v>17333</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17467</v>
      </c>
      <c r="G963">
        <f>'4I'!$E$211</f>
        <v>0</v>
      </c>
    </row>
    <row r="964" spans="1:7">
      <c r="A964" t="s">
        <v>17333</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17467</v>
      </c>
      <c r="G964">
        <f>'4I'!$F$211</f>
        <v>0</v>
      </c>
    </row>
    <row r="965" spans="1:7">
      <c r="A965" t="s">
        <v>17333</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17467</v>
      </c>
      <c r="G965">
        <f>'4I'!$G$211</f>
        <v>0</v>
      </c>
    </row>
    <row r="966" spans="1:7">
      <c r="A966" t="s">
        <v>17333</v>
      </c>
      <c r="C966" t="str">
        <f>'4I'!$AK$211</f>
        <v>CR20012MM_FD_D</v>
      </c>
      <c r="D966" t="str">
        <f>_xlfn.CONCAT('4I'!$B$208, "-", '4I'!$B$211, "-", '4I'!$H$189, "-", '4I'!$H$188, "-", '4I'!$H$187, "-", '4I'!$G$186, "-", '4I'!$C$185)</f>
        <v>Currency interest rate -Currency interest rate swaps YEN-3-£m-Mark to Market-Total value at 31 March-Financial derivatives – (D) Other swaps</v>
      </c>
      <c r="F966" t="s">
        <v>17467</v>
      </c>
      <c r="G966">
        <f>'4I'!$H$211</f>
        <v>0</v>
      </c>
    </row>
    <row r="967" spans="1:7">
      <c r="A967" t="s">
        <v>17333</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17467</v>
      </c>
      <c r="G967">
        <f>'4I'!$I$211</f>
        <v>0</v>
      </c>
    </row>
    <row r="968" spans="1:7">
      <c r="A968" t="s">
        <v>17333</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17467</v>
      </c>
      <c r="G968">
        <f>'4I'!$C$212</f>
        <v>0</v>
      </c>
    </row>
    <row r="969" spans="1:7">
      <c r="A969" t="s">
        <v>17333</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17467</v>
      </c>
      <c r="G969">
        <f>'4I'!$D$212</f>
        <v>0</v>
      </c>
    </row>
    <row r="970" spans="1:7">
      <c r="A970" t="s">
        <v>17333</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17467</v>
      </c>
      <c r="G970">
        <f>'4I'!$E$212</f>
        <v>0</v>
      </c>
    </row>
    <row r="971" spans="1:7">
      <c r="A971" t="s">
        <v>17333</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17467</v>
      </c>
      <c r="G971">
        <f>'4I'!$F$212</f>
        <v>0</v>
      </c>
    </row>
    <row r="972" spans="1:7">
      <c r="A972" t="s">
        <v>17333</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17467</v>
      </c>
      <c r="G972">
        <f>'4I'!$G$212</f>
        <v>0</v>
      </c>
    </row>
    <row r="973" spans="1:7">
      <c r="A973" t="s">
        <v>17333</v>
      </c>
      <c r="C973" t="str">
        <f>'4I'!$AK$212</f>
        <v>CR20013MM_FD_D</v>
      </c>
      <c r="D973" t="str">
        <f>_xlfn.CONCAT('4I'!$B$208, "-", '4I'!$B$212, "-", '4I'!$H$189, "-", '4I'!$H$188, "-", '4I'!$H$187, "-", '4I'!$G$186, "-", '4I'!$C$185)</f>
        <v>Currency interest rate -Currency interest rate swaps Other-3-£m-Mark to Market-Total value at 31 March-Financial derivatives – (D) Other swaps</v>
      </c>
      <c r="F973" t="s">
        <v>17467</v>
      </c>
      <c r="G973">
        <f>'4I'!$H$212</f>
        <v>0</v>
      </c>
    </row>
    <row r="974" spans="1:7">
      <c r="A974" t="s">
        <v>17333</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17467</v>
      </c>
      <c r="G974">
        <f>'4I'!$I$212</f>
        <v>0</v>
      </c>
    </row>
    <row r="975" spans="1:7">
      <c r="A975" t="s">
        <v>17333</v>
      </c>
      <c r="C975" t="str">
        <f>'4I'!$AF$213</f>
        <v>CR20014N0_FD_D</v>
      </c>
      <c r="D975" t="str">
        <f>_xlfn.CONCAT('4I'!$B$208, "-", '4I'!$B$213, "-", '4I'!$C$189, "-", '4I'!$C$188, "-", '4I'!$C$187, "-", '4I'!$C$186, "-", '4I'!$C$185)</f>
        <v>Currency interest rate -Total-3-£m-0 to 1 years-Nominal value by maturity (net) at 31 March-Financial derivatives – (D) Other swaps</v>
      </c>
      <c r="F975" t="s">
        <v>17467</v>
      </c>
      <c r="G975">
        <f>'4I'!$C$213</f>
        <v>0</v>
      </c>
    </row>
    <row r="976" spans="1:7">
      <c r="A976" t="s">
        <v>17333</v>
      </c>
      <c r="C976" t="str">
        <f>'4I'!$AG$213</f>
        <v>CR20014N1_FD_D</v>
      </c>
      <c r="D976" t="str">
        <f>_xlfn.CONCAT('4I'!$B$208, "-", '4I'!$B$213, "-", '4I'!$D$189, "-", '4I'!$D$188, "-", '4I'!$D$187, "-", '4I'!$C$186, "-", '4I'!$C$185)</f>
        <v>Currency interest rate -Total-3-£m-1 to 2 years-Nominal value by maturity (net) at 31 March-Financial derivatives – (D) Other swaps</v>
      </c>
      <c r="F976" t="s">
        <v>17467</v>
      </c>
      <c r="G976">
        <f>'4I'!$D$213</f>
        <v>0</v>
      </c>
    </row>
    <row r="977" spans="1:7">
      <c r="A977" t="s">
        <v>17333</v>
      </c>
      <c r="C977" t="str">
        <f>'4I'!$AH$213</f>
        <v>CR20014N2_FD_D</v>
      </c>
      <c r="D977" t="str">
        <f>_xlfn.CONCAT('4I'!$B$208, "-", '4I'!$B$213, "-", '4I'!$E$189, "-", '4I'!$E$188, "-", '4I'!$E$187, "-", '4I'!$C$186, "-", '4I'!$C$185)</f>
        <v>Currency interest rate -Total-3-£m-2 to 5 years-Nominal value by maturity (net) at 31 March-Financial derivatives – (D) Other swaps</v>
      </c>
      <c r="F977" t="s">
        <v>17467</v>
      </c>
      <c r="G977">
        <f>'4I'!$E$213</f>
        <v>0</v>
      </c>
    </row>
    <row r="978" spans="1:7">
      <c r="A978" t="s">
        <v>17333</v>
      </c>
      <c r="C978" t="str">
        <f>'4I'!$AI$213</f>
        <v>CR20014N5_FD_D</v>
      </c>
      <c r="D978" t="str">
        <f>_xlfn.CONCAT('4I'!$B$208, "-", '4I'!$B$213, "-", '4I'!$F$189, "-", '4I'!$F$188, "-", '4I'!$F$187, "-", '4I'!$C$186, "-", '4I'!$C$185)</f>
        <v>Currency interest rate -Total-3-£m-Over 5 years-Nominal value by maturity (net) at 31 March-Financial derivatives – (D) Other swaps</v>
      </c>
      <c r="F978" t="s">
        <v>17467</v>
      </c>
      <c r="G978">
        <f>'4I'!$F$213</f>
        <v>0</v>
      </c>
    </row>
    <row r="979" spans="1:7">
      <c r="A979" t="s">
        <v>17333</v>
      </c>
      <c r="C979" t="str">
        <f>'4I'!$AJ$213</f>
        <v>CR20014N6_FD_D</v>
      </c>
      <c r="D979" t="str">
        <f>_xlfn.CONCAT('4I'!$B$208, "-", '4I'!$B$213, "-", '4I'!$G$189, "-", '4I'!$G$188, "-", '4I'!$G$187, "-", '4I'!$G$186, "-", '4I'!$C$185)</f>
        <v>Currency interest rate -Total-3-£m-Nominal value (net)-Total value at 31 March-Financial derivatives – (D) Other swaps</v>
      </c>
      <c r="F979" t="s">
        <v>17467</v>
      </c>
      <c r="G979">
        <f>'4I'!$G$213</f>
        <v>0</v>
      </c>
    </row>
    <row r="980" spans="1:7">
      <c r="A980" t="s">
        <v>17333</v>
      </c>
      <c r="C980" t="str">
        <f>'4I'!$AK$213</f>
        <v>CR20014MM_FD_D</v>
      </c>
      <c r="D980" t="str">
        <f>_xlfn.CONCAT('4I'!$B$208, "-", '4I'!$B$213, "-", '4I'!$H$189, "-", '4I'!$H$188, "-", '4I'!$H$187, "-", '4I'!$G$186, "-", '4I'!$C$185)</f>
        <v>Currency interest rate -Total-3-£m-Mark to Market-Total value at 31 March-Financial derivatives – (D) Other swaps</v>
      </c>
      <c r="F980" t="s">
        <v>17467</v>
      </c>
      <c r="G980">
        <f>'4I'!$H$213</f>
        <v>0</v>
      </c>
    </row>
    <row r="981" spans="1:7">
      <c r="A981" t="s">
        <v>17333</v>
      </c>
      <c r="C981" t="str">
        <f>'4I'!$AL$213</f>
        <v>CR20014TA_FD_D</v>
      </c>
      <c r="D981" t="str">
        <f>_xlfn.CONCAT('4I'!$B$208, "-", '4I'!$B$213, "-", '4I'!$I$189, "-", '4I'!$I$188, "-", '4I'!$I$186, "-", '4I'!$I$186, "-", '4I'!$C$185)</f>
        <v>Currency interest rate -Total-3-£m-Total accretion at 31 March-Total accretion at 31 March-Financial derivatives – (D) Other swaps</v>
      </c>
      <c r="F981" t="s">
        <v>17467</v>
      </c>
      <c r="G981">
        <f>'4I'!$I$213</f>
        <v>0</v>
      </c>
    </row>
    <row r="982" spans="1:7">
      <c r="A982" t="s">
        <v>17333</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17467</v>
      </c>
      <c r="G982">
        <f>'4I'!$C$216</f>
        <v>0</v>
      </c>
    </row>
    <row r="983" spans="1:7">
      <c r="A983" t="s">
        <v>17333</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17467</v>
      </c>
      <c r="G983">
        <f>'4I'!$D$216</f>
        <v>0</v>
      </c>
    </row>
    <row r="984" spans="1:7">
      <c r="A984" t="s">
        <v>17333</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17467</v>
      </c>
      <c r="G984">
        <f>'4I'!$E$216</f>
        <v>0</v>
      </c>
    </row>
    <row r="985" spans="1:7">
      <c r="A985" t="s">
        <v>17333</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17467</v>
      </c>
      <c r="G985">
        <f>'4I'!$F$216</f>
        <v>0</v>
      </c>
    </row>
    <row r="986" spans="1:7">
      <c r="A986" t="s">
        <v>17333</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17467</v>
      </c>
      <c r="G986">
        <f>'4I'!$G$216</f>
        <v>0</v>
      </c>
    </row>
    <row r="987" spans="1:7">
      <c r="A987" t="s">
        <v>17333</v>
      </c>
      <c r="C987" t="str">
        <f>'4I'!$AK$216</f>
        <v>CR20015MM_FD_D</v>
      </c>
      <c r="D987" t="str">
        <f>_xlfn.CONCAT('4I'!$B$215, "-", '4I'!$B$216, "-", '4I'!$H$189, "-", '4I'!$H$188, "-", '4I'!$H$187, "-", '4I'!$G$186, "-", '4I'!$C$185)</f>
        <v>Forward currency contracts-Forward currency contracts USD-3-£m-Mark to Market-Total value at 31 March-Financial derivatives – (D) Other swaps</v>
      </c>
      <c r="F987" t="s">
        <v>17467</v>
      </c>
      <c r="G987">
        <f>'4I'!$H$216</f>
        <v>0</v>
      </c>
    </row>
    <row r="988" spans="1:7">
      <c r="A988" t="s">
        <v>17333</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17467</v>
      </c>
      <c r="G988">
        <f>'4I'!$I$216</f>
        <v>0</v>
      </c>
    </row>
    <row r="989" spans="1:7">
      <c r="A989" t="s">
        <v>17333</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17467</v>
      </c>
      <c r="G989">
        <f>'4I'!$C$217</f>
        <v>0</v>
      </c>
    </row>
    <row r="990" spans="1:7">
      <c r="A990" t="s">
        <v>17333</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17467</v>
      </c>
      <c r="G990">
        <f>'4I'!$D$217</f>
        <v>0</v>
      </c>
    </row>
    <row r="991" spans="1:7">
      <c r="A991" t="s">
        <v>17333</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17467</v>
      </c>
      <c r="G991">
        <f>'4I'!$E$217</f>
        <v>0</v>
      </c>
    </row>
    <row r="992" spans="1:7">
      <c r="A992" t="s">
        <v>17333</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17467</v>
      </c>
      <c r="G992">
        <f>'4I'!$F$217</f>
        <v>0</v>
      </c>
    </row>
    <row r="993" spans="1:7">
      <c r="A993" t="s">
        <v>17333</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17467</v>
      </c>
      <c r="G993">
        <f>'4I'!$G$217</f>
        <v>0</v>
      </c>
    </row>
    <row r="994" spans="1:7">
      <c r="A994" t="s">
        <v>17333</v>
      </c>
      <c r="C994" t="str">
        <f>'4I'!$AK$217</f>
        <v>CR20016MM_FD_D</v>
      </c>
      <c r="D994" t="str">
        <f>_xlfn.CONCAT('4I'!$B$215, "-", '4I'!$B$217, "-", '4I'!$H$189, "-", '4I'!$H$188, "-", '4I'!$H$187, "-", '4I'!$G$186, "-", '4I'!$C$185)</f>
        <v>Forward currency contracts-Forward currency contracts EUR-3-£m-Mark to Market-Total value at 31 March-Financial derivatives – (D) Other swaps</v>
      </c>
      <c r="F994" t="s">
        <v>17467</v>
      </c>
      <c r="G994">
        <f>'4I'!$H$217</f>
        <v>0</v>
      </c>
    </row>
    <row r="995" spans="1:7">
      <c r="A995" t="s">
        <v>17333</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17467</v>
      </c>
      <c r="G995">
        <f>'4I'!$I$217</f>
        <v>0</v>
      </c>
    </row>
    <row r="996" spans="1:7">
      <c r="A996" t="s">
        <v>17333</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17467</v>
      </c>
      <c r="G996">
        <f>'4I'!$C$218</f>
        <v>0</v>
      </c>
    </row>
    <row r="997" spans="1:7">
      <c r="A997" t="s">
        <v>17333</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17467</v>
      </c>
      <c r="G997">
        <f>'4I'!$D$218</f>
        <v>0</v>
      </c>
    </row>
    <row r="998" spans="1:7">
      <c r="A998" t="s">
        <v>17333</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17467</v>
      </c>
      <c r="G998">
        <f>'4I'!$E$218</f>
        <v>0</v>
      </c>
    </row>
    <row r="999" spans="1:7">
      <c r="A999" t="s">
        <v>17333</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17467</v>
      </c>
      <c r="G999">
        <f>'4I'!$F$218</f>
        <v>0</v>
      </c>
    </row>
    <row r="1000" spans="1:7">
      <c r="A1000" t="s">
        <v>17333</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17467</v>
      </c>
      <c r="G1000">
        <f>'4I'!$G$218</f>
        <v>0</v>
      </c>
    </row>
    <row r="1001" spans="1:7">
      <c r="A1001" t="s">
        <v>17333</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17467</v>
      </c>
      <c r="G1001">
        <f>'4I'!$H$218</f>
        <v>0</v>
      </c>
    </row>
    <row r="1002" spans="1:7">
      <c r="A1002" t="s">
        <v>17333</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17467</v>
      </c>
      <c r="G1002">
        <f>'4I'!$I$218</f>
        <v>0</v>
      </c>
    </row>
    <row r="1003" spans="1:7">
      <c r="A1003" t="s">
        <v>17333</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17467</v>
      </c>
      <c r="G1003">
        <f>'4I'!$C$219</f>
        <v>0</v>
      </c>
    </row>
    <row r="1004" spans="1:7">
      <c r="A1004" t="s">
        <v>17333</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17467</v>
      </c>
      <c r="G1004">
        <f>'4I'!$D$219</f>
        <v>0</v>
      </c>
    </row>
    <row r="1005" spans="1:7">
      <c r="A1005" t="s">
        <v>17333</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17467</v>
      </c>
      <c r="G1005">
        <f>'4I'!$E$219</f>
        <v>0</v>
      </c>
    </row>
    <row r="1006" spans="1:7">
      <c r="A1006" t="s">
        <v>17333</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17467</v>
      </c>
      <c r="G1006">
        <f>'4I'!$F$219</f>
        <v>0</v>
      </c>
    </row>
    <row r="1007" spans="1:7">
      <c r="A1007" t="s">
        <v>17333</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17467</v>
      </c>
      <c r="G1007">
        <f>'4I'!$G$219</f>
        <v>0</v>
      </c>
    </row>
    <row r="1008" spans="1:7">
      <c r="A1008" t="s">
        <v>17333</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17467</v>
      </c>
      <c r="G1008">
        <f>'4I'!$H$219</f>
        <v>0</v>
      </c>
    </row>
    <row r="1009" spans="1:7">
      <c r="A1009" t="s">
        <v>17333</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17467</v>
      </c>
      <c r="G1009">
        <f>'4I'!$I$219</f>
        <v>0</v>
      </c>
    </row>
    <row r="1010" spans="1:7">
      <c r="A1010" t="s">
        <v>17333</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17467</v>
      </c>
      <c r="G1010">
        <f>'4I'!$C$220</f>
        <v>0</v>
      </c>
    </row>
    <row r="1011" spans="1:7">
      <c r="A1011" t="s">
        <v>17333</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17467</v>
      </c>
      <c r="G1011">
        <f>'4I'!$D$220</f>
        <v>0</v>
      </c>
    </row>
    <row r="1012" spans="1:7">
      <c r="A1012" t="s">
        <v>17333</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17467</v>
      </c>
      <c r="G1012">
        <f>'4I'!$E$220</f>
        <v>0</v>
      </c>
    </row>
    <row r="1013" spans="1:7">
      <c r="A1013" t="s">
        <v>17333</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17467</v>
      </c>
      <c r="G1013">
        <f>'4I'!$F$220</f>
        <v>0</v>
      </c>
    </row>
    <row r="1014" spans="1:7">
      <c r="A1014" t="s">
        <v>17333</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17467</v>
      </c>
      <c r="G1014">
        <f>'4I'!$G$220</f>
        <v>0</v>
      </c>
    </row>
    <row r="1015" spans="1:7">
      <c r="A1015" t="s">
        <v>17333</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17467</v>
      </c>
      <c r="G1015">
        <f>'4I'!$H$220</f>
        <v>0</v>
      </c>
    </row>
    <row r="1016" spans="1:7">
      <c r="A1016" t="s">
        <v>17333</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17467</v>
      </c>
      <c r="G1016">
        <f>'4I'!$I$220</f>
        <v>0</v>
      </c>
    </row>
    <row r="1017" spans="1:7">
      <c r="A1017" t="s">
        <v>17333</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17467</v>
      </c>
      <c r="G1017">
        <f>'4I'!$C$221</f>
        <v>0</v>
      </c>
    </row>
    <row r="1018" spans="1:7">
      <c r="A1018" t="s">
        <v>17333</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17467</v>
      </c>
      <c r="G1018">
        <f>'4I'!$D$221</f>
        <v>0</v>
      </c>
    </row>
    <row r="1019" spans="1:7">
      <c r="A1019" t="s">
        <v>17333</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17467</v>
      </c>
      <c r="G1019">
        <f>'4I'!$E$221</f>
        <v>0</v>
      </c>
    </row>
    <row r="1020" spans="1:7">
      <c r="A1020" t="s">
        <v>17333</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17467</v>
      </c>
      <c r="G1020">
        <f>'4I'!$F$221</f>
        <v>0</v>
      </c>
    </row>
    <row r="1021" spans="1:7">
      <c r="A1021" t="s">
        <v>17333</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17467</v>
      </c>
      <c r="G1021">
        <f>'4I'!$G$221</f>
        <v>0</v>
      </c>
    </row>
    <row r="1022" spans="1:7">
      <c r="A1022" t="s">
        <v>17333</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17467</v>
      </c>
      <c r="G1022">
        <f>'4I'!$H$221</f>
        <v>0</v>
      </c>
    </row>
    <row r="1023" spans="1:7">
      <c r="A1023" t="s">
        <v>17333</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17467</v>
      </c>
      <c r="G1023">
        <f>'4I'!$I$221</f>
        <v>0</v>
      </c>
    </row>
    <row r="1024" spans="1:7">
      <c r="A1024" t="s">
        <v>17333</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17467</v>
      </c>
      <c r="G1024">
        <f>'4I'!$C$222</f>
        <v>0</v>
      </c>
    </row>
    <row r="1025" spans="1:7">
      <c r="A1025" t="s">
        <v>17333</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17467</v>
      </c>
      <c r="G1025">
        <f>'4I'!$D$222</f>
        <v>0</v>
      </c>
    </row>
    <row r="1026" spans="1:7">
      <c r="A1026" t="s">
        <v>17333</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17467</v>
      </c>
      <c r="G1026">
        <f>'4I'!$E$222</f>
        <v>0</v>
      </c>
    </row>
    <row r="1027" spans="1:7">
      <c r="A1027" t="s">
        <v>17333</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17467</v>
      </c>
      <c r="G1027">
        <f>'4I'!$F$222</f>
        <v>0</v>
      </c>
    </row>
    <row r="1028" spans="1:7">
      <c r="A1028" t="s">
        <v>17333</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17467</v>
      </c>
      <c r="G1028">
        <f>'4I'!$G$222</f>
        <v>0</v>
      </c>
    </row>
    <row r="1029" spans="1:7">
      <c r="A1029" t="s">
        <v>17333</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17467</v>
      </c>
      <c r="G1029">
        <f>'4I'!$H$222</f>
        <v>0</v>
      </c>
    </row>
    <row r="1030" spans="1:7">
      <c r="A1030" t="s">
        <v>17333</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17467</v>
      </c>
      <c r="G1030">
        <f>'4I'!$I$222</f>
        <v>0</v>
      </c>
    </row>
    <row r="1031" spans="1:7">
      <c r="A1031" t="s">
        <v>17333</v>
      </c>
      <c r="C1031" t="str">
        <f>'4I'!$AF$223</f>
        <v>CR20019N0_FD_D</v>
      </c>
      <c r="D1031" t="str">
        <f>_xlfn.CONCAT('4I'!$B$215, "-", '4I'!$B$223, "-", '4I'!$C$189, "-", '4I'!$C$188, "-", '4I'!$C$187, "-", '4I'!$C$186, "-", '4I'!$C$185)</f>
        <v>Forward currency contracts-Total-3-£m-0 to 1 years-Nominal value by maturity (net) at 31 March-Financial derivatives – (D) Other swaps</v>
      </c>
      <c r="F1031" t="s">
        <v>17467</v>
      </c>
      <c r="G1031">
        <f>'4I'!$C$223</f>
        <v>0</v>
      </c>
    </row>
    <row r="1032" spans="1:7">
      <c r="A1032" t="s">
        <v>17333</v>
      </c>
      <c r="C1032" t="str">
        <f>'4I'!$AG$223</f>
        <v>CR20019N1_FD_D</v>
      </c>
      <c r="D1032" t="str">
        <f>_xlfn.CONCAT('4I'!$B$215, "-", '4I'!$B$223, "-", '4I'!$D$189, "-", '4I'!$D$188, "-", '4I'!$D$187, "-", '4I'!$C$186, "-", '4I'!$C$185)</f>
        <v>Forward currency contracts-Total-3-£m-1 to 2 years-Nominal value by maturity (net) at 31 March-Financial derivatives – (D) Other swaps</v>
      </c>
      <c r="F1032" t="s">
        <v>17467</v>
      </c>
      <c r="G1032">
        <f>'4I'!$D$223</f>
        <v>0</v>
      </c>
    </row>
    <row r="1033" spans="1:7">
      <c r="A1033" t="s">
        <v>17333</v>
      </c>
      <c r="C1033" t="str">
        <f>'4I'!$AH$223</f>
        <v>CR20019N2_FD_D</v>
      </c>
      <c r="D1033" t="str">
        <f>_xlfn.CONCAT('4I'!$B$215, "-", '4I'!$B$223, "-", '4I'!$E$189, "-", '4I'!$E$188, "-", '4I'!$E$187, "-", '4I'!$C$186, "-", '4I'!$C$185)</f>
        <v>Forward currency contracts-Total-3-£m-2 to 5 years-Nominal value by maturity (net) at 31 March-Financial derivatives – (D) Other swaps</v>
      </c>
      <c r="F1033" t="s">
        <v>17467</v>
      </c>
      <c r="G1033">
        <f>'4I'!$E$223</f>
        <v>0</v>
      </c>
    </row>
    <row r="1034" spans="1:7">
      <c r="A1034" t="s">
        <v>17333</v>
      </c>
      <c r="C1034" t="str">
        <f>'4I'!$AI$223</f>
        <v>CR20019N5_FD_D</v>
      </c>
      <c r="D1034" t="str">
        <f>_xlfn.CONCAT('4I'!$B$215, "-", '4I'!$B$223, "-", '4I'!$F$189, "-", '4I'!$F$188, "-", '4I'!$F$187, "-", '4I'!$C$186, "-", '4I'!$C$185)</f>
        <v>Forward currency contracts-Total-3-£m-Over 5 years-Nominal value by maturity (net) at 31 March-Financial derivatives – (D) Other swaps</v>
      </c>
      <c r="F1034" t="s">
        <v>17467</v>
      </c>
      <c r="G1034">
        <f>'4I'!$F$223</f>
        <v>0</v>
      </c>
    </row>
    <row r="1035" spans="1:7">
      <c r="A1035" t="s">
        <v>17333</v>
      </c>
      <c r="C1035" t="str">
        <f>'4I'!$AJ$223</f>
        <v>CR20019N6_FD_D</v>
      </c>
      <c r="D1035" t="str">
        <f>_xlfn.CONCAT('4I'!$B$215, "-", '4I'!$B$223, "-", '4I'!$G$189, "-", '4I'!$G$188, "-", '4I'!$G$187, "-", '4I'!$G$186, "-", '4I'!$C$185)</f>
        <v>Forward currency contracts-Total-3-£m-Nominal value (net)-Total value at 31 March-Financial derivatives – (D) Other swaps</v>
      </c>
      <c r="F1035" t="s">
        <v>17467</v>
      </c>
      <c r="G1035">
        <f>'4I'!$G$223</f>
        <v>0</v>
      </c>
    </row>
    <row r="1036" spans="1:7">
      <c r="A1036" t="s">
        <v>17333</v>
      </c>
      <c r="C1036" t="str">
        <f>'4I'!$AK$223</f>
        <v>CR20019MM_FD_D</v>
      </c>
      <c r="D1036" t="str">
        <f>_xlfn.CONCAT('4I'!$B$215, "-", '4I'!$B$223, "-", '4I'!$H$189, "-", '4I'!$H$188, "-", '4I'!$H$187, "-", '4I'!$G$186, "-", '4I'!$C$185)</f>
        <v>Forward currency contracts-Total-3-£m-Mark to Market-Total value at 31 March-Financial derivatives – (D) Other swaps</v>
      </c>
      <c r="F1036" t="s">
        <v>17467</v>
      </c>
      <c r="G1036">
        <f>'4I'!$H$223</f>
        <v>0</v>
      </c>
    </row>
    <row r="1037" spans="1:7">
      <c r="A1037" t="s">
        <v>17333</v>
      </c>
      <c r="C1037" t="str">
        <f>'4I'!$AL$223</f>
        <v>CR20019TA_FD_D</v>
      </c>
      <c r="D1037" t="str">
        <f>_xlfn.CONCAT('4I'!$B$215, "-", '4I'!$B$223, "-", '4I'!$I$189, "-", '4I'!$I$188, "-", '4I'!$I$186, "-", '4I'!$I$186, "-", '4I'!$C$185)</f>
        <v>Forward currency contracts-Total-3-£m-Total accretion at 31 March-Total accretion at 31 March-Financial derivatives – (D) Other swaps</v>
      </c>
      <c r="F1037" t="s">
        <v>17467</v>
      </c>
      <c r="G1037">
        <f>'4I'!$I$223</f>
        <v>0</v>
      </c>
    </row>
    <row r="1038" spans="1:7">
      <c r="A1038" t="s">
        <v>17333</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17467</v>
      </c>
      <c r="G1038">
        <f>'4I'!$C$226</f>
        <v>2.718</v>
      </c>
    </row>
    <row r="1039" spans="1:7">
      <c r="A1039" t="s">
        <v>17333</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17467</v>
      </c>
      <c r="G1039">
        <f>'4I'!$D$226</f>
        <v>2.1589999999999998</v>
      </c>
    </row>
    <row r="1040" spans="1:7">
      <c r="A1040" t="s">
        <v>17333</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17467</v>
      </c>
      <c r="G1040">
        <f>'4I'!$E$226</f>
        <v>0</v>
      </c>
    </row>
    <row r="1041" spans="1:7">
      <c r="A1041" t="s">
        <v>17333</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17467</v>
      </c>
      <c r="G1041">
        <f>'4I'!$F$226</f>
        <v>0</v>
      </c>
    </row>
    <row r="1042" spans="1:7">
      <c r="A1042" t="s">
        <v>17333</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17467</v>
      </c>
      <c r="G1042">
        <f>'4I'!$G$226</f>
        <v>4.8769999999999998</v>
      </c>
    </row>
    <row r="1043" spans="1:7">
      <c r="A1043" t="s">
        <v>17333</v>
      </c>
      <c r="C1043" t="str">
        <f>'4I'!$AK$226</f>
        <v>CR2028MM_FD_D</v>
      </c>
      <c r="D1043" t="str">
        <f>_xlfn.CONCAT('4I'!$B$225, "-", '4I'!$B$226, "-", '4I'!$H$189, "-", '4I'!$H$188, "-", '4I'!$H$187, "-", '4I'!$G$186, "-", '4I'!$C$185)</f>
        <v>Other financial derivatives-Other financial derivatives-3-£m-Mark to Market-Total value at 31 March-Financial derivatives – (D) Other swaps</v>
      </c>
      <c r="F1043" t="s">
        <v>17467</v>
      </c>
      <c r="G1043">
        <f>'4I'!$H$226</f>
        <v>-9.9619999999999997</v>
      </c>
    </row>
    <row r="1044" spans="1:7">
      <c r="A1044" t="s">
        <v>17333</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17467</v>
      </c>
      <c r="G1044">
        <f>'4I'!$I$226</f>
        <v>0</v>
      </c>
    </row>
    <row r="1045" spans="1:7">
      <c r="A1045" t="s">
        <v>17333</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17467</v>
      </c>
      <c r="G1045">
        <f>'4I'!$C$228</f>
        <v>2.718</v>
      </c>
    </row>
    <row r="1046" spans="1:7">
      <c r="A1046" t="s">
        <v>17333</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17467</v>
      </c>
      <c r="G1046">
        <f>'4I'!$D$228</f>
        <v>2.1589999999999998</v>
      </c>
    </row>
    <row r="1047" spans="1:7">
      <c r="A1047" t="s">
        <v>17333</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17467</v>
      </c>
      <c r="G1047">
        <f>'4I'!$E$228</f>
        <v>550</v>
      </c>
    </row>
    <row r="1048" spans="1:7">
      <c r="A1048" t="s">
        <v>17333</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17467</v>
      </c>
      <c r="G1048">
        <f>'4I'!$F$228</f>
        <v>892</v>
      </c>
    </row>
    <row r="1049" spans="1:7">
      <c r="A1049" t="s">
        <v>17333</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17467</v>
      </c>
      <c r="G1049">
        <f>'4I'!$G$228</f>
        <v>1446.877</v>
      </c>
    </row>
    <row r="1050" spans="1:7">
      <c r="A1050" t="s">
        <v>17333</v>
      </c>
      <c r="C1050" t="str">
        <f>'4I'!$AK$228</f>
        <v>CR20020MM_FD_D</v>
      </c>
      <c r="D1050" t="str">
        <f>_xlfn.CONCAT('4I'!$B$225, "-", '4I'!$B$228, "-", '4I'!$H$189, "-", '4I'!$H$188, "-", '4I'!$H$187, "-", '4I'!$G$186, "-", '4I'!$C$185)</f>
        <v>Other financial derivatives-Total financial derivatives-3-£m-Mark to Market-Total value at 31 March-Financial derivatives – (D) Other swaps</v>
      </c>
      <c r="F1050" t="s">
        <v>17467</v>
      </c>
      <c r="G1050">
        <f>'4I'!$H$228</f>
        <v>384.12400000000002</v>
      </c>
    </row>
    <row r="1051" spans="1:7">
      <c r="A1051" t="s">
        <v>17333</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17467</v>
      </c>
      <c r="G1051">
        <f>'4I'!$I$228</f>
        <v>344.654</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17467</v>
      </c>
      <c r="G1052">
        <f>'4L'!$F$10</f>
        <v>-0.14000000000000001</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17467</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17467</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17467</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17467</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17467</v>
      </c>
      <c r="G1057">
        <f>'4L'!$K$10</f>
        <v>-0.14000000000000001</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17467</v>
      </c>
      <c r="G1058">
        <f>'4L'!$F$11</f>
        <v>1.2999999999999999E-2</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17467</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17467</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17467</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17467</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17467</v>
      </c>
      <c r="G1063">
        <f>'4L'!$K$11</f>
        <v>1.2999999999999999E-2</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17467</v>
      </c>
      <c r="G1064">
        <f>'4L'!$F$12</f>
        <v>-0.127</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17467</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17467</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17467</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17467</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17467</v>
      </c>
      <c r="G1069">
        <f>'4L'!$K$12</f>
        <v>-0.127</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17467</v>
      </c>
      <c r="G1070">
        <f>'4L'!$R$12</f>
        <v>9.15</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17467</v>
      </c>
      <c r="G1071">
        <f>'4L'!$S$12</f>
        <v>0.183</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17467</v>
      </c>
      <c r="G1072">
        <f>'4L'!$T$12</f>
        <v>0.26800000000000002</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17467</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17467</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17467</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17467</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17467</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17467</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17467</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17467</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17467</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17467</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17467</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17467</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17467</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17467</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17467</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17467</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17467</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17467</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17467</v>
      </c>
      <c r="G1091">
        <f>'4L'!$R$15</f>
        <v>6.5000000000000002E-2</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17467</v>
      </c>
      <c r="G1092">
        <f>'4L'!$S$15</f>
        <v>5.5E-2</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17467</v>
      </c>
      <c r="G1093">
        <f>'4L'!$T$15</f>
        <v>0.08</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17467</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17467</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17467</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17467</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17467</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17467</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17467</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17467</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17467</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17467</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17467</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17467</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17467</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17467</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17467</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17467</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17467</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17467</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17467</v>
      </c>
      <c r="G1112">
        <f>'4L'!$R$18</f>
        <v>1.7999999999999999E-2</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17467</v>
      </c>
      <c r="G1113">
        <f>'4L'!$S$18</f>
        <v>0.52100000000000002</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17467</v>
      </c>
      <c r="G1114">
        <f>'4L'!$T$18</f>
        <v>0.76300000000000001</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17467</v>
      </c>
      <c r="G1115">
        <f>'4L'!$F$19</f>
        <v>0.629</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17467</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17467</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17467</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17467</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17467</v>
      </c>
      <c r="G1120">
        <f>'4L'!$K$19</f>
        <v>0.629</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17467</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17467</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17467</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17467</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17467</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17467</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17467</v>
      </c>
      <c r="G1127">
        <f>'4L'!$F$21</f>
        <v>0.629</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17467</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17467</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17467</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17467</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17467</v>
      </c>
      <c r="G1132">
        <f>'4L'!$K$21</f>
        <v>0.629</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17467</v>
      </c>
      <c r="G1133">
        <f>'4L'!$R$21</f>
        <v>0.97399999999999998</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17467</v>
      </c>
      <c r="G1134">
        <f>'4L'!$S$21</f>
        <v>9.8699999999999992</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17467</v>
      </c>
      <c r="G1135">
        <f>'4L'!$T$21</f>
        <v>14.438000000000001</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17467</v>
      </c>
      <c r="G1136">
        <f>'4L'!$F$22</f>
        <v>0.97399999999999998</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17467</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17467</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17467</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17467</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17467</v>
      </c>
      <c r="G1141">
        <f>'4L'!$K$22</f>
        <v>0.97399999999999998</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17467</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17467</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17467</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17467</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17467</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17467</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17467</v>
      </c>
      <c r="G1148">
        <f>'4L'!$F$24</f>
        <v>0.97399999999999998</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17467</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17467</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17467</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17467</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17467</v>
      </c>
      <c r="G1153">
        <f>'4L'!$K$24</f>
        <v>0.97399999999999998</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17467</v>
      </c>
      <c r="G1154">
        <f>'4L'!$R$24</f>
        <v>1.4470000000000001</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17467</v>
      </c>
      <c r="G1155">
        <f>'4L'!$S$24</f>
        <v>2.0539999999999998</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17467</v>
      </c>
      <c r="G1156">
        <f>'4L'!$T$24</f>
        <v>3.004</v>
      </c>
    </row>
    <row r="1157" spans="1:7">
      <c r="A1157" t="s">
        <v>4187</v>
      </c>
      <c r="C1157" t="str">
        <f>'4L'!$AV$25</f>
        <v>B0225IVC_WR</v>
      </c>
      <c r="D1157" t="str">
        <f>_xlfn.CONCAT('4L'!$B$9, "-", '4L'!$B$25, "-", '4L'!$F$6, "-", '4L'!$F$6, "-", '4L'!$F$5)</f>
        <v>EA/NRW environmental programme (WINEP/NEP)-Investigations-Water resources-Water resources-Expenditure in report year</v>
      </c>
      <c r="F1157" t="s">
        <v>17467</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17467</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17467</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17467</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17467</v>
      </c>
      <c r="G1161">
        <f>'4L'!$J$25</f>
        <v>0</v>
      </c>
    </row>
    <row r="1162" spans="1:7">
      <c r="A1162" t="s">
        <v>4187</v>
      </c>
      <c r="C1162" t="str">
        <f>'4L'!$BA$25</f>
        <v>B0225IVC_TOT</v>
      </c>
      <c r="D1162" t="str">
        <f>_xlfn.CONCAT('4L'!$B$9, "-", '4L'!$B$25, "-", '4L'!$K$6, "-", '4L'!$K$6, "-", '4L'!$F$5)</f>
        <v>EA/NRW environmental programme (WINEP/NEP)-Investigations-Total-Total-Expenditure in report year</v>
      </c>
      <c r="F1162" t="s">
        <v>17467</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17467</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17467</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17467</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17467</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17467</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17467</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17467</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17467</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17467</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17467</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17467</v>
      </c>
      <c r="G1173">
        <f>'4L'!$J$26</f>
        <v>0</v>
      </c>
    </row>
    <row r="1174" spans="1:7">
      <c r="A1174" t="s">
        <v>4187</v>
      </c>
      <c r="C1174" t="str">
        <f>'4L'!$BA$26</f>
        <v>B0226IVO_TOT</v>
      </c>
      <c r="D1174" t="str">
        <f>_xlfn.CONCAT('4L'!$B$9, "-", '4L'!$B$26, "-", '4L'!$K$6, "-", '4L'!$K$6, "-", '4L'!$F$5)</f>
        <v>EA/NRW environmental programme (WINEP/NEP)-Investigations-Total-Total-Expenditure in report year</v>
      </c>
      <c r="F1174" t="s">
        <v>17467</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17467</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17467</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17467</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17467</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17467</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17467</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17467</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17467</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17467</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17467</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17467</v>
      </c>
      <c r="G1185">
        <f>'4L'!$J$27</f>
        <v>0</v>
      </c>
    </row>
    <row r="1186" spans="1:7">
      <c r="A1186" t="s">
        <v>4187</v>
      </c>
      <c r="C1186" t="str">
        <f>'4L'!$BA$27</f>
        <v>B0227IVT_TOT</v>
      </c>
      <c r="D1186" t="str">
        <f>_xlfn.CONCAT('4L'!$B$9, "-", '4L'!$B$27, "-", '4L'!$K$6, "-", '4L'!$K$6, "-", '4L'!$F$5)</f>
        <v>EA/NRW environmental programme (WINEP/NEP)-Investigations-Total-Total-Expenditure in report year</v>
      </c>
      <c r="F1186" t="s">
        <v>17467</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17467</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17467</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17467</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17467</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17467</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17467</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17467</v>
      </c>
      <c r="G1193">
        <f>'4L'!$R$27</f>
        <v>-4.2999999999999997E-2</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17467</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17467</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17467</v>
      </c>
      <c r="G1196">
        <f>'4L'!$F$28</f>
        <v>1.476</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17467</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17467</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17467</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17467</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17467</v>
      </c>
      <c r="G1201">
        <f>'4L'!$K$28</f>
        <v>1.476</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17467</v>
      </c>
      <c r="G1202">
        <f>'4L'!$R$28</f>
        <v>11.611000000000001</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17467</v>
      </c>
      <c r="G1203">
        <f>'4L'!$S$28</f>
        <v>12.683</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17467</v>
      </c>
      <c r="G1204">
        <f>'4L'!$T$28</f>
        <v>18.553000000000001</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17467</v>
      </c>
      <c r="G1205">
        <f>'4L'!$F$31</f>
        <v>0.23699999999999999</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17467</v>
      </c>
      <c r="G1206">
        <f>'4L'!$G$31</f>
        <v>4.6360000000000001</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17467</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17467</v>
      </c>
      <c r="G1208">
        <f>'4L'!$I$31</f>
        <v>5.8999999999999997E-2</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17467</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17467</v>
      </c>
      <c r="G1210">
        <f>'4L'!$K$31</f>
        <v>4.9320000000000004</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17467</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17467</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17467</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17467</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17467</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17467</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17467</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17467</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17467</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17467</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17467</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17467</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17467</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17467</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17467</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17467</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17467</v>
      </c>
      <c r="G1227">
        <f>'4L'!$J$61</f>
        <v>0.191</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17467</v>
      </c>
      <c r="G1228">
        <f>'4L'!$K$61</f>
        <v>0.191</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17467</v>
      </c>
      <c r="G1229">
        <f>'4L'!$F$33</f>
        <v>0.23699999999999999</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17467</v>
      </c>
      <c r="G1230">
        <f>'4L'!$G$33</f>
        <v>4.6360000000000001</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17467</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17467</v>
      </c>
      <c r="G1232">
        <f>'4L'!$I$33</f>
        <v>5.8999999999999997E-2</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17467</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17467</v>
      </c>
      <c r="G1234">
        <f>'4L'!$K$33</f>
        <v>4.9320000000000004</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17467</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17467</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17467</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17467</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17467</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17467</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17467</v>
      </c>
      <c r="G1241">
        <f>'4L'!$R$33</f>
        <v>8.1880000000000006</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17467</v>
      </c>
      <c r="G1242">
        <f>'4L'!$S$33</f>
        <v>6.5460000000000003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17467</v>
      </c>
      <c r="G1243">
        <f>'4L'!$T$33</f>
        <v>9.5760000000000005</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17467</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17467</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17467</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17467</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17467</v>
      </c>
      <c r="G1248">
        <f>'4L'!$J$34</f>
        <v>1.554</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17467</v>
      </c>
      <c r="G1249">
        <f>'4L'!$K$34</f>
        <v>1.554</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17467</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17467</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17467</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17467</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17467</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17467</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17467</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17467</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17467</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17467</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17467</v>
      </c>
      <c r="G1260">
        <f>'4L'!$J$36</f>
        <v>1.554</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17467</v>
      </c>
      <c r="G1261">
        <f>'4L'!$K$36</f>
        <v>1.554</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17467</v>
      </c>
      <c r="G1262">
        <f>'4L'!$R$36</f>
        <v>5.5739999999999998</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17467</v>
      </c>
      <c r="G1263">
        <f>'4L'!$S$36</f>
        <v>22.404</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17467</v>
      </c>
      <c r="G1264">
        <f>'4L'!$T$36</f>
        <v>32.771999999999998</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17467</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17467</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17467</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17467</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17467</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17467</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17467</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17467</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17467</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17467</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17467</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17467</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17467</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17467</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17467</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17467</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17467</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17467</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17467</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17467</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17467</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17467</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17467</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17467</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17467</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17467</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17467</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17467</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17467</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17467</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17467</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17467</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17467</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17467</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17467</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17467</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17467</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17467</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17467</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17467</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17467</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17467</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17467</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17467</v>
      </c>
      <c r="G1308">
        <f>'4L'!$J$40</f>
        <v>0.34100000000000003</v>
      </c>
    </row>
    <row r="1309" spans="1:7">
      <c r="A1309" t="s">
        <v>4187</v>
      </c>
      <c r="C1309" t="str">
        <f>'4L'!$BA$40</f>
        <v>B0238IIC_TOT</v>
      </c>
      <c r="D1309" t="str">
        <f>_xlfn.CONCAT('4L'!$B$30, "-", '4L'!$B$40, "-", '4L'!$K$6, "-", '4L'!$K$6, "-", '4L'!$F$5)</f>
        <v>Supply-demand balance-Internal interconnectors delivering benefits in 2020-2025-Total-Total-Expenditure in report year</v>
      </c>
      <c r="F1309" t="s">
        <v>17467</v>
      </c>
      <c r="G1309">
        <f>'4L'!$K$40</f>
        <v>0.34100000000000003</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17467</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17467</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17467</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17467</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17467</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17467</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17467</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17467</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17467</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17467</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17467</v>
      </c>
      <c r="G1320">
        <f>'4L'!$J$42</f>
        <v>0.34100000000000003</v>
      </c>
    </row>
    <row r="1321" spans="1:7">
      <c r="A1321" t="s">
        <v>4187</v>
      </c>
      <c r="C1321" t="str">
        <f>'4L'!$BA$42</f>
        <v>B0240IIT_TOT</v>
      </c>
      <c r="D1321" t="str">
        <f>_xlfn.CONCAT('4L'!$B$30, "-", '4L'!$B$42, "-", '4L'!$K$6, "-", '4L'!$K$6, "-", '4L'!$F$5)</f>
        <v>Supply-demand balance-Internal interconnectors delivering benefits in 2020-2025-Total-Total-Expenditure in report year</v>
      </c>
      <c r="F1321" t="s">
        <v>17467</v>
      </c>
      <c r="G1321">
        <f>'4L'!$K$42</f>
        <v>0.34100000000000003</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17467</v>
      </c>
      <c r="G1322">
        <f>'4L'!$R$42</f>
        <v>0.34699999999999998</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17467</v>
      </c>
      <c r="G1323">
        <f>'4L'!$S$42</f>
        <v>4.4690000000000003</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17467</v>
      </c>
      <c r="G1324">
        <f>'4L'!$T$42</f>
        <v>6.5380000000000003</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17467</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17467</v>
      </c>
      <c r="G1326">
        <f>'4L'!$G$43</f>
        <v>0.309</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17467</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17467</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17467</v>
      </c>
      <c r="G1329">
        <f>'4L'!$J$43</f>
        <v>0</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17467</v>
      </c>
      <c r="G1330">
        <f>'4L'!$K$43</f>
        <v>0.309</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17467</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17467</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17467</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17467</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17467</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17467</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17467</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17467</v>
      </c>
      <c r="G1338">
        <f>'4L'!$G$45</f>
        <v>0.309</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17467</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17467</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17467</v>
      </c>
      <c r="G1341">
        <f>'4L'!$J$45</f>
        <v>0</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17467</v>
      </c>
      <c r="G1342">
        <f>'4L'!$K$45</f>
        <v>0.309</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17467</v>
      </c>
      <c r="G1343">
        <f>'4L'!$R$45</f>
        <v>0.247</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17467</v>
      </c>
      <c r="G1344">
        <f>'4L'!$S$45</f>
        <v>6.109</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17467</v>
      </c>
      <c r="G1345">
        <f>'4L'!$T$45</f>
        <v>8.9359999999999999</v>
      </c>
    </row>
    <row r="1346" spans="1:7">
      <c r="A1346" t="s">
        <v>4187</v>
      </c>
      <c r="C1346" t="str">
        <f>'4L'!$AV$46</f>
        <v>B0244SRC_WR</v>
      </c>
      <c r="D1346" t="str">
        <f>_xlfn.CONCAT('4L'!$B$30, "-", '4L'!$B$46, "-", '4L'!$F$6, "-", '4L'!$F$6, "-", '4L'!$F$5)</f>
        <v>Supply-demand balance-Strategic regional water resources-Water resources-Water resources-Expenditure in report year</v>
      </c>
      <c r="F1346" t="s">
        <v>17467</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17467</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17467</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17467</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17467</v>
      </c>
      <c r="G1350">
        <f>'4L'!$J$46</f>
        <v>0</v>
      </c>
    </row>
    <row r="1351" spans="1:7">
      <c r="A1351" t="s">
        <v>4187</v>
      </c>
      <c r="C1351" t="str">
        <f>'4L'!$BA$46</f>
        <v>B0244SRC_TOT</v>
      </c>
      <c r="D1351" t="str">
        <f>_xlfn.CONCAT('4L'!$B$30, "-", '4L'!$B$46, "-", '4L'!$K$6, "-", '4L'!$K$6, "-", '4L'!$F$5)</f>
        <v>Supply-demand balance-Strategic regional water resources-Total-Total-Expenditure in report year</v>
      </c>
      <c r="F1351" t="s">
        <v>17467</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17467</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17467</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17467</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17467</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17467</v>
      </c>
      <c r="G1356">
        <f>'4L'!$J$47</f>
        <v>0</v>
      </c>
    </row>
    <row r="1357" spans="1:7">
      <c r="A1357" t="s">
        <v>4187</v>
      </c>
      <c r="C1357" t="str">
        <f>'4L'!$BA$47</f>
        <v>B0245SRO_TOT</v>
      </c>
      <c r="D1357" t="str">
        <f>_xlfn.CONCAT('4L'!$B$30, "-", '4L'!$B$47, "-", '4L'!$K$6, "-", '4L'!$K$6, "-", '4L'!$F$5)</f>
        <v>Supply-demand balance-Strategic regional water resources-Total-Total-Expenditure in report year</v>
      </c>
      <c r="F1357" t="s">
        <v>17467</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17467</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17467</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17467</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17467</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17467</v>
      </c>
      <c r="G1362">
        <f>'4L'!$J$48</f>
        <v>0</v>
      </c>
    </row>
    <row r="1363" spans="1:7">
      <c r="A1363" t="s">
        <v>4187</v>
      </c>
      <c r="C1363" t="str">
        <f>'4L'!$BA$48</f>
        <v>B0246SRT_TOT</v>
      </c>
      <c r="D1363" t="str">
        <f>_xlfn.CONCAT('4L'!$B$30, "-", '4L'!$B$48, "-", '4L'!$K$6, "-", '4L'!$K$6, "-", '4L'!$F$5)</f>
        <v>Supply-demand balance-Strategic regional water resources-Total-Total-Expenditure in report year</v>
      </c>
      <c r="F1363" t="s">
        <v>17467</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17467</v>
      </c>
      <c r="G1364">
        <f>'4L'!$R$48</f>
        <v>6.3E-2</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17467</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17467</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17467</v>
      </c>
      <c r="G1367">
        <f>'4L'!$F$49</f>
        <v>0.23699999999999999</v>
      </c>
    </row>
    <row r="1368" spans="1:7">
      <c r="A1368" t="s">
        <v>4187</v>
      </c>
      <c r="C1368" t="str">
        <f>'4L'!$AW$49</f>
        <v>B0247SST_RWT</v>
      </c>
      <c r="D1368" t="str">
        <f>_xlfn.CONCAT('4L'!$B$30, "-", '4L'!$B$49, "-", '4L'!$G$7, "-", '4L'!$G$6, "-", '4L'!$F$5)</f>
        <v>Supply-demand balance-Total supply demand expenditure -Raw water transport-Water network+-Expenditure in report year</v>
      </c>
      <c r="F1368" t="s">
        <v>17467</v>
      </c>
      <c r="G1368">
        <f>'4L'!$G$49</f>
        <v>4.9450000000000003</v>
      </c>
    </row>
    <row r="1369" spans="1:7">
      <c r="A1369" t="s">
        <v>4187</v>
      </c>
      <c r="C1369" t="str">
        <f>'4L'!$AX$49</f>
        <v>B0247SST_RWS</v>
      </c>
      <c r="D1369" t="str">
        <f>_xlfn.CONCAT('4L'!$B$30, "-", '4L'!$B$49, "-", '4L'!$H$7, "-", '4L'!$G$6, "-", '4L'!$F$5)</f>
        <v>Supply-demand balance-Total supply demand expenditure -Raw water storage-Water network+-Expenditure in report year</v>
      </c>
      <c r="F1369" t="s">
        <v>17467</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17467</v>
      </c>
      <c r="G1370">
        <f>'4L'!$I$49</f>
        <v>5.8999999999999997E-2</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17467</v>
      </c>
      <c r="G1371">
        <f>'4L'!$J$49</f>
        <v>1.895</v>
      </c>
    </row>
    <row r="1372" spans="1:7">
      <c r="A1372" t="s">
        <v>4187</v>
      </c>
      <c r="C1372" t="str">
        <f>'4L'!$BA$49</f>
        <v>B0247SST_TOT</v>
      </c>
      <c r="D1372" t="str">
        <f>_xlfn.CONCAT('4L'!$B$30, "-", '4L'!$B$49, "-", '4L'!$K$6, "-", '4L'!$K$6, "-", '4L'!$F$5)</f>
        <v>Supply-demand balance-Total supply demand expenditure -Total-Total-Expenditure in report year</v>
      </c>
      <c r="F1372" t="s">
        <v>17467</v>
      </c>
      <c r="G1372">
        <f>'4L'!$K$49</f>
        <v>7.136000000000001</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17467</v>
      </c>
      <c r="G1373">
        <f>'4L'!$R$49</f>
        <v>14.419</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17467</v>
      </c>
      <c r="G1374">
        <f>'4L'!$S$49</f>
        <v>39.527999999999999</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17467</v>
      </c>
      <c r="G1375">
        <f>'4L'!$T$49</f>
        <v>57.821999999999996</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17467</v>
      </c>
      <c r="G1376">
        <f>'4L'!$J$52</f>
        <v>5.0519999999999996</v>
      </c>
    </row>
    <row r="1377" spans="1:7">
      <c r="A1377" t="s">
        <v>4187</v>
      </c>
      <c r="C1377" t="str">
        <f>'4L'!$BA$52</f>
        <v>B0248NMC_TOT</v>
      </c>
      <c r="D1377" t="str">
        <f>_xlfn.CONCAT('4L'!$B$51, "-", '4L'!$B$52, "-", '4L'!$K$6, "-", '4L'!$K$6, "-", '4L'!$F$5)</f>
        <v>Metering-New meters requested by existing customers (optants)-Total-Total-Expenditure in report year</v>
      </c>
      <c r="F1377" t="s">
        <v>17467</v>
      </c>
      <c r="G1377">
        <f>'4L'!$K$52</f>
        <v>5.0519999999999996</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17467</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17467</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17467</v>
      </c>
      <c r="G1380">
        <f>'4L'!$J$54</f>
        <v>5.0519999999999996</v>
      </c>
    </row>
    <row r="1381" spans="1:7">
      <c r="A1381" t="s">
        <v>4187</v>
      </c>
      <c r="C1381" t="str">
        <f>'4L'!$BA$54</f>
        <v>B0250NMT_TOT</v>
      </c>
      <c r="D1381" t="str">
        <f>_xlfn.CONCAT('4L'!$B$51, "-", '4L'!$B$54, "-", '4L'!$K$6, "-", '4L'!$K$6, "-", '4L'!$F$5)</f>
        <v>Metering-New meters requested by existing customers (optants)-Total-Total-Expenditure in report year</v>
      </c>
      <c r="F1381" t="s">
        <v>17467</v>
      </c>
      <c r="G1381">
        <f>'4L'!$K$54</f>
        <v>5.0519999999999996</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17467</v>
      </c>
      <c r="G1382">
        <f>'4L'!$J$55</f>
        <v>0</v>
      </c>
    </row>
    <row r="1383" spans="1:7">
      <c r="A1383" t="s">
        <v>4187</v>
      </c>
      <c r="C1383" t="str">
        <f>'4L'!$BA$55</f>
        <v>B0251NMC_TOT</v>
      </c>
      <c r="D1383" t="str">
        <f>_xlfn.CONCAT('4L'!$B$51, "-", '4L'!$B$55, "-", '4L'!$K$6, "-", '4L'!$K$6, "-", '4L'!$F$5)</f>
        <v>Metering-New meters introduced by companies for existing customers-Total-Total-Expenditure in report year</v>
      </c>
      <c r="F1383" t="s">
        <v>17467</v>
      </c>
      <c r="G1383">
        <f>'4L'!$K$55</f>
        <v>0</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17467</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17467</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17467</v>
      </c>
      <c r="G1386">
        <f>'4L'!$J$57</f>
        <v>0</v>
      </c>
    </row>
    <row r="1387" spans="1:7">
      <c r="A1387" t="s">
        <v>4187</v>
      </c>
      <c r="C1387" t="str">
        <f>'4L'!$BA$57</f>
        <v>B0253NMT_TOT</v>
      </c>
      <c r="D1387" t="str">
        <f>_xlfn.CONCAT('4L'!$B$51, "-", '4L'!$B$57, "-", '4L'!$K$6, "-", '4L'!$K$6, "-", '4L'!$F$5)</f>
        <v>Metering-New meters introduced by companies for existing customers-Total-Total-Expenditure in report year</v>
      </c>
      <c r="F1387" t="s">
        <v>17467</v>
      </c>
      <c r="G1387">
        <f>'4L'!$K$57</f>
        <v>0</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17467</v>
      </c>
      <c r="G1388">
        <f>'4L'!$J$58</f>
        <v>2.1000000000000001E-2</v>
      </c>
    </row>
    <row r="1389" spans="1:7">
      <c r="A1389" t="s">
        <v>4187</v>
      </c>
      <c r="C1389" t="str">
        <f>'4L'!$BA$58</f>
        <v>B0254NMC_TOT</v>
      </c>
      <c r="D1389" t="str">
        <f>_xlfn.CONCAT('4L'!$B$51, "-", '4L'!$B$58, "-", '4L'!$K$6, "-", '4L'!$K$6, "-", '4L'!$F$5)</f>
        <v>Metering-New meters for existing customers - business-Total-Total-Expenditure in report year</v>
      </c>
      <c r="F1389" t="s">
        <v>17467</v>
      </c>
      <c r="G1389">
        <f>'4L'!$K$58</f>
        <v>2.1000000000000001E-2</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17467</v>
      </c>
      <c r="G1390">
        <f>'4L'!$J$59</f>
        <v>0</v>
      </c>
    </row>
    <row r="1391" spans="1:7">
      <c r="A1391" t="s">
        <v>4187</v>
      </c>
      <c r="C1391" t="str">
        <f>'4L'!$BA$59</f>
        <v>B0255NMO_TOT</v>
      </c>
      <c r="D1391" t="str">
        <f>_xlfn.CONCAT('4L'!$B$51, "-", '4L'!$B$59, "-", '4L'!$K$6, "-", '4L'!$K$6, "-", '4L'!$F$5)</f>
        <v>Metering-New meters for existing customers - business-Total-Total-Expenditure in report year</v>
      </c>
      <c r="F1391" t="s">
        <v>17467</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17467</v>
      </c>
      <c r="G1392">
        <f>'4L'!$J$60</f>
        <v>2.1000000000000001E-2</v>
      </c>
    </row>
    <row r="1393" spans="1:7">
      <c r="A1393" t="s">
        <v>4187</v>
      </c>
      <c r="C1393" t="str">
        <f>'4L'!$BA$60</f>
        <v>B0256NMT_TOT</v>
      </c>
      <c r="D1393" t="str">
        <f>_xlfn.CONCAT('4L'!$B$51, "-", '4L'!$B$60, "-", '4L'!$K$6, "-", '4L'!$K$6, "-", '4L'!$F$5)</f>
        <v>Metering-New meters for existing customers - business-Total-Total-Expenditure in report year</v>
      </c>
      <c r="F1393" t="s">
        <v>17467</v>
      </c>
      <c r="G1393">
        <f>'4L'!$K$60</f>
        <v>2.1000000000000001E-2</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17467</v>
      </c>
      <c r="G1394">
        <f>'4L'!$J$63</f>
        <v>0.191</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17467</v>
      </c>
      <c r="G1395">
        <f>'4L'!$K$63</f>
        <v>0.191</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17467</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17467</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17467</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17467</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17467</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17467</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17467</v>
      </c>
      <c r="G1402">
        <f>'4L'!$J$67</f>
        <v>5.3999999999999999E-2</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17467</v>
      </c>
      <c r="G1403">
        <f>'4L'!$K$67</f>
        <v>5.3999999999999999E-2</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17467</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17467</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17467</v>
      </c>
      <c r="G1406">
        <f>'4L'!$J$69</f>
        <v>5.3999999999999999E-2</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17467</v>
      </c>
      <c r="G1407">
        <f>'4L'!$K$69</f>
        <v>5.3999999999999999E-2</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17467</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17467</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17467</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17467</v>
      </c>
      <c r="G1411">
        <f>'4L'!$Q$85</f>
        <v>0.86199999999999999</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17467</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17467</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17467</v>
      </c>
      <c r="G1414">
        <f>'4L'!$J$73</f>
        <v>0</v>
      </c>
    </row>
    <row r="1415" spans="1:7">
      <c r="A1415" t="s">
        <v>4187</v>
      </c>
      <c r="C1415" t="str">
        <f>'4L'!$BA$73</f>
        <v>B0378SMI_TOT</v>
      </c>
      <c r="D1415" t="str">
        <f>_xlfn.CONCAT('4L'!$B$51, "-", '4L'!$B$73, "-", '4L'!$K$6, "-", '4L'!$K$6, "-", '4L'!$F$5)</f>
        <v>Metering-Smart meter infrastructure-Total-Total-Expenditure in report year</v>
      </c>
      <c r="F1415" t="s">
        <v>17467</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17467</v>
      </c>
      <c r="G1416">
        <f>'4L'!$J$74</f>
        <v>0</v>
      </c>
    </row>
    <row r="1417" spans="1:7">
      <c r="A1417" t="s">
        <v>4187</v>
      </c>
      <c r="C1417" t="str">
        <f>'4L'!$BA$74</f>
        <v>B0379SMI_TOT</v>
      </c>
      <c r="D1417" t="str">
        <f>_xlfn.CONCAT('4L'!$B$51, "-", '4L'!$B$74, "-", '4L'!$K$6, "-", '4L'!$K$6, "-", '4L'!$F$5)</f>
        <v>Metering-Smart meter infrastructure-Total-Total-Expenditure in report year</v>
      </c>
      <c r="F1417" t="s">
        <v>17467</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17467</v>
      </c>
      <c r="G1418">
        <f>'4L'!$J$75</f>
        <v>0</v>
      </c>
    </row>
    <row r="1419" spans="1:7">
      <c r="A1419" t="s">
        <v>4187</v>
      </c>
      <c r="C1419" t="str">
        <f>'4L'!$BA$75</f>
        <v>B0380SMI_TOT</v>
      </c>
      <c r="D1419" t="str">
        <f>_xlfn.CONCAT('4L'!$B$51, "-", '4L'!$B$75, "-", '4L'!$K$6, "-", '4L'!$K$6, "-", '4L'!$F$5)</f>
        <v>Metering-Smart meter infrastructure-Total-Total-Expenditure in report year</v>
      </c>
      <c r="F1419" t="s">
        <v>17467</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17467</v>
      </c>
      <c r="G1420">
        <f>'4L'!$J$76</f>
        <v>5.3179999999999996</v>
      </c>
    </row>
    <row r="1421" spans="1:7">
      <c r="A1421" t="s">
        <v>4187</v>
      </c>
      <c r="C1421" t="str">
        <f>'4L'!$BA$76</f>
        <v>B0257TMT_TOT</v>
      </c>
      <c r="D1421" t="str">
        <f>_xlfn.CONCAT('4L'!$B$51, "-", '4L'!$B$76, "-", '4L'!$K$6, "-", '4L'!$K$6, "-", '4L'!$F$5)</f>
        <v>Metering-Total metering expenditure -Total-Total-Expenditure in report year</v>
      </c>
      <c r="F1421" t="s">
        <v>17467</v>
      </c>
      <c r="G1421">
        <f>'4L'!$K$76</f>
        <v>5.3179999999999996</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17467</v>
      </c>
      <c r="G1422">
        <f>'4L'!$R$76</f>
        <v>9.7669999999999995</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17467</v>
      </c>
      <c r="G1423">
        <f>'4L'!$S$76</f>
        <v>12.694000000000001</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17467</v>
      </c>
      <c r="G1424">
        <f>'4L'!$T$76</f>
        <v>20.456</v>
      </c>
    </row>
    <row r="1425" spans="1:7">
      <c r="A1425" t="s">
        <v>4187</v>
      </c>
      <c r="C1425" t="str">
        <f>'4L'!$AV$79</f>
        <v>B0258ITC_WR</v>
      </c>
      <c r="D1425" t="str">
        <f>_xlfn.CONCAT('4L'!$B$78, "-", '4L'!$B$79, "-", '4L'!$F$6, "-", '4L'!$F$6, "-", '4L'!$F$5)</f>
        <v>Other enhancement-Improvements to taste, odour and colour-Water resources-Water resources-Expenditure in report year</v>
      </c>
      <c r="F1425" t="s">
        <v>17467</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17467</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17467</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17467</v>
      </c>
      <c r="G1428">
        <f>'4L'!$I$79</f>
        <v>1.1719999999999999</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17467</v>
      </c>
      <c r="G1429">
        <f>'4L'!$J$79</f>
        <v>8.4760000000000009</v>
      </c>
    </row>
    <row r="1430" spans="1:7">
      <c r="A1430" t="s">
        <v>4187</v>
      </c>
      <c r="C1430" t="str">
        <f>'4L'!$BA$79</f>
        <v>B0258ITC_TOT</v>
      </c>
      <c r="D1430" t="str">
        <f>_xlfn.CONCAT('4L'!$B$78, "-", '4L'!$B$79, "-", '4L'!$K$6, "-", '4L'!$K$6, "-", '4L'!$F$5)</f>
        <v>Other enhancement-Improvements to taste, odour and colour-Total-Total-Expenditure in report year</v>
      </c>
      <c r="F1430" t="s">
        <v>17467</v>
      </c>
      <c r="G1430">
        <f>'4L'!$K$79</f>
        <v>9.6480000000000015</v>
      </c>
    </row>
    <row r="1431" spans="1:7">
      <c r="A1431" t="s">
        <v>4187</v>
      </c>
      <c r="C1431" t="str">
        <f>'4L'!$AV$80</f>
        <v>B0259ITO_WR</v>
      </c>
      <c r="D1431" t="str">
        <f>_xlfn.CONCAT('4L'!$B$78, "-", '4L'!$B$80, "-", '4L'!$F$6, "-", '4L'!$F$6, "-", '4L'!$F$5)</f>
        <v>Other enhancement-Improvements to taste, odour and colour-Water resources-Water resources-Expenditure in report year</v>
      </c>
      <c r="F1431" t="s">
        <v>17467</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17467</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17467</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17467</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17467</v>
      </c>
      <c r="G1435">
        <f>'4L'!$J$80</f>
        <v>5.1999999999999998E-2</v>
      </c>
    </row>
    <row r="1436" spans="1:7">
      <c r="A1436" t="s">
        <v>4187</v>
      </c>
      <c r="C1436" t="str">
        <f>'4L'!$BA$80</f>
        <v>B0259ITO_TOT</v>
      </c>
      <c r="D1436" t="str">
        <f>_xlfn.CONCAT('4L'!$B$78, "-", '4L'!$B$80, "-", '4L'!$K$6, "-", '4L'!$K$6, "-", '4L'!$F$5)</f>
        <v>Other enhancement-Improvements to taste, odour and colour-Total-Total-Expenditure in report year</v>
      </c>
      <c r="F1436" t="s">
        <v>17467</v>
      </c>
      <c r="G1436">
        <f>'4L'!$K$80</f>
        <v>5.1999999999999998E-2</v>
      </c>
    </row>
    <row r="1437" spans="1:7">
      <c r="A1437" t="s">
        <v>4187</v>
      </c>
      <c r="C1437" t="str">
        <f>'4L'!$AV$81</f>
        <v>B0260ITT_WR</v>
      </c>
      <c r="D1437" t="str">
        <f>_xlfn.CONCAT('4L'!$B$78, "-", '4L'!$B$81, "-", '4L'!$F$6, "-", '4L'!$F$6, "-", '4L'!$F$5)</f>
        <v>Other enhancement-Improvements to taste, odour and colour-Water resources-Water resources-Expenditure in report year</v>
      </c>
      <c r="F1437" t="s">
        <v>17467</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17467</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17467</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17467</v>
      </c>
      <c r="G1440">
        <f>'4L'!$I$81</f>
        <v>1.1719999999999999</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17467</v>
      </c>
      <c r="G1441">
        <f>'4L'!$J$81</f>
        <v>8.5280000000000005</v>
      </c>
    </row>
    <row r="1442" spans="1:7">
      <c r="A1442" t="s">
        <v>4187</v>
      </c>
      <c r="C1442" t="str">
        <f>'4L'!$BA$81</f>
        <v>B0260ITT_TOT</v>
      </c>
      <c r="D1442" t="str">
        <f>_xlfn.CONCAT('4L'!$B$78, "-", '4L'!$B$81, "-", '4L'!$K$6, "-", '4L'!$K$6, "-", '4L'!$F$5)</f>
        <v>Other enhancement-Improvements to taste, odour and colour-Total-Total-Expenditure in report year</v>
      </c>
      <c r="F1442" t="s">
        <v>17467</v>
      </c>
      <c r="G1442">
        <f>'4L'!$K$81</f>
        <v>9.7000000000000011</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17467</v>
      </c>
      <c r="G1443">
        <f>'4L'!$R$81</f>
        <v>42.341999999999999</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17467</v>
      </c>
      <c r="G1444">
        <f>'4L'!$S$81</f>
        <v>70.957999999999998</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17467</v>
      </c>
      <c r="G1445">
        <f>'4L'!$T$81</f>
        <v>114.342</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17467</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17467</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17467</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17467</v>
      </c>
      <c r="G1449">
        <f>'4L'!$I$82</f>
        <v>0</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17467</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17467</v>
      </c>
      <c r="G1451">
        <f>'4L'!$K$82</f>
        <v>0</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17467</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17467</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17467</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17467</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17467</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17467</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17467</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17467</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17467</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17467</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17467</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17467</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17467</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17467</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17467</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17467</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17467</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17467</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17467</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17467</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17467</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17467</v>
      </c>
      <c r="G1473">
        <f>'4L'!$I$84</f>
        <v>0</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17467</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17467</v>
      </c>
      <c r="G1475">
        <f>'4L'!$K$84</f>
        <v>0</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17467</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17467</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17467</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17467</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17467</v>
      </c>
      <c r="G1480">
        <f>'4L'!$R$90</f>
        <v>1.5229999999999999</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17467</v>
      </c>
      <c r="G1481">
        <f>'4L'!$S$90</f>
        <v>7.8730000000000002</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17467</v>
      </c>
      <c r="G1482">
        <f>'4L'!$T$90</f>
        <v>11.661</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17467</v>
      </c>
      <c r="G1483">
        <f>'4L'!$F$85</f>
        <v>1.1719999999999999</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17467</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17467</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17467</v>
      </c>
      <c r="G1486">
        <f>'4L'!$I$85</f>
        <v>-5.8000000000000003E-2</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17467</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17467</v>
      </c>
      <c r="G1488">
        <f>'4L'!$K$85</f>
        <v>1.1139999999999999</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17467</v>
      </c>
      <c r="G1489">
        <f>'4L'!$L$85</f>
        <v>0.86199999999999999</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17467</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17467</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17467</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17467</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17467</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17467</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17467</v>
      </c>
      <c r="G1496">
        <f>'4L'!$I$86</f>
        <v>0.10299999999999999</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17467</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17467</v>
      </c>
      <c r="G1498">
        <f>'4L'!$K$86</f>
        <v>0.10299999999999999</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17467</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17467</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17467</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17467</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17467</v>
      </c>
      <c r="G1503">
        <f>'4L'!$F$87</f>
        <v>1.1719999999999999</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17467</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17467</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17467</v>
      </c>
      <c r="G1506">
        <f>'4L'!$I$87</f>
        <v>4.4999999999999991E-2</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17467</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17467</v>
      </c>
      <c r="G1508">
        <f>'4L'!$K$87</f>
        <v>1.2169999999999999</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17467</v>
      </c>
      <c r="G1509">
        <f>'4L'!$L$87</f>
        <v>0.86199999999999999</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17467</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17467</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17467</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17467</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17467</v>
      </c>
      <c r="G1514">
        <f>'4L'!$Q$87</f>
        <v>0.86199999999999999</v>
      </c>
    </row>
    <row r="1515" spans="1:7">
      <c r="A1515" t="s">
        <v>4187</v>
      </c>
      <c r="C1515" t="str">
        <f>'4L'!$AV$88</f>
        <v>B0264ARC_WR</v>
      </c>
      <c r="D1515" t="str">
        <f>_xlfn.CONCAT('4L'!$B$78, "-", '4L'!$B$88, "-", '4L'!$F$6, "-", '4L'!$F$6, "-", '4L'!$F$5)</f>
        <v>Other enhancement-Addressing raw water deterioration (total)-Water resources-Water resources-Expenditure in report year</v>
      </c>
      <c r="F1515" t="s">
        <v>17467</v>
      </c>
      <c r="G1515">
        <f>'4L'!$F$88</f>
        <v>1.1719999999999999</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17467</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17467</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17467</v>
      </c>
      <c r="G1518">
        <f>'4L'!$I$88</f>
        <v>-5.8000000000000003E-2</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17467</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17467</v>
      </c>
      <c r="G1520">
        <f>'4L'!$K$88</f>
        <v>1.1139999999999999</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17467</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17467</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17467</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17467</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17467</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17467</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17467</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17467</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17467</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17467</v>
      </c>
      <c r="G1530">
        <f>'4L'!$I$89</f>
        <v>0.10299999999999999</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17467</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17467</v>
      </c>
      <c r="G1532">
        <f>'4L'!$K$89</f>
        <v>0.10299999999999999</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17467</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17467</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17467</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17467</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17467</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17467</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17467</v>
      </c>
      <c r="G1539">
        <f>'4L'!$F$90</f>
        <v>1.1719999999999999</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17467</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17467</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17467</v>
      </c>
      <c r="G1542">
        <f>'4L'!$I$90</f>
        <v>4.4999999999999991E-2</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17467</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17467</v>
      </c>
      <c r="G1544">
        <f>'4L'!$K$90</f>
        <v>1.2169999999999999</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17467</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17467</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17467</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17467</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17467</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17467</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17467</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17467</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17467</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17467</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17467</v>
      </c>
      <c r="G1555">
        <f>'4L'!$J$91</f>
        <v>0</v>
      </c>
    </row>
    <row r="1556" spans="1:7">
      <c r="A1556" t="s">
        <v>4187</v>
      </c>
      <c r="C1556" t="str">
        <f>'4L'!$BA$91</f>
        <v>B0267IRC_TOT</v>
      </c>
      <c r="D1556" t="str">
        <f>_xlfn.CONCAT('4L'!$B$78, "-", '4L'!$B$91, "-", '4L'!$K$6, "-", '4L'!$K$6, "-", '4L'!$F$5)</f>
        <v>Other enhancement-Improvements to river flow-Total-Total-Expenditure in report year</v>
      </c>
      <c r="F1556" t="s">
        <v>17467</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17467</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17467</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17467</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17467</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17467</v>
      </c>
      <c r="G1561">
        <f>'4L'!$J$92</f>
        <v>0</v>
      </c>
    </row>
    <row r="1562" spans="1:7">
      <c r="A1562" t="s">
        <v>4187</v>
      </c>
      <c r="C1562" t="str">
        <f>'4L'!$BA$92</f>
        <v>B0268IRO_TOT</v>
      </c>
      <c r="D1562" t="str">
        <f>_xlfn.CONCAT('4L'!$B$78, "-", '4L'!$B$92, "-", '4L'!$K$6, "-", '4L'!$K$6, "-", '4L'!$F$5)</f>
        <v>Other enhancement-Improvements to river flow-Total-Total-Expenditure in report year</v>
      </c>
      <c r="F1562" t="s">
        <v>17467</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17467</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17467</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17467</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17467</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17467</v>
      </c>
      <c r="G1567">
        <f>'4L'!$J$93</f>
        <v>0</v>
      </c>
    </row>
    <row r="1568" spans="1:7">
      <c r="A1568" t="s">
        <v>4187</v>
      </c>
      <c r="C1568" t="str">
        <f>'4L'!$BA$93</f>
        <v>B0269IRT_TOT</v>
      </c>
      <c r="D1568" t="str">
        <f>_xlfn.CONCAT('4L'!$B$78, "-", '4L'!$B$93, "-", '4L'!$K$6, "-", '4L'!$K$6, "-", '4L'!$F$5)</f>
        <v>Other enhancement-Improvements to river flow-Total-Total-Expenditure in report year</v>
      </c>
      <c r="F1568" t="s">
        <v>17467</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17467</v>
      </c>
      <c r="G1569">
        <f>'4L'!$R$93</f>
        <v>0.13400000000000001</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17467</v>
      </c>
      <c r="G1570">
        <f>'4L'!$S$93</f>
        <v>1.788</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17467</v>
      </c>
      <c r="G1571">
        <f>'4L'!$T$93</f>
        <v>2.6160000000000001</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17467</v>
      </c>
      <c r="G1572">
        <f>'4L'!$F$94</f>
        <v>1.2999999999999999E-2</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17467</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17467</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17467</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17467</v>
      </c>
      <c r="G1576">
        <f>'4L'!$J$94</f>
        <v>4.3999999999999997E-2</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17467</v>
      </c>
      <c r="G1577">
        <f>'4L'!$K$94</f>
        <v>5.6999999999999995E-2</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17467</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17467</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17467</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17467</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17467</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17467</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17467</v>
      </c>
      <c r="G1584">
        <f>'4L'!$F$96</f>
        <v>1.2999999999999999E-2</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17467</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17467</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17467</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17467</v>
      </c>
      <c r="G1588">
        <f>'4L'!$J$96</f>
        <v>4.3999999999999997E-2</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17467</v>
      </c>
      <c r="G1589">
        <f>'4L'!$K$96</f>
        <v>5.6999999999999995E-2</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17467</v>
      </c>
      <c r="G1590">
        <f>'4L'!$R$96</f>
        <v>0.27700000000000002</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17467</v>
      </c>
      <c r="G1591">
        <f>'4L'!$S$96</f>
        <v>13.728</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17467</v>
      </c>
      <c r="G1592">
        <f>'4L'!$T$96</f>
        <v>22.120999999999999</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17467</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17467</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17467</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17467</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17467</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17467</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17467</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17467</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17467</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17467</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17467</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17467</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17467</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17467</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17467</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17467</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17467</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17467</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17467</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17467</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17467</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17467</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17467</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17467</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17467</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17467</v>
      </c>
      <c r="G1618">
        <f>'4L'!$J$100</f>
        <v>2.2519999999999998</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17467</v>
      </c>
      <c r="G1619">
        <f>'4L'!$K$100</f>
        <v>2.2519999999999998</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17467</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17467</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17467</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17467</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17467</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17467</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17467</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17467</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17467</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17467</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17467</v>
      </c>
      <c r="G1630">
        <f>'4L'!$J$102</f>
        <v>2.2519999999999998</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17467</v>
      </c>
      <c r="G1631">
        <f>'4L'!$K$102</f>
        <v>2.2519999999999998</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17467</v>
      </c>
      <c r="G1632">
        <f>'4L'!$R$102</f>
        <v>5.9950000000000001</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17467</v>
      </c>
      <c r="G1633">
        <f>'4L'!$S$102</f>
        <v>10.256</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17467</v>
      </c>
      <c r="G1634">
        <f>'4L'!$T$102</f>
        <v>16.526</v>
      </c>
    </row>
    <row r="1635" spans="1:7">
      <c r="A1635" t="s">
        <v>4187</v>
      </c>
      <c r="C1635" t="str">
        <f>'4L'!$AV$103</f>
        <v>B0261MLCI_WR</v>
      </c>
      <c r="D1635" t="str">
        <f>_xlfn.CONCAT('4L'!$B$78, "-", '4L'!$B$103, "-", '4L'!$F$6, "-", '4L'!$F$6, "-", '4L'!$F$5)</f>
        <v>Other enhancement-Other lead reduction related activity-Water resources-Water resources-Expenditure in report year</v>
      </c>
      <c r="F1635" t="s">
        <v>17467</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17467</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17467</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17467</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17467</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17467</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17467</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17467</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17467</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17467</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17467</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17467</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17467</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17467</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17467</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17467</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17467</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17467</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17467</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17467</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17467</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17467</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17467</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17467</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17467</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17467</v>
      </c>
      <c r="G1660">
        <f>'4L'!$J$106</f>
        <v>2.2519999999999998</v>
      </c>
    </row>
    <row r="1661" spans="1:7">
      <c r="A1661" t="s">
        <v>4187</v>
      </c>
      <c r="C1661" t="str">
        <f>'4L'!$BA$106</f>
        <v>B0261MLC_TOT</v>
      </c>
      <c r="D1661" t="str">
        <f>_xlfn.CONCAT('4L'!$B$78, "-", '4L'!$B$106, "-", '4L'!$K$6, "-", '4L'!$K$6, "-", '4L'!$F$5)</f>
        <v>Other enhancement-Meeting lead standards (total)-Total-Total-Expenditure in report year</v>
      </c>
      <c r="F1661" t="s">
        <v>17467</v>
      </c>
      <c r="G1661">
        <f>'4L'!$K$106</f>
        <v>2.2519999999999998</v>
      </c>
    </row>
    <row r="1662" spans="1:7">
      <c r="A1662" t="s">
        <v>4187</v>
      </c>
      <c r="C1662" t="str">
        <f>'4L'!$AV$107</f>
        <v>B0262MLO_WR</v>
      </c>
      <c r="D1662" t="str">
        <f>_xlfn.CONCAT('4L'!$B$78, "-", '4L'!$B$107, "-", '4L'!$F$6, "-", '4L'!$F$6, "-", '4L'!$F$5)</f>
        <v>Other enhancement-Meeting lead standards (total)-Water resources-Water resources-Expenditure in report year</v>
      </c>
      <c r="F1662" t="s">
        <v>17467</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17467</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17467</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17467</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17467</v>
      </c>
      <c r="G1666">
        <f>'4L'!$J$107</f>
        <v>0</v>
      </c>
    </row>
    <row r="1667" spans="1:7">
      <c r="A1667" t="s">
        <v>4187</v>
      </c>
      <c r="C1667" t="str">
        <f>'4L'!$BA$107</f>
        <v>B0262MLO_TOT</v>
      </c>
      <c r="D1667" t="str">
        <f>_xlfn.CONCAT('4L'!$B$78, "-", '4L'!$B$107, "-", '4L'!$K$6, "-", '4L'!$K$6, "-", '4L'!$F$5)</f>
        <v>Other enhancement-Meeting lead standards (total)-Total-Total-Expenditure in report year</v>
      </c>
      <c r="F1667" t="s">
        <v>17467</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17467</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17467</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17467</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17467</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17467</v>
      </c>
      <c r="G1672">
        <f>'4L'!$J$108</f>
        <v>2.2519999999999998</v>
      </c>
    </row>
    <row r="1673" spans="1:7">
      <c r="A1673" t="s">
        <v>4187</v>
      </c>
      <c r="C1673" t="str">
        <f>'4L'!$BA$108</f>
        <v>B0263MLT_TOT</v>
      </c>
      <c r="D1673" t="str">
        <f>_xlfn.CONCAT('4L'!$B$78, "-", '4L'!$B$108, "-", '4L'!$K$6, "-", '4L'!$K$6, "-", '4L'!$F$5)</f>
        <v>Other enhancement-Meeting lead standards (total)-Total-Total-Expenditure in report year</v>
      </c>
      <c r="F1673" t="s">
        <v>17467</v>
      </c>
      <c r="G1673">
        <f>'4L'!$K$108</f>
        <v>2.2519999999999998</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17467</v>
      </c>
      <c r="G1674">
        <f>'4L'!$R$108</f>
        <v>5.9950000000000001</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17467</v>
      </c>
      <c r="G1675">
        <f>'4L'!$S$108</f>
        <v>10.256</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17467</v>
      </c>
      <c r="G1676">
        <f>'4L'!$T$108</f>
        <v>16.526</v>
      </c>
    </row>
    <row r="1677" spans="1:7">
      <c r="A1677" t="s">
        <v>4187</v>
      </c>
      <c r="C1677" t="str">
        <f>'4L'!$AV$109</f>
        <v>B0273SSC_WR</v>
      </c>
      <c r="D1677" t="str">
        <f>_xlfn.CONCAT('4L'!$B$78, "-", '4L'!$B$109, "-", '4L'!$F$6, "-", '4L'!$F$6, "-", '4L'!$F$5)</f>
        <v>Other enhancement-Security - SEMD-Water resources-Water resources-Expenditure in report year</v>
      </c>
      <c r="F1677" t="s">
        <v>17467</v>
      </c>
      <c r="G1677">
        <f>'4L'!$F$109</f>
        <v>2E-3</v>
      </c>
    </row>
    <row r="1678" spans="1:7">
      <c r="A1678" t="s">
        <v>4187</v>
      </c>
      <c r="C1678" t="str">
        <f>'4L'!$AW$109</f>
        <v>B0273SSC_RWT</v>
      </c>
      <c r="D1678" t="str">
        <f>_xlfn.CONCAT('4L'!$B$78, "-", '4L'!$B$109, "-", '4L'!$G$7, "-", '4L'!$G$6, "-", '4L'!$F$5)</f>
        <v>Other enhancement-Security - SEMD-Raw water transport-Water network+-Expenditure in report year</v>
      </c>
      <c r="F1678" t="s">
        <v>17467</v>
      </c>
      <c r="G1678">
        <f>'4L'!$G$109</f>
        <v>1E-3</v>
      </c>
    </row>
    <row r="1679" spans="1:7">
      <c r="A1679" t="s">
        <v>4187</v>
      </c>
      <c r="C1679" t="str">
        <f>'4L'!$AX$109</f>
        <v>B0273SSC_RWS</v>
      </c>
      <c r="D1679" t="str">
        <f>_xlfn.CONCAT('4L'!$B$78, "-", '4L'!$B$109, "-", '4L'!$H$7, "-", '4L'!$G$6, "-", '4L'!$F$5)</f>
        <v>Other enhancement-Security - SEMD-Raw water storage-Water network+-Expenditure in report year</v>
      </c>
      <c r="F1679" t="s">
        <v>17467</v>
      </c>
      <c r="G1679">
        <f>'4L'!$H$109</f>
        <v>0</v>
      </c>
    </row>
    <row r="1680" spans="1:7">
      <c r="A1680" t="s">
        <v>4187</v>
      </c>
      <c r="C1680" t="str">
        <f>'4L'!$AY$109</f>
        <v>B0273SSC_WT</v>
      </c>
      <c r="D1680" t="str">
        <f>_xlfn.CONCAT('4L'!$B$78, "-", '4L'!$B$109, "-", '4L'!$I$7, "-", '4L'!$G$6, "-", '4L'!$F$5)</f>
        <v>Other enhancement-Security - SEMD-Water treatment-Water network+-Expenditure in report year</v>
      </c>
      <c r="F1680" t="s">
        <v>17467</v>
      </c>
      <c r="G1680">
        <f>'4L'!$I$109</f>
        <v>0.46800000000000003</v>
      </c>
    </row>
    <row r="1681" spans="1:7">
      <c r="A1681" t="s">
        <v>4187</v>
      </c>
      <c r="C1681" t="str">
        <f>'4L'!$AZ$109</f>
        <v>B0273SSC_TWD</v>
      </c>
      <c r="D1681" t="str">
        <f>_xlfn.CONCAT('4L'!$B$78, "-", '4L'!$B$109, "-", '4L'!$J$7, "-", '4L'!$G$6, "-", '4L'!$F$5)</f>
        <v>Other enhancement-Security - SEMD-Treated water distribution-Water network+-Expenditure in report year</v>
      </c>
      <c r="F1681" t="s">
        <v>17467</v>
      </c>
      <c r="G1681">
        <f>'4L'!$J$109</f>
        <v>1.0349999999999999</v>
      </c>
    </row>
    <row r="1682" spans="1:7">
      <c r="A1682" t="s">
        <v>4187</v>
      </c>
      <c r="C1682" t="str">
        <f>'4L'!$BA$109</f>
        <v>B0273SSC_TOT</v>
      </c>
      <c r="D1682" t="str">
        <f>_xlfn.CONCAT('4L'!$B$78, "-", '4L'!$B$109, "-", '4L'!$K$6, "-", '4L'!$K$6, "-", '4L'!$F$5)</f>
        <v>Other enhancement-Security - SEMD-Total-Total-Expenditure in report year</v>
      </c>
      <c r="F1682" t="s">
        <v>17467</v>
      </c>
      <c r="G1682">
        <f>'4L'!$K$109</f>
        <v>1.506</v>
      </c>
    </row>
    <row r="1683" spans="1:7">
      <c r="A1683" t="s">
        <v>4187</v>
      </c>
      <c r="C1683" t="str">
        <f>'4L'!$AV$110</f>
        <v>B0274SSO_WR</v>
      </c>
      <c r="D1683" t="str">
        <f>_xlfn.CONCAT('4L'!$B$78, "-", '4L'!$B$110, "-", '4L'!$F$6, "-", '4L'!$F$6, "-", '4L'!$F$5)</f>
        <v>Other enhancement-Security - SEMD-Water resources-Water resources-Expenditure in report year</v>
      </c>
      <c r="F1683" t="s">
        <v>17467</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17467</v>
      </c>
      <c r="G1684">
        <f>'4L'!$G$110</f>
        <v>0</v>
      </c>
    </row>
    <row r="1685" spans="1:7">
      <c r="A1685" t="s">
        <v>4187</v>
      </c>
      <c r="C1685" t="str">
        <f>'4L'!$AX$110</f>
        <v>B0274SSO_RWS</v>
      </c>
      <c r="D1685" t="str">
        <f>_xlfn.CONCAT('4L'!$B$78, "-", '4L'!$B$110, "-", '4L'!$H$7, "-", '4L'!$G$6, "-", '4L'!$F$5)</f>
        <v>Other enhancement-Security - SEMD-Raw water storage-Water network+-Expenditure in report year</v>
      </c>
      <c r="F1685" t="s">
        <v>17467</v>
      </c>
      <c r="G1685">
        <f>'4L'!$H$110</f>
        <v>0</v>
      </c>
    </row>
    <row r="1686" spans="1:7">
      <c r="A1686" t="s">
        <v>4187</v>
      </c>
      <c r="C1686" t="str">
        <f>'4L'!$AY$110</f>
        <v>B0274SSO_WT</v>
      </c>
      <c r="D1686" t="str">
        <f>_xlfn.CONCAT('4L'!$B$78, "-", '4L'!$B$110, "-", '4L'!$I$7, "-", '4L'!$G$6, "-", '4L'!$F$5)</f>
        <v>Other enhancement-Security - SEMD-Water treatment-Water network+-Expenditure in report year</v>
      </c>
      <c r="F1686" t="s">
        <v>17467</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17467</v>
      </c>
      <c r="G1687">
        <f>'4L'!$J$110</f>
        <v>0</v>
      </c>
    </row>
    <row r="1688" spans="1:7">
      <c r="A1688" t="s">
        <v>4187</v>
      </c>
      <c r="C1688" t="str">
        <f>'4L'!$BA$110</f>
        <v>B0274SSO_TOT</v>
      </c>
      <c r="D1688" t="str">
        <f>_xlfn.CONCAT('4L'!$B$78, "-", '4L'!$B$110, "-", '4L'!$K$6, "-", '4L'!$K$6, "-", '4L'!$F$5)</f>
        <v>Other enhancement-Security - SEMD-Total-Total-Expenditure in report year</v>
      </c>
      <c r="F1688" t="s">
        <v>17467</v>
      </c>
      <c r="G1688">
        <f>'4L'!$K$110</f>
        <v>0</v>
      </c>
    </row>
    <row r="1689" spans="1:7">
      <c r="A1689" t="s">
        <v>4187</v>
      </c>
      <c r="C1689" t="str">
        <f>'4L'!$AV$111</f>
        <v>B0275SST_WR</v>
      </c>
      <c r="D1689" t="str">
        <f>_xlfn.CONCAT('4L'!$B$78, "-", '4L'!$B$111, "-", '4L'!$F$6, "-", '4L'!$F$6, "-", '4L'!$F$5)</f>
        <v>Other enhancement-Security - SEMD-Water resources-Water resources-Expenditure in report year</v>
      </c>
      <c r="F1689" t="s">
        <v>17467</v>
      </c>
      <c r="G1689">
        <f>'4L'!$F$111</f>
        <v>2E-3</v>
      </c>
    </row>
    <row r="1690" spans="1:7">
      <c r="A1690" t="s">
        <v>4187</v>
      </c>
      <c r="C1690" t="str">
        <f>'4L'!$AW$111</f>
        <v>B0275SST_RWT</v>
      </c>
      <c r="D1690" t="str">
        <f>_xlfn.CONCAT('4L'!$B$78, "-", '4L'!$B$111, "-", '4L'!$G$7, "-", '4L'!$G$6, "-", '4L'!$F$5)</f>
        <v>Other enhancement-Security - SEMD-Raw water transport-Water network+-Expenditure in report year</v>
      </c>
      <c r="F1690" t="s">
        <v>17467</v>
      </c>
      <c r="G1690">
        <f>'4L'!$G$111</f>
        <v>1E-3</v>
      </c>
    </row>
    <row r="1691" spans="1:7">
      <c r="A1691" t="s">
        <v>4187</v>
      </c>
      <c r="C1691" t="str">
        <f>'4L'!$AX$111</f>
        <v>B0275SST_RWS</v>
      </c>
      <c r="D1691" t="str">
        <f>_xlfn.CONCAT('4L'!$B$78, "-", '4L'!$B$111, "-", '4L'!$H$7, "-", '4L'!$G$6, "-", '4L'!$F$5)</f>
        <v>Other enhancement-Security - SEMD-Raw water storage-Water network+-Expenditure in report year</v>
      </c>
      <c r="F1691" t="s">
        <v>17467</v>
      </c>
      <c r="G1691">
        <f>'4L'!$H$111</f>
        <v>0</v>
      </c>
    </row>
    <row r="1692" spans="1:7">
      <c r="A1692" t="s">
        <v>4187</v>
      </c>
      <c r="C1692" t="str">
        <f>'4L'!$AY$111</f>
        <v>B0275SST_WT</v>
      </c>
      <c r="D1692" t="str">
        <f>_xlfn.CONCAT('4L'!$B$78, "-", '4L'!$B$111, "-", '4L'!$I$7, "-", '4L'!$G$6, "-", '4L'!$F$5)</f>
        <v>Other enhancement-Security - SEMD-Water treatment-Water network+-Expenditure in report year</v>
      </c>
      <c r="F1692" t="s">
        <v>17467</v>
      </c>
      <c r="G1692">
        <f>'4L'!$I$111</f>
        <v>0.46800000000000003</v>
      </c>
    </row>
    <row r="1693" spans="1:7">
      <c r="A1693" t="s">
        <v>4187</v>
      </c>
      <c r="C1693" t="str">
        <f>'4L'!$AZ$111</f>
        <v>B0275SST_TWD</v>
      </c>
      <c r="D1693" t="str">
        <f>_xlfn.CONCAT('4L'!$B$78, "-", '4L'!$B$111, "-", '4L'!$J$7, "-", '4L'!$G$6, "-", '4L'!$F$5)</f>
        <v>Other enhancement-Security - SEMD-Treated water distribution-Water network+-Expenditure in report year</v>
      </c>
      <c r="F1693" t="s">
        <v>17467</v>
      </c>
      <c r="G1693">
        <f>'4L'!$J$111</f>
        <v>1.0349999999999999</v>
      </c>
    </row>
    <row r="1694" spans="1:7">
      <c r="A1694" t="s">
        <v>4187</v>
      </c>
      <c r="C1694" t="str">
        <f>'4L'!$BA$111</f>
        <v>B0275SST_TOT</v>
      </c>
      <c r="D1694" t="str">
        <f>_xlfn.CONCAT('4L'!$B$78, "-", '4L'!$B$111, "-", '4L'!$K$6, "-", '4L'!$K$6, "-", '4L'!$F$5)</f>
        <v>Other enhancement-Security - SEMD-Total-Total-Expenditure in report year</v>
      </c>
      <c r="F1694" t="s">
        <v>17467</v>
      </c>
      <c r="G1694">
        <f>'4L'!$K$111</f>
        <v>1.506</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17467</v>
      </c>
      <c r="G1695">
        <f>'4L'!$R$111</f>
        <v>4.8739999999999997</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17467</v>
      </c>
      <c r="G1696">
        <f>'4L'!$S$111</f>
        <v>2.6589999999999998</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17467</v>
      </c>
      <c r="G1697">
        <f>'4L'!$T$111</f>
        <v>4.2850000000000001</v>
      </c>
    </row>
    <row r="1698" spans="1:7">
      <c r="A1698" t="s">
        <v>4187</v>
      </c>
      <c r="C1698" t="str">
        <f>'4L'!$AV$112</f>
        <v>B0276SNC_WR</v>
      </c>
      <c r="D1698" t="str">
        <f>_xlfn.CONCAT('4L'!$B$78, "-", '4L'!$B$112, "-", '4L'!$F$6, "-", '4L'!$F$6, "-", '4L'!$F$5)</f>
        <v>Other enhancement-Security - Non-SEMD-Water resources-Water resources-Expenditure in report year</v>
      </c>
      <c r="F1698" t="s">
        <v>17467</v>
      </c>
      <c r="G1698">
        <f>'4L'!$F$112</f>
        <v>3.1E-2</v>
      </c>
    </row>
    <row r="1699" spans="1:7">
      <c r="A1699" t="s">
        <v>4187</v>
      </c>
      <c r="C1699" t="str">
        <f>'4L'!$AW$112</f>
        <v>B0276SNC_RWT</v>
      </c>
      <c r="D1699" t="str">
        <f>_xlfn.CONCAT('4L'!$B$78, "-", '4L'!$B$112, "-", '4L'!$G$7, "-", '4L'!$G$6, "-", '4L'!$F$5)</f>
        <v>Other enhancement-Security - Non-SEMD-Raw water transport-Water network+-Expenditure in report year</v>
      </c>
      <c r="F1699" t="s">
        <v>17467</v>
      </c>
      <c r="G1699">
        <f>'4L'!$G$112</f>
        <v>7.0000000000000001E-3</v>
      </c>
    </row>
    <row r="1700" spans="1:7">
      <c r="A1700" t="s">
        <v>4187</v>
      </c>
      <c r="C1700" t="str">
        <f>'4L'!$AX$112</f>
        <v>B0276SNC_RWS</v>
      </c>
      <c r="D1700" t="str">
        <f>_xlfn.CONCAT('4L'!$B$78, "-", '4L'!$B$112, "-", '4L'!$H$7, "-", '4L'!$G$6, "-", '4L'!$F$5)</f>
        <v>Other enhancement-Security - Non-SEMD-Raw water storage-Water network+-Expenditure in report year</v>
      </c>
      <c r="F1700" t="s">
        <v>17467</v>
      </c>
      <c r="G1700">
        <f>'4L'!$H$112</f>
        <v>3.0000000000000001E-3</v>
      </c>
    </row>
    <row r="1701" spans="1:7">
      <c r="A1701" t="s">
        <v>4187</v>
      </c>
      <c r="C1701" t="str">
        <f>'4L'!$AY$112</f>
        <v>B0276SNC_WT</v>
      </c>
      <c r="D1701" t="str">
        <f>_xlfn.CONCAT('4L'!$B$78, "-", '4L'!$B$112, "-", '4L'!$I$7, "-", '4L'!$G$6, "-", '4L'!$F$5)</f>
        <v>Other enhancement-Security - Non-SEMD-Water treatment-Water network+-Expenditure in report year</v>
      </c>
      <c r="F1701" t="s">
        <v>17467</v>
      </c>
      <c r="G1701">
        <f>'4L'!$I$112</f>
        <v>0.107</v>
      </c>
    </row>
    <row r="1702" spans="1:7">
      <c r="A1702" t="s">
        <v>4187</v>
      </c>
      <c r="C1702" t="str">
        <f>'4L'!$AZ$112</f>
        <v>B0276SNC_TWD</v>
      </c>
      <c r="D1702" t="str">
        <f>_xlfn.CONCAT('4L'!$B$78, "-", '4L'!$B$112, "-", '4L'!$J$7, "-", '4L'!$G$6, "-", '4L'!$F$5)</f>
        <v>Other enhancement-Security - Non-SEMD-Treated water distribution-Water network+-Expenditure in report year</v>
      </c>
      <c r="F1702" t="s">
        <v>17467</v>
      </c>
      <c r="G1702">
        <f>'4L'!$J$112</f>
        <v>0.19700000000000001</v>
      </c>
    </row>
    <row r="1703" spans="1:7">
      <c r="A1703" t="s">
        <v>4187</v>
      </c>
      <c r="C1703" t="str">
        <f>'4L'!$BA$112</f>
        <v>B0276SNC_TOT</v>
      </c>
      <c r="D1703" t="str">
        <f>_xlfn.CONCAT('4L'!$B$78, "-", '4L'!$B$112, "-", '4L'!$K$6, "-", '4L'!$K$6, "-", '4L'!$F$5)</f>
        <v>Other enhancement-Security - Non-SEMD-Total-Total-Expenditure in report year</v>
      </c>
      <c r="F1703" t="s">
        <v>17467</v>
      </c>
      <c r="G1703">
        <f>'4L'!$K$112</f>
        <v>0.34499999999999997</v>
      </c>
    </row>
    <row r="1704" spans="1:7">
      <c r="A1704" t="s">
        <v>4187</v>
      </c>
      <c r="C1704" t="str">
        <f>'4L'!$AV$113</f>
        <v>B0277SNO_WR</v>
      </c>
      <c r="D1704" t="str">
        <f>_xlfn.CONCAT('4L'!$B$78, "-", '4L'!$B$113, "-", '4L'!$F$6, "-", '4L'!$F$6, "-", '4L'!$F$5)</f>
        <v>Other enhancement-Security - Non-SEMD-Water resources-Water resources-Expenditure in report year</v>
      </c>
      <c r="F1704" t="s">
        <v>17467</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17467</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17467</v>
      </c>
      <c r="G1706">
        <f>'4L'!$H$113</f>
        <v>0</v>
      </c>
    </row>
    <row r="1707" spans="1:7">
      <c r="A1707" t="s">
        <v>4187</v>
      </c>
      <c r="C1707" t="str">
        <f>'4L'!$AY$113</f>
        <v>B0277SNO_WT</v>
      </c>
      <c r="D1707" t="str">
        <f>_xlfn.CONCAT('4L'!$B$78, "-", '4L'!$B$113, "-", '4L'!$I$7, "-", '4L'!$G$6, "-", '4L'!$F$5)</f>
        <v>Other enhancement-Security - Non-SEMD-Water treatment-Water network+-Expenditure in report year</v>
      </c>
      <c r="F1707" t="s">
        <v>17467</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17467</v>
      </c>
      <c r="G1708">
        <f>'4L'!$J$113</f>
        <v>0</v>
      </c>
    </row>
    <row r="1709" spans="1:7">
      <c r="A1709" t="s">
        <v>4187</v>
      </c>
      <c r="C1709" t="str">
        <f>'4L'!$BA$113</f>
        <v>B0277SNO_TOT</v>
      </c>
      <c r="D1709" t="str">
        <f>_xlfn.CONCAT('4L'!$B$78, "-", '4L'!$B$113, "-", '4L'!$K$6, "-", '4L'!$K$6, "-", '4L'!$F$5)</f>
        <v>Other enhancement-Security - Non-SEMD-Total-Total-Expenditure in report year</v>
      </c>
      <c r="F1709" t="s">
        <v>17467</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17467</v>
      </c>
      <c r="G1710">
        <f>'4L'!$F$114</f>
        <v>3.1E-2</v>
      </c>
    </row>
    <row r="1711" spans="1:7">
      <c r="A1711" t="s">
        <v>4187</v>
      </c>
      <c r="C1711" t="str">
        <f>'4L'!$AW$114</f>
        <v>B0278SNT_RWT</v>
      </c>
      <c r="D1711" t="str">
        <f>_xlfn.CONCAT('4L'!$B$78, "-", '4L'!$B$114, "-", '4L'!$G$7, "-", '4L'!$G$6, "-", '4L'!$F$5)</f>
        <v>Other enhancement-Security - Non-SEMD-Raw water transport-Water network+-Expenditure in report year</v>
      </c>
      <c r="F1711" t="s">
        <v>17467</v>
      </c>
      <c r="G1711">
        <f>'4L'!$G$114</f>
        <v>7.0000000000000001E-3</v>
      </c>
    </row>
    <row r="1712" spans="1:7">
      <c r="A1712" t="s">
        <v>4187</v>
      </c>
      <c r="C1712" t="str">
        <f>'4L'!$AX$114</f>
        <v>B0278SNT_RWS</v>
      </c>
      <c r="D1712" t="str">
        <f>_xlfn.CONCAT('4L'!$B$78, "-", '4L'!$B$114, "-", '4L'!$H$7, "-", '4L'!$G$6, "-", '4L'!$F$5)</f>
        <v>Other enhancement-Security - Non-SEMD-Raw water storage-Water network+-Expenditure in report year</v>
      </c>
      <c r="F1712" t="s">
        <v>17467</v>
      </c>
      <c r="G1712">
        <f>'4L'!$H$114</f>
        <v>3.0000000000000001E-3</v>
      </c>
    </row>
    <row r="1713" spans="1:7">
      <c r="A1713" t="s">
        <v>4187</v>
      </c>
      <c r="C1713" t="str">
        <f>'4L'!$AY$114</f>
        <v>B0278SNT_WT</v>
      </c>
      <c r="D1713" t="str">
        <f>_xlfn.CONCAT('4L'!$B$78, "-", '4L'!$B$114, "-", '4L'!$I$7, "-", '4L'!$G$6, "-", '4L'!$F$5)</f>
        <v>Other enhancement-Security - Non-SEMD-Water treatment-Water network+-Expenditure in report year</v>
      </c>
      <c r="F1713" t="s">
        <v>17467</v>
      </c>
      <c r="G1713">
        <f>'4L'!$I$114</f>
        <v>0.107</v>
      </c>
    </row>
    <row r="1714" spans="1:7">
      <c r="A1714" t="s">
        <v>4187</v>
      </c>
      <c r="C1714" t="str">
        <f>'4L'!$AZ$114</f>
        <v>B0278SNT_TWD</v>
      </c>
      <c r="D1714" t="str">
        <f>_xlfn.CONCAT('4L'!$B$78, "-", '4L'!$B$114, "-", '4L'!$J$7, "-", '4L'!$G$6, "-", '4L'!$F$5)</f>
        <v>Other enhancement-Security - Non-SEMD-Treated water distribution-Water network+-Expenditure in report year</v>
      </c>
      <c r="F1714" t="s">
        <v>17467</v>
      </c>
      <c r="G1714">
        <f>'4L'!$J$114</f>
        <v>0.19700000000000001</v>
      </c>
    </row>
    <row r="1715" spans="1:7">
      <c r="A1715" t="s">
        <v>4187</v>
      </c>
      <c r="C1715" t="str">
        <f>'4L'!$BA$114</f>
        <v>B0278SNT_TOT</v>
      </c>
      <c r="D1715" t="str">
        <f>_xlfn.CONCAT('4L'!$B$78, "-", '4L'!$B$114, "-", '4L'!$K$6, "-", '4L'!$K$6, "-", '4L'!$F$5)</f>
        <v>Other enhancement-Security - Non-SEMD-Total-Total-Expenditure in report year</v>
      </c>
      <c r="F1715" t="s">
        <v>17467</v>
      </c>
      <c r="G1715">
        <f>'4L'!$K$114</f>
        <v>0.34499999999999997</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17467</v>
      </c>
      <c r="G1716">
        <f>'4L'!$R$114</f>
        <v>0.66700000000000004</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17467</v>
      </c>
      <c r="G1717">
        <f>'4L'!$S$114</f>
        <v>6.2850000000000001</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17467</v>
      </c>
      <c r="G1718">
        <f>'4L'!$T$114</f>
        <v>10.093999999999999</v>
      </c>
    </row>
    <row r="1719" spans="1:7">
      <c r="A1719" t="s">
        <v>4187</v>
      </c>
      <c r="C1719" t="str">
        <f>'4L'!$AV$115</f>
        <v>B0279ALC_WR</v>
      </c>
      <c r="D1719" t="str">
        <f>_xlfn.CONCAT('4L'!$B$78, "-", '4L'!$B$115, "-", '4L'!$F$6, "-", '4L'!$F$6, "-", '4L'!$F$5)</f>
        <v>Other enhancement-Additional Line- Impounding Reservoirs-Water resources-Water resources-Expenditure in report year</v>
      </c>
      <c r="F1719" t="s">
        <v>17467</v>
      </c>
      <c r="G1719">
        <f>'4L'!$F$115</f>
        <v>18.989999999999998</v>
      </c>
    </row>
    <row r="1720" spans="1:7">
      <c r="A1720" t="s">
        <v>4187</v>
      </c>
      <c r="C1720" t="str">
        <f>'4L'!$AW$115</f>
        <v>B0279ALC_RWT</v>
      </c>
      <c r="D1720" t="str">
        <f>_xlfn.CONCAT('4L'!$B$78, "-", '4L'!$B$115, "-", '4L'!$G$7, "-", '4L'!$G$6, "-", '4L'!$F$5)</f>
        <v>Other enhancement-Additional Line- Impounding Reservoirs-Raw water transport-Water network+-Expenditure in report year</v>
      </c>
      <c r="F1720" t="s">
        <v>17467</v>
      </c>
      <c r="G1720">
        <f>'4L'!$G$115</f>
        <v>0</v>
      </c>
    </row>
    <row r="1721" spans="1:7">
      <c r="A1721" t="s">
        <v>4187</v>
      </c>
      <c r="C1721" t="str">
        <f>'4L'!$AX$115</f>
        <v>B0279ALC_RWS</v>
      </c>
      <c r="D1721" t="str">
        <f>_xlfn.CONCAT('4L'!$B$78, "-", '4L'!$B$115, "-", '4L'!$H$7, "-", '4L'!$G$6, "-", '4L'!$F$5)</f>
        <v>Other enhancement-Additional Line- Impounding Reservoirs-Raw water storage-Water network+-Expenditure in report year</v>
      </c>
      <c r="F1721" t="s">
        <v>17467</v>
      </c>
      <c r="G1721">
        <f>'4L'!$H$115</f>
        <v>0</v>
      </c>
    </row>
    <row r="1722" spans="1:7">
      <c r="A1722" t="s">
        <v>4187</v>
      </c>
      <c r="C1722" t="str">
        <f>'4L'!$AY$115</f>
        <v>B0279ALC_WT</v>
      </c>
      <c r="D1722" t="str">
        <f>_xlfn.CONCAT('4L'!$B$78, "-", '4L'!$B$115, "-", '4L'!$I$7, "-", '4L'!$G$6, "-", '4L'!$F$5)</f>
        <v>Other enhancement-Additional Line- Impounding Reservoirs-Water treatment-Water network+-Expenditure in report year</v>
      </c>
      <c r="F1722" t="s">
        <v>17467</v>
      </c>
      <c r="G1722">
        <f>'4L'!$I$115</f>
        <v>0</v>
      </c>
    </row>
    <row r="1723" spans="1:7">
      <c r="A1723" t="s">
        <v>4187</v>
      </c>
      <c r="C1723" t="str">
        <f>'4L'!$AZ$115</f>
        <v>B0279ALC_TWD</v>
      </c>
      <c r="D1723" t="str">
        <f>_xlfn.CONCAT('4L'!$B$78, "-", '4L'!$B$115, "-", '4L'!$J$7, "-", '4L'!$G$6, "-", '4L'!$F$5)</f>
        <v>Other enhancement-Additional Line- Impounding Reservoirs-Treated water distribution-Water network+-Expenditure in report year</v>
      </c>
      <c r="F1723" t="s">
        <v>17467</v>
      </c>
      <c r="G1723">
        <f>'4L'!$J$115</f>
        <v>0</v>
      </c>
    </row>
    <row r="1724" spans="1:7">
      <c r="A1724" t="s">
        <v>4187</v>
      </c>
      <c r="C1724" t="str">
        <f>'4L'!$BA$115</f>
        <v>B0279ALC_TOT</v>
      </c>
      <c r="D1724" t="str">
        <f>_xlfn.CONCAT('4L'!$B$78, "-", '4L'!$B$115, "-", '4L'!$K$6, "-", '4L'!$K$6, "-", '4L'!$F$5)</f>
        <v>Other enhancement-Additional Line- Impounding Reservoirs-Total-Total-Expenditure in report year</v>
      </c>
      <c r="F1724" t="s">
        <v>17467</v>
      </c>
      <c r="G1724">
        <f>'4L'!$K$115</f>
        <v>18.989999999999998</v>
      </c>
    </row>
    <row r="1725" spans="1:7">
      <c r="A1725" t="s">
        <v>4187</v>
      </c>
      <c r="C1725" t="str">
        <f>'4L'!$BH$115</f>
        <v>B0402AL1C_CUMME</v>
      </c>
      <c r="D1725" t="str">
        <f>_xlfn.CONCAT('4L'!$B$78, "-", '4L'!$B$115, "-", '4L'!$R$7, "-", '4L'!$R$5, "-", '4L'!$R$5)</f>
        <v>Other enhancement-Additional Line- Impounding Reservoirs-Total-Cumulative expenditure on all schemes to reporting year end-Cumulative expenditure on all schemes to reporting year end</v>
      </c>
      <c r="F1725" t="s">
        <v>17467</v>
      </c>
      <c r="G1725">
        <f>'4L'!$R$115</f>
        <v>62.686999999999998</v>
      </c>
    </row>
    <row r="1726" spans="1:7">
      <c r="A1726" t="s">
        <v>4187</v>
      </c>
      <c r="C1726" t="str">
        <f>'4L'!$BI$115</f>
        <v>B0402AL1C_CUMMA</v>
      </c>
      <c r="D1726" t="str">
        <f>_xlfn.CONCAT('4L'!$B$78, "-", '4L'!$B$115, "-", '4L'!$S$7, "-", '4L'!$S$5, "-", '4L'!$S$5)</f>
        <v>Other enhancement-Additional Line- Impounding Reservoirs-Total-Cumulative allowed expenditure on all schemes to reporting year end-Cumulative allowed expenditure on all schemes to reporting year end</v>
      </c>
      <c r="F1726" t="s">
        <v>17467</v>
      </c>
      <c r="G1726">
        <f>'4L'!$S$115</f>
        <v>60.953000000000003</v>
      </c>
    </row>
    <row r="1727" spans="1:7">
      <c r="A1727" t="s">
        <v>4187</v>
      </c>
      <c r="C1727" t="str">
        <f>'4L'!$BJ$115</f>
        <v>B0402AL1C_CUMMT</v>
      </c>
      <c r="D1727" t="str">
        <f>_xlfn.CONCAT('4L'!$B$78, "-", '4L'!$B$115, "-", '4L'!$T$7, "-", '4L'!$T$5, "-", '4L'!$T$5)</f>
        <v>Other enhancement-Additional Line- Impounding Reservoirs-Total-Cumulative allowed expenditure on all schemes 2020-25-Cumulative allowed expenditure on all schemes 2020-25</v>
      </c>
      <c r="F1727" t="s">
        <v>17467</v>
      </c>
      <c r="G1727">
        <f>'4L'!$T$115</f>
        <v>89.161000000000001</v>
      </c>
    </row>
    <row r="1728" spans="1:7">
      <c r="A1728" t="s">
        <v>4187</v>
      </c>
      <c r="C1728" t="str">
        <f>'4L'!$AV$116</f>
        <v>B0280ALO_WR</v>
      </c>
      <c r="D1728" t="str">
        <f>_xlfn.CONCAT('4L'!$B$78, "-", '4L'!$B$116, "-", '4L'!$F$6, "-", '4L'!$F$6, "-", '4L'!$F$5)</f>
        <v>Other enhancement-Additional Line- Impounding Reservoirs-Water resources-Water resources-Expenditure in report year</v>
      </c>
      <c r="F1728" t="s">
        <v>17467</v>
      </c>
      <c r="G1728">
        <f>'4L'!$F$116</f>
        <v>0</v>
      </c>
    </row>
    <row r="1729" spans="1:7">
      <c r="A1729" t="s">
        <v>4187</v>
      </c>
      <c r="C1729" t="str">
        <f>'4L'!$AW$116</f>
        <v>B0280ALO_RWT</v>
      </c>
      <c r="D1729" t="str">
        <f>_xlfn.CONCAT('4L'!$B$78, "-", '4L'!$B$116, "-", '4L'!$G$7, "-", '4L'!$G$6, "-", '4L'!$F$5)</f>
        <v>Other enhancement-Additional Line- Impounding Reservoirs-Raw water transport-Water network+-Expenditure in report year</v>
      </c>
      <c r="F1729" t="s">
        <v>17467</v>
      </c>
      <c r="G1729">
        <f>'4L'!$G$116</f>
        <v>0</v>
      </c>
    </row>
    <row r="1730" spans="1:7">
      <c r="A1730" t="s">
        <v>4187</v>
      </c>
      <c r="C1730" t="str">
        <f>'4L'!$AX$116</f>
        <v>B0280ALO_RWS</v>
      </c>
      <c r="D1730" t="str">
        <f>_xlfn.CONCAT('4L'!$B$78, "-", '4L'!$B$116, "-", '4L'!$H$7, "-", '4L'!$G$6, "-", '4L'!$F$5)</f>
        <v>Other enhancement-Additional Line- Impounding Reservoirs-Raw water storage-Water network+-Expenditure in report year</v>
      </c>
      <c r="F1730" t="s">
        <v>17467</v>
      </c>
      <c r="G1730">
        <f>'4L'!$H$116</f>
        <v>0</v>
      </c>
    </row>
    <row r="1731" spans="1:7">
      <c r="A1731" t="s">
        <v>4187</v>
      </c>
      <c r="C1731" t="str">
        <f>'4L'!$AY$116</f>
        <v>B0280ALO_WT</v>
      </c>
      <c r="D1731" t="str">
        <f>_xlfn.CONCAT('4L'!$B$78, "-", '4L'!$B$116, "-", '4L'!$I$7, "-", '4L'!$G$6, "-", '4L'!$F$5)</f>
        <v>Other enhancement-Additional Line- Impounding Reservoirs-Water treatment-Water network+-Expenditure in report year</v>
      </c>
      <c r="F1731" t="s">
        <v>17467</v>
      </c>
      <c r="G1731">
        <f>'4L'!$I$116</f>
        <v>0</v>
      </c>
    </row>
    <row r="1732" spans="1:7">
      <c r="A1732" t="s">
        <v>4187</v>
      </c>
      <c r="C1732" t="str">
        <f>'4L'!$AZ$116</f>
        <v>B0280ALO_TWD</v>
      </c>
      <c r="D1732" t="str">
        <f>_xlfn.CONCAT('4L'!$B$78, "-", '4L'!$B$116, "-", '4L'!$J$7, "-", '4L'!$G$6, "-", '4L'!$F$5)</f>
        <v>Other enhancement-Additional Line- Impounding Reservoirs-Treated water distribution-Water network+-Expenditure in report year</v>
      </c>
      <c r="F1732" t="s">
        <v>17467</v>
      </c>
      <c r="G1732">
        <f>'4L'!$J$116</f>
        <v>0</v>
      </c>
    </row>
    <row r="1733" spans="1:7">
      <c r="A1733" t="s">
        <v>4187</v>
      </c>
      <c r="C1733" t="str">
        <f>'4L'!$BA$116</f>
        <v>B0280ALO_TOT</v>
      </c>
      <c r="D1733" t="str">
        <f>_xlfn.CONCAT('4L'!$B$78, "-", '4L'!$B$116, "-", '4L'!$K$6, "-", '4L'!$K$6, "-", '4L'!$F$5)</f>
        <v>Other enhancement-Additional Line- Impounding Reservoirs-Total-Total-Expenditure in report year</v>
      </c>
      <c r="F1733" t="s">
        <v>17467</v>
      </c>
      <c r="G1733">
        <f>'4L'!$K$116</f>
        <v>0</v>
      </c>
    </row>
    <row r="1734" spans="1:7">
      <c r="A1734" t="s">
        <v>4187</v>
      </c>
      <c r="C1734" t="str">
        <f>'4L'!$BH$116</f>
        <v>B0403AL1O_CUMME</v>
      </c>
      <c r="D1734" t="str">
        <f>_xlfn.CONCAT('4L'!$B$78, "-", '4L'!$B$116, "-", '4L'!$R$7, "-", '4L'!$R$5, "-", '4L'!$R$5)</f>
        <v>Other enhancement-Additional Line- Impounding Reservoirs-Total-Cumulative expenditure on all schemes to reporting year end-Cumulative expenditure on all schemes to reporting year end</v>
      </c>
      <c r="F1734" t="s">
        <v>17467</v>
      </c>
      <c r="G1734">
        <f>'4L'!$R$116</f>
        <v>0</v>
      </c>
    </row>
    <row r="1735" spans="1:7">
      <c r="A1735" t="s">
        <v>4187</v>
      </c>
      <c r="C1735" t="str">
        <f>'4L'!$BI$116</f>
        <v>B0403AL1O_CUMMA</v>
      </c>
      <c r="D1735" t="str">
        <f>_xlfn.CONCAT('4L'!$B$78, "-", '4L'!$B$116, "-", '4L'!$S$7, "-", '4L'!$S$5, "-", '4L'!$S$5)</f>
        <v>Other enhancement-Additional Line- Impounding Reservoirs-Total-Cumulative allowed expenditure on all schemes to reporting year end-Cumulative allowed expenditure on all schemes to reporting year end</v>
      </c>
      <c r="F1735" t="s">
        <v>17467</v>
      </c>
      <c r="G1735">
        <f>'4L'!$S$116</f>
        <v>0</v>
      </c>
    </row>
    <row r="1736" spans="1:7">
      <c r="A1736" t="s">
        <v>4187</v>
      </c>
      <c r="C1736" t="str">
        <f>'4L'!$BJ$116</f>
        <v>B0403AL1O_CUMMT</v>
      </c>
      <c r="D1736" t="str">
        <f>_xlfn.CONCAT('4L'!$B$78, "-", '4L'!$B$116, "-", '4L'!$T$7, "-", '4L'!$T$5, "-", '4L'!$T$5)</f>
        <v>Other enhancement-Additional Line- Impounding Reservoirs-Total-Cumulative allowed expenditure on all schemes 2020-25-Cumulative allowed expenditure on all schemes 2020-25</v>
      </c>
      <c r="F1736" t="s">
        <v>17467</v>
      </c>
      <c r="G1736">
        <f>'4L'!$T$116</f>
        <v>0</v>
      </c>
    </row>
    <row r="1737" spans="1:7">
      <c r="A1737" t="s">
        <v>4187</v>
      </c>
      <c r="C1737" t="str">
        <f>'4L'!$AV$117</f>
        <v>B0281ALC_WR</v>
      </c>
      <c r="D1737" t="str">
        <f>_xlfn.CONCAT('4L'!$B$78, "-", '4L'!$B$117, "-", '4L'!$F$6, "-", '4L'!$F$6, "-", '4L'!$F$5)</f>
        <v>Other enhancement-Additional Line- Cwm Taf Water Supply-Water resources-Water resources-Expenditure in report year</v>
      </c>
      <c r="F1737" t="s">
        <v>17467</v>
      </c>
      <c r="G1737">
        <f>'4L'!$F$117</f>
        <v>0</v>
      </c>
    </row>
    <row r="1738" spans="1:7">
      <c r="A1738" t="s">
        <v>4187</v>
      </c>
      <c r="C1738" t="str">
        <f>'4L'!$AW$117</f>
        <v>B0281ALC_RWT</v>
      </c>
      <c r="D1738" t="str">
        <f>_xlfn.CONCAT('4L'!$B$78, "-", '4L'!$B$117, "-", '4L'!$G$7, "-", '4L'!$G$6, "-", '4L'!$F$5)</f>
        <v>Other enhancement-Additional Line- Cwm Taf Water Supply-Raw water transport-Water network+-Expenditure in report year</v>
      </c>
      <c r="F1738" t="s">
        <v>17467</v>
      </c>
      <c r="G1738">
        <f>'4L'!$G$117</f>
        <v>0</v>
      </c>
    </row>
    <row r="1739" spans="1:7">
      <c r="A1739" t="s">
        <v>4187</v>
      </c>
      <c r="C1739" t="str">
        <f>'4L'!$AX$117</f>
        <v>B0281ALC_RWS</v>
      </c>
      <c r="D1739" t="str">
        <f>_xlfn.CONCAT('4L'!$B$78, "-", '4L'!$B$117, "-", '4L'!$H$7, "-", '4L'!$G$6, "-", '4L'!$F$5)</f>
        <v>Other enhancement-Additional Line- Cwm Taf Water Supply-Raw water storage-Water network+-Expenditure in report year</v>
      </c>
      <c r="F1739" t="s">
        <v>17467</v>
      </c>
      <c r="G1739">
        <f>'4L'!$H$117</f>
        <v>0</v>
      </c>
    </row>
    <row r="1740" spans="1:7">
      <c r="A1740" t="s">
        <v>4187</v>
      </c>
      <c r="C1740" t="str">
        <f>'4L'!$AY$117</f>
        <v>B0281ALC_WT</v>
      </c>
      <c r="D1740" t="str">
        <f>_xlfn.CONCAT('4L'!$B$78, "-", '4L'!$B$117, "-", '4L'!$I$7, "-", '4L'!$G$6, "-", '4L'!$F$5)</f>
        <v>Other enhancement-Additional Line- Cwm Taf Water Supply-Water treatment-Water network+-Expenditure in report year</v>
      </c>
      <c r="F1740" t="s">
        <v>17467</v>
      </c>
      <c r="G1740">
        <f>'4L'!$I$117</f>
        <v>4.5019999999999998</v>
      </c>
    </row>
    <row r="1741" spans="1:7">
      <c r="A1741" t="s">
        <v>4187</v>
      </c>
      <c r="C1741" t="str">
        <f>'4L'!$AZ$117</f>
        <v>B0281ALC_TWD</v>
      </c>
      <c r="D1741" t="str">
        <f>_xlfn.CONCAT('4L'!$B$78, "-", '4L'!$B$117, "-", '4L'!$J$7, "-", '4L'!$G$6, "-", '4L'!$F$5)</f>
        <v>Other enhancement-Additional Line- Cwm Taf Water Supply-Treated water distribution-Water network+-Expenditure in report year</v>
      </c>
      <c r="F1741" t="s">
        <v>17467</v>
      </c>
      <c r="G1741">
        <f>'4L'!$J$117</f>
        <v>0</v>
      </c>
    </row>
    <row r="1742" spans="1:7">
      <c r="A1742" t="s">
        <v>4187</v>
      </c>
      <c r="C1742" t="str">
        <f>'4L'!$BA$117</f>
        <v>B0281ALC_TOT</v>
      </c>
      <c r="D1742" t="str">
        <f>_xlfn.CONCAT('4L'!$B$78, "-", '4L'!$B$117, "-", '4L'!$K$6, "-", '4L'!$K$6, "-", '4L'!$F$5)</f>
        <v>Other enhancement-Additional Line- Cwm Taf Water Supply-Total-Total-Expenditure in report year</v>
      </c>
      <c r="F1742" t="s">
        <v>17467</v>
      </c>
      <c r="G1742">
        <f>'4L'!$K$117</f>
        <v>4.5019999999999998</v>
      </c>
    </row>
    <row r="1743" spans="1:7">
      <c r="A1743" t="s">
        <v>4187</v>
      </c>
      <c r="C1743" t="str">
        <f>'4L'!$BH$117</f>
        <v>B0403AL2C_CUMME</v>
      </c>
      <c r="D1743" t="str">
        <f>_xlfn.CONCAT('4L'!$B$78, "-", '4L'!$B$117, "-", '4L'!$R$7, "-", '4L'!$R$5, "-", '4L'!$R$5)</f>
        <v>Other enhancement-Additional Line- Cwm Taf Water Supply-Total-Cumulative expenditure on all schemes to reporting year end-Cumulative expenditure on all schemes to reporting year end</v>
      </c>
      <c r="F1743" t="s">
        <v>17467</v>
      </c>
      <c r="G1743">
        <f>'4L'!$R$117</f>
        <v>11.762</v>
      </c>
    </row>
    <row r="1744" spans="1:7">
      <c r="A1744" t="s">
        <v>4187</v>
      </c>
      <c r="C1744" t="str">
        <f>'4L'!$BI$117</f>
        <v>B0403AL2C_CUMMA</v>
      </c>
      <c r="D1744" t="str">
        <f>_xlfn.CONCAT('4L'!$B$78, "-", '4L'!$B$117, "-", '4L'!$S$7, "-", '4L'!$S$5, "-", '4L'!$S$5)</f>
        <v>Other enhancement-Additional Line- Cwm Taf Water Supply-Total-Cumulative allowed expenditure on all schemes to reporting year end-Cumulative allowed expenditure on all schemes to reporting year end</v>
      </c>
      <c r="F1744" t="s">
        <v>17467</v>
      </c>
      <c r="G1744">
        <f>'4L'!$S$117</f>
        <v>9.9359999999999999</v>
      </c>
    </row>
    <row r="1745" spans="1:7">
      <c r="A1745" t="s">
        <v>4187</v>
      </c>
      <c r="C1745" t="str">
        <f>'4L'!$BJ$117</f>
        <v>B0403AL2C_CUMMT</v>
      </c>
      <c r="D1745" t="str">
        <f>_xlfn.CONCAT('4L'!$B$78, "-", '4L'!$B$117, "-", '4L'!$T$7, "-", '4L'!$T$5, "-", '4L'!$T$5)</f>
        <v>Other enhancement-Additional Line- Cwm Taf Water Supply-Total-Cumulative allowed expenditure on all schemes 2020-25-Cumulative allowed expenditure on all schemes 2020-25</v>
      </c>
      <c r="F1745" t="s">
        <v>17467</v>
      </c>
      <c r="G1745">
        <f>'4L'!$T$117</f>
        <v>16.010000000000002</v>
      </c>
    </row>
    <row r="1746" spans="1:7">
      <c r="A1746" t="s">
        <v>4187</v>
      </c>
      <c r="C1746" t="str">
        <f>'4L'!$AV$118</f>
        <v>B0282ALO_WR</v>
      </c>
      <c r="D1746" t="str">
        <f>_xlfn.CONCAT('4L'!$B$78, "-", '4L'!$B$118, "-", '4L'!$F$6, "-", '4L'!$F$6, "-", '4L'!$F$5)</f>
        <v>Other enhancement-Additional Line- Cwm Taf Water Supply-Water resources-Water resources-Expenditure in report year</v>
      </c>
      <c r="F1746" t="s">
        <v>17467</v>
      </c>
      <c r="G1746">
        <f>'4L'!$F$118</f>
        <v>0</v>
      </c>
    </row>
    <row r="1747" spans="1:7">
      <c r="A1747" t="s">
        <v>4187</v>
      </c>
      <c r="C1747" t="str">
        <f>'4L'!$AW$118</f>
        <v>B0282ALO_RWT</v>
      </c>
      <c r="D1747" t="str">
        <f>_xlfn.CONCAT('4L'!$B$78, "-", '4L'!$B$118, "-", '4L'!$G$7, "-", '4L'!$G$6, "-", '4L'!$F$5)</f>
        <v>Other enhancement-Additional Line- Cwm Taf Water Supply-Raw water transport-Water network+-Expenditure in report year</v>
      </c>
      <c r="F1747" t="s">
        <v>17467</v>
      </c>
      <c r="G1747">
        <f>'4L'!$G$118</f>
        <v>0</v>
      </c>
    </row>
    <row r="1748" spans="1:7">
      <c r="A1748" t="s">
        <v>4187</v>
      </c>
      <c r="C1748" t="str">
        <f>'4L'!$AX$118</f>
        <v>B0282ALO_RWS</v>
      </c>
      <c r="D1748" t="str">
        <f>_xlfn.CONCAT('4L'!$B$78, "-", '4L'!$B$118, "-", '4L'!$H$7, "-", '4L'!$G$6, "-", '4L'!$F$5)</f>
        <v>Other enhancement-Additional Line- Cwm Taf Water Supply-Raw water storage-Water network+-Expenditure in report year</v>
      </c>
      <c r="F1748" t="s">
        <v>17467</v>
      </c>
      <c r="G1748">
        <f>'4L'!$H$118</f>
        <v>0</v>
      </c>
    </row>
    <row r="1749" spans="1:7">
      <c r="A1749" t="s">
        <v>4187</v>
      </c>
      <c r="C1749" t="str">
        <f>'4L'!$AY$118</f>
        <v>B0282ALO_WT</v>
      </c>
      <c r="D1749" t="str">
        <f>_xlfn.CONCAT('4L'!$B$78, "-", '4L'!$B$118, "-", '4L'!$I$7, "-", '4L'!$G$6, "-", '4L'!$F$5)</f>
        <v>Other enhancement-Additional Line- Cwm Taf Water Supply-Water treatment-Water network+-Expenditure in report year</v>
      </c>
      <c r="F1749" t="s">
        <v>17467</v>
      </c>
      <c r="G1749">
        <f>'4L'!$I$118</f>
        <v>0</v>
      </c>
    </row>
    <row r="1750" spans="1:7">
      <c r="A1750" t="s">
        <v>4187</v>
      </c>
      <c r="C1750" t="str">
        <f>'4L'!$AZ$118</f>
        <v>B0282ALO_TWD</v>
      </c>
      <c r="D1750" t="str">
        <f>_xlfn.CONCAT('4L'!$B$78, "-", '4L'!$B$118, "-", '4L'!$J$7, "-", '4L'!$G$6, "-", '4L'!$F$5)</f>
        <v>Other enhancement-Additional Line- Cwm Taf Water Supply-Treated water distribution-Water network+-Expenditure in report year</v>
      </c>
      <c r="F1750" t="s">
        <v>17467</v>
      </c>
      <c r="G1750">
        <f>'4L'!$J$118</f>
        <v>0</v>
      </c>
    </row>
    <row r="1751" spans="1:7">
      <c r="A1751" t="s">
        <v>4187</v>
      </c>
      <c r="C1751" t="str">
        <f>'4L'!$BA$118</f>
        <v>B0282ALO_TOT</v>
      </c>
      <c r="D1751" t="str">
        <f>_xlfn.CONCAT('4L'!$B$78, "-", '4L'!$B$118, "-", '4L'!$K$6, "-", '4L'!$K$6, "-", '4L'!$F$5)</f>
        <v>Other enhancement-Additional Line- Cwm Taf Water Supply-Total-Total-Expenditure in report year</v>
      </c>
      <c r="F1751" t="s">
        <v>17467</v>
      </c>
      <c r="G1751">
        <f>'4L'!$K$118</f>
        <v>0</v>
      </c>
    </row>
    <row r="1752" spans="1:7">
      <c r="A1752" t="s">
        <v>4187</v>
      </c>
      <c r="C1752" t="str">
        <f>'4L'!$BH$118</f>
        <v>B0404AL2O_CUMME</v>
      </c>
      <c r="D1752" t="str">
        <f>_xlfn.CONCAT('4L'!$B$78, "-", '4L'!$B$118, "-", '4L'!$R$7, "-", '4L'!$R$5, "-", '4L'!$R$5)</f>
        <v>Other enhancement-Additional Line- Cwm Taf Water Supply-Total-Cumulative expenditure on all schemes to reporting year end-Cumulative expenditure on all schemes to reporting year end</v>
      </c>
      <c r="F1752" t="s">
        <v>17467</v>
      </c>
      <c r="G1752">
        <f>'4L'!$R$118</f>
        <v>0</v>
      </c>
    </row>
    <row r="1753" spans="1:7">
      <c r="A1753" t="s">
        <v>4187</v>
      </c>
      <c r="C1753" t="str">
        <f>'4L'!$BI$118</f>
        <v>B0404AL2O_CUMMA</v>
      </c>
      <c r="D1753" t="str">
        <f>_xlfn.CONCAT('4L'!$B$78, "-", '4L'!$B$118, "-", '4L'!$S$7, "-", '4L'!$S$5, "-", '4L'!$S$5)</f>
        <v>Other enhancement-Additional Line- Cwm Taf Water Supply-Total-Cumulative allowed expenditure on all schemes to reporting year end-Cumulative allowed expenditure on all schemes to reporting year end</v>
      </c>
      <c r="F1753" t="s">
        <v>17467</v>
      </c>
      <c r="G1753">
        <f>'4L'!$S$118</f>
        <v>0</v>
      </c>
    </row>
    <row r="1754" spans="1:7">
      <c r="A1754" t="s">
        <v>4187</v>
      </c>
      <c r="C1754" t="str">
        <f>'4L'!$BJ$118</f>
        <v>B0404AL2O_CUMMT</v>
      </c>
      <c r="D1754" t="str">
        <f>_xlfn.CONCAT('4L'!$B$78, "-", '4L'!$B$118, "-", '4L'!$T$7, "-", '4L'!$T$5, "-", '4L'!$T$5)</f>
        <v>Other enhancement-Additional Line- Cwm Taf Water Supply-Total-Cumulative allowed expenditure on all schemes 2020-25-Cumulative allowed expenditure on all schemes 2020-25</v>
      </c>
      <c r="F1754" t="s">
        <v>17467</v>
      </c>
      <c r="G1754">
        <f>'4L'!$T$118</f>
        <v>0</v>
      </c>
    </row>
    <row r="1755" spans="1:7">
      <c r="A1755" t="s">
        <v>4187</v>
      </c>
      <c r="C1755" t="str">
        <f>'4L'!$AV$119</f>
        <v>B0283ALC_WR</v>
      </c>
      <c r="D1755" t="str">
        <f>_xlfn.CONCAT('4L'!$B$78, "-", '4L'!$B$119, "-", '4L'!$F$6, "-", '4L'!$F$6, "-", '4L'!$F$5)</f>
        <v>Other enhancement-Additional Line- Visitor Centre-Water resources-Water resources-Expenditure in report year</v>
      </c>
      <c r="F1755" t="s">
        <v>17467</v>
      </c>
      <c r="G1755">
        <f>'4L'!$F$119</f>
        <v>7.8840000000000003</v>
      </c>
    </row>
    <row r="1756" spans="1:7">
      <c r="A1756" t="s">
        <v>4187</v>
      </c>
      <c r="C1756" t="str">
        <f>'4L'!$AW$119</f>
        <v>B0283ALC_RWT</v>
      </c>
      <c r="D1756" t="str">
        <f>_xlfn.CONCAT('4L'!$B$78, "-", '4L'!$B$119, "-", '4L'!$G$7, "-", '4L'!$G$6, "-", '4L'!$F$5)</f>
        <v>Other enhancement-Additional Line- Visitor Centre-Raw water transport-Water network+-Expenditure in report year</v>
      </c>
      <c r="F1756" t="s">
        <v>17467</v>
      </c>
      <c r="G1756">
        <f>'4L'!$G$119</f>
        <v>0</v>
      </c>
    </row>
    <row r="1757" spans="1:7">
      <c r="A1757" t="s">
        <v>4187</v>
      </c>
      <c r="C1757" t="str">
        <f>'4L'!$AX$119</f>
        <v>B0283ALC_RWS</v>
      </c>
      <c r="D1757" t="str">
        <f>_xlfn.CONCAT('4L'!$B$78, "-", '4L'!$B$119, "-", '4L'!$H$7, "-", '4L'!$G$6, "-", '4L'!$F$5)</f>
        <v>Other enhancement-Additional Line- Visitor Centre-Raw water storage-Water network+-Expenditure in report year</v>
      </c>
      <c r="F1757" t="s">
        <v>17467</v>
      </c>
      <c r="G1757">
        <f>'4L'!$H$119</f>
        <v>0</v>
      </c>
    </row>
    <row r="1758" spans="1:7">
      <c r="A1758" t="s">
        <v>4187</v>
      </c>
      <c r="C1758" t="str">
        <f>'4L'!$AY$119</f>
        <v>B0283ALC_WT</v>
      </c>
      <c r="D1758" t="str">
        <f>_xlfn.CONCAT('4L'!$B$78, "-", '4L'!$B$119, "-", '4L'!$I$7, "-", '4L'!$G$6, "-", '4L'!$F$5)</f>
        <v>Other enhancement-Additional Line- Visitor Centre-Water treatment-Water network+-Expenditure in report year</v>
      </c>
      <c r="F1758" t="s">
        <v>17467</v>
      </c>
      <c r="G1758">
        <f>'4L'!$I$119</f>
        <v>0</v>
      </c>
    </row>
    <row r="1759" spans="1:7">
      <c r="A1759" t="s">
        <v>4187</v>
      </c>
      <c r="C1759" t="str">
        <f>'4L'!$AZ$119</f>
        <v>B0283ALC_TWD</v>
      </c>
      <c r="D1759" t="str">
        <f>_xlfn.CONCAT('4L'!$B$78, "-", '4L'!$B$119, "-", '4L'!$J$7, "-", '4L'!$G$6, "-", '4L'!$F$5)</f>
        <v>Other enhancement-Additional Line- Visitor Centre-Treated water distribution-Water network+-Expenditure in report year</v>
      </c>
      <c r="F1759" t="s">
        <v>17467</v>
      </c>
      <c r="G1759">
        <f>'4L'!$J$119</f>
        <v>0</v>
      </c>
    </row>
    <row r="1760" spans="1:7">
      <c r="A1760" t="s">
        <v>4187</v>
      </c>
      <c r="C1760" t="str">
        <f>'4L'!$BA$119</f>
        <v>B0283ALC_TOT</v>
      </c>
      <c r="D1760" t="str">
        <f>_xlfn.CONCAT('4L'!$B$78, "-", '4L'!$B$119, "-", '4L'!$K$6, "-", '4L'!$K$6, "-", '4L'!$F$5)</f>
        <v>Other enhancement-Additional Line- Visitor Centre-Total-Total-Expenditure in report year</v>
      </c>
      <c r="F1760" t="s">
        <v>17467</v>
      </c>
      <c r="G1760">
        <f>'4L'!$K$119</f>
        <v>7.8840000000000003</v>
      </c>
    </row>
    <row r="1761" spans="1:7">
      <c r="A1761" t="s">
        <v>4187</v>
      </c>
      <c r="C1761" t="str">
        <f>'4L'!$BH$119</f>
        <v>B0405AL3C_CUMME</v>
      </c>
      <c r="D1761" t="str">
        <f>_xlfn.CONCAT('4L'!$B$78, "-", '4L'!$B$119, "-", '4L'!$R$7, "-", '4L'!$R$5, "-", '4L'!$R$5)</f>
        <v>Other enhancement-Additional Line- Visitor Centre-Total-Cumulative expenditure on all schemes to reporting year end-Cumulative expenditure on all schemes to reporting year end</v>
      </c>
      <c r="F1761" t="s">
        <v>17467</v>
      </c>
      <c r="G1761">
        <f>'4L'!$R$119</f>
        <v>12.016</v>
      </c>
    </row>
    <row r="1762" spans="1:7">
      <c r="A1762" t="s">
        <v>4187</v>
      </c>
      <c r="C1762" t="str">
        <f>'4L'!$BI$119</f>
        <v>B0405AL3C_CUMMA</v>
      </c>
      <c r="D1762" t="str">
        <f>_xlfn.CONCAT('4L'!$B$78, "-", '4L'!$B$119, "-", '4L'!$S$7, "-", '4L'!$S$5, "-", '4L'!$S$5)</f>
        <v>Other enhancement-Additional Line- Visitor Centre-Total-Cumulative allowed expenditure on all schemes to reporting year end-Cumulative allowed expenditure on all schemes to reporting year end</v>
      </c>
      <c r="F1762" t="s">
        <v>17467</v>
      </c>
      <c r="G1762">
        <f>'4L'!$S$119</f>
        <v>4.1399999999999997</v>
      </c>
    </row>
    <row r="1763" spans="1:7">
      <c r="A1763" t="s">
        <v>4187</v>
      </c>
      <c r="C1763" t="str">
        <f>'4L'!$BJ$119</f>
        <v>B0405AL3C_CUMMT</v>
      </c>
      <c r="D1763" t="str">
        <f>_xlfn.CONCAT('4L'!$B$78, "-", '4L'!$B$119, "-", '4L'!$T$7, "-", '4L'!$T$5, "-", '4L'!$T$5)</f>
        <v>Other enhancement-Additional Line- Visitor Centre-Total-Cumulative allowed expenditure on all schemes 2020-25-Cumulative allowed expenditure on all schemes 2020-25</v>
      </c>
      <c r="F1763" t="s">
        <v>17467</v>
      </c>
      <c r="G1763">
        <f>'4L'!$T$119</f>
        <v>6.056</v>
      </c>
    </row>
    <row r="1764" spans="1:7">
      <c r="A1764" t="s">
        <v>4187</v>
      </c>
      <c r="C1764" t="str">
        <f>'4L'!$AV$120</f>
        <v>B0284ALO_WR</v>
      </c>
      <c r="D1764" t="str">
        <f>_xlfn.CONCAT('4L'!$B$78, "-", '4L'!$B$120, "-", '4L'!$F$6, "-", '4L'!$F$6, "-", '4L'!$F$5)</f>
        <v>Other enhancement-Additional Line- Visitor Centre-Water resources-Water resources-Expenditure in report year</v>
      </c>
      <c r="F1764" t="s">
        <v>17467</v>
      </c>
      <c r="G1764">
        <f>'4L'!$F$120</f>
        <v>0</v>
      </c>
    </row>
    <row r="1765" spans="1:7">
      <c r="A1765" t="s">
        <v>4187</v>
      </c>
      <c r="C1765" t="str">
        <f>'4L'!$AW$120</f>
        <v>B0284ALO_RWT</v>
      </c>
      <c r="D1765" t="str">
        <f>_xlfn.CONCAT('4L'!$B$78, "-", '4L'!$B$120, "-", '4L'!$G$7, "-", '4L'!$G$6, "-", '4L'!$F$5)</f>
        <v>Other enhancement-Additional Line- Visitor Centre-Raw water transport-Water network+-Expenditure in report year</v>
      </c>
      <c r="F1765" t="s">
        <v>17467</v>
      </c>
      <c r="G1765">
        <f>'4L'!$G$120</f>
        <v>0</v>
      </c>
    </row>
    <row r="1766" spans="1:7">
      <c r="A1766" t="s">
        <v>4187</v>
      </c>
      <c r="C1766" t="str">
        <f>'4L'!$AX$120</f>
        <v>B0284ALO_RWS</v>
      </c>
      <c r="D1766" t="str">
        <f>_xlfn.CONCAT('4L'!$B$78, "-", '4L'!$B$120, "-", '4L'!$H$7, "-", '4L'!$G$6, "-", '4L'!$F$5)</f>
        <v>Other enhancement-Additional Line- Visitor Centre-Raw water storage-Water network+-Expenditure in report year</v>
      </c>
      <c r="F1766" t="s">
        <v>17467</v>
      </c>
      <c r="G1766">
        <f>'4L'!$H$120</f>
        <v>0</v>
      </c>
    </row>
    <row r="1767" spans="1:7">
      <c r="A1767" t="s">
        <v>4187</v>
      </c>
      <c r="C1767" t="str">
        <f>'4L'!$AY$120</f>
        <v>B0284ALO_WT</v>
      </c>
      <c r="D1767" t="str">
        <f>_xlfn.CONCAT('4L'!$B$78, "-", '4L'!$B$120, "-", '4L'!$I$7, "-", '4L'!$G$6, "-", '4L'!$F$5)</f>
        <v>Other enhancement-Additional Line- Visitor Centre-Water treatment-Water network+-Expenditure in report year</v>
      </c>
      <c r="F1767" t="s">
        <v>17467</v>
      </c>
      <c r="G1767">
        <f>'4L'!$I$120</f>
        <v>0</v>
      </c>
    </row>
    <row r="1768" spans="1:7">
      <c r="A1768" t="s">
        <v>4187</v>
      </c>
      <c r="C1768" t="str">
        <f>'4L'!$AZ$120</f>
        <v>B0284ALO_TWD</v>
      </c>
      <c r="D1768" t="str">
        <f>_xlfn.CONCAT('4L'!$B$78, "-", '4L'!$B$120, "-", '4L'!$J$7, "-", '4L'!$G$6, "-", '4L'!$F$5)</f>
        <v>Other enhancement-Additional Line- Visitor Centre-Treated water distribution-Water network+-Expenditure in report year</v>
      </c>
      <c r="F1768" t="s">
        <v>17467</v>
      </c>
      <c r="G1768">
        <f>'4L'!$J$120</f>
        <v>0</v>
      </c>
    </row>
    <row r="1769" spans="1:7">
      <c r="A1769" t="s">
        <v>4187</v>
      </c>
      <c r="C1769" t="str">
        <f>'4L'!$BA$120</f>
        <v>B0284ALO_TOT</v>
      </c>
      <c r="D1769" t="str">
        <f>_xlfn.CONCAT('4L'!$B$78, "-", '4L'!$B$120, "-", '4L'!$K$6, "-", '4L'!$K$6, "-", '4L'!$F$5)</f>
        <v>Other enhancement-Additional Line- Visitor Centre-Total-Total-Expenditure in report year</v>
      </c>
      <c r="F1769" t="s">
        <v>17467</v>
      </c>
      <c r="G1769">
        <f>'4L'!$K$120</f>
        <v>0</v>
      </c>
    </row>
    <row r="1770" spans="1:7">
      <c r="A1770" t="s">
        <v>4187</v>
      </c>
      <c r="C1770" t="str">
        <f>'4L'!$BH$120</f>
        <v>B0406AL3O_CUMME</v>
      </c>
      <c r="D1770" t="str">
        <f>_xlfn.CONCAT('4L'!$B$78, "-", '4L'!$B$120, "-", '4L'!$R$7, "-", '4L'!$R$5, "-", '4L'!$R$5)</f>
        <v>Other enhancement-Additional Line- Visitor Centre-Total-Cumulative expenditure on all schemes to reporting year end-Cumulative expenditure on all schemes to reporting year end</v>
      </c>
      <c r="F1770" t="s">
        <v>17467</v>
      </c>
      <c r="G1770">
        <f>'4L'!$R$120</f>
        <v>0</v>
      </c>
    </row>
    <row r="1771" spans="1:7">
      <c r="A1771" t="s">
        <v>4187</v>
      </c>
      <c r="C1771" t="str">
        <f>'4L'!$BI$120</f>
        <v>B0406AL3O_CUMMA</v>
      </c>
      <c r="D1771" t="str">
        <f>_xlfn.CONCAT('4L'!$B$78, "-", '4L'!$B$120, "-", '4L'!$S$7, "-", '4L'!$S$5, "-", '4L'!$S$5)</f>
        <v>Other enhancement-Additional Line- Visitor Centre-Total-Cumulative allowed expenditure on all schemes to reporting year end-Cumulative allowed expenditure on all schemes to reporting year end</v>
      </c>
      <c r="F1771" t="s">
        <v>17467</v>
      </c>
      <c r="G1771">
        <f>'4L'!$S$120</f>
        <v>0</v>
      </c>
    </row>
    <row r="1772" spans="1:7">
      <c r="A1772" t="s">
        <v>4187</v>
      </c>
      <c r="C1772" t="str">
        <f>'4L'!$BJ$120</f>
        <v>B0406AL3O_CUMMT</v>
      </c>
      <c r="D1772" t="str">
        <f>_xlfn.CONCAT('4L'!$B$78, "-", '4L'!$B$120, "-", '4L'!$T$7, "-", '4L'!$T$5, "-", '4L'!$T$5)</f>
        <v>Other enhancement-Additional Line- Visitor Centre-Total-Cumulative allowed expenditure on all schemes 2020-25-Cumulative allowed expenditure on all schemes 2020-25</v>
      </c>
      <c r="F1772" t="s">
        <v>17467</v>
      </c>
      <c r="G1772">
        <f>'4L'!$T$120</f>
        <v>0</v>
      </c>
    </row>
    <row r="1773" spans="1:7">
      <c r="A1773" t="s">
        <v>4187</v>
      </c>
      <c r="C1773" t="str">
        <f>'4L'!$AV$121</f>
        <v>B0285ALC_WR</v>
      </c>
      <c r="D1773" t="str">
        <f>_xlfn.CONCAT('4L'!$B$78, "-", '4L'!$B$121, "-", '4L'!$F$6, "-", '4L'!$F$6, "-", '4L'!$F$5)</f>
        <v>Other enhancement-Additional Line- LOW PRESSURE-Water resources-Water resources-Expenditure in report year</v>
      </c>
      <c r="F1773" t="s">
        <v>17467</v>
      </c>
      <c r="G1773">
        <f>'4L'!$F$121</f>
        <v>0</v>
      </c>
    </row>
    <row r="1774" spans="1:7">
      <c r="A1774" t="s">
        <v>4187</v>
      </c>
      <c r="C1774" t="str">
        <f>'4L'!$AW$121</f>
        <v>B0285ALC_RWT</v>
      </c>
      <c r="D1774" t="str">
        <f>_xlfn.CONCAT('4L'!$B$78, "-", '4L'!$B$121, "-", '4L'!$G$7, "-", '4L'!$G$6, "-", '4L'!$F$5)</f>
        <v>Other enhancement-Additional Line- LOW PRESSURE-Raw water transport-Water network+-Expenditure in report year</v>
      </c>
      <c r="F1774" t="s">
        <v>17467</v>
      </c>
      <c r="G1774">
        <f>'4L'!$G$121</f>
        <v>0</v>
      </c>
    </row>
    <row r="1775" spans="1:7">
      <c r="A1775" t="s">
        <v>4187</v>
      </c>
      <c r="C1775" t="str">
        <f>'4L'!$AX$121</f>
        <v>B0285ALC_RWS</v>
      </c>
      <c r="D1775" t="str">
        <f>_xlfn.CONCAT('4L'!$B$78, "-", '4L'!$B$121, "-", '4L'!$H$7, "-", '4L'!$G$6, "-", '4L'!$F$5)</f>
        <v>Other enhancement-Additional Line- LOW PRESSURE-Raw water storage-Water network+-Expenditure in report year</v>
      </c>
      <c r="F1775" t="s">
        <v>17467</v>
      </c>
      <c r="G1775">
        <f>'4L'!$H$121</f>
        <v>0</v>
      </c>
    </row>
    <row r="1776" spans="1:7">
      <c r="A1776" t="s">
        <v>4187</v>
      </c>
      <c r="C1776" t="str">
        <f>'4L'!$AY$121</f>
        <v>B0285ALC_WT</v>
      </c>
      <c r="D1776" t="str">
        <f>_xlfn.CONCAT('4L'!$B$78, "-", '4L'!$B$121, "-", '4L'!$I$7, "-", '4L'!$G$6, "-", '4L'!$F$5)</f>
        <v>Other enhancement-Additional Line- LOW PRESSURE-Water treatment-Water network+-Expenditure in report year</v>
      </c>
      <c r="F1776" t="s">
        <v>17467</v>
      </c>
      <c r="G1776">
        <f>'4L'!$I$121</f>
        <v>0</v>
      </c>
    </row>
    <row r="1777" spans="1:7">
      <c r="A1777" t="s">
        <v>4187</v>
      </c>
      <c r="C1777" t="str">
        <f>'4L'!$AZ$121</f>
        <v>B0285ALC_TWD</v>
      </c>
      <c r="D1777" t="str">
        <f>_xlfn.CONCAT('4L'!$B$78, "-", '4L'!$B$121, "-", '4L'!$J$7, "-", '4L'!$G$6, "-", '4L'!$F$5)</f>
        <v>Other enhancement-Additional Line- LOW PRESSURE-Treated water distribution-Water network+-Expenditure in report year</v>
      </c>
      <c r="F1777" t="s">
        <v>17467</v>
      </c>
      <c r="G1777">
        <f>'4L'!$J$121</f>
        <v>0.59499999999999997</v>
      </c>
    </row>
    <row r="1778" spans="1:7">
      <c r="A1778" t="s">
        <v>4187</v>
      </c>
      <c r="C1778" t="str">
        <f>'4L'!$BA$121</f>
        <v>B0285ALC_TOT</v>
      </c>
      <c r="D1778" t="str">
        <f>_xlfn.CONCAT('4L'!$B$78, "-", '4L'!$B$121, "-", '4L'!$K$6, "-", '4L'!$K$6, "-", '4L'!$F$5)</f>
        <v>Other enhancement-Additional Line- LOW PRESSURE-Total-Total-Expenditure in report year</v>
      </c>
      <c r="F1778" t="s">
        <v>17467</v>
      </c>
      <c r="G1778">
        <f>'4L'!$K$121</f>
        <v>0.59499999999999997</v>
      </c>
    </row>
    <row r="1779" spans="1:7">
      <c r="A1779" t="s">
        <v>4187</v>
      </c>
      <c r="C1779" t="str">
        <f>'4L'!$BH$121</f>
        <v>B0407AL4C_CUMME</v>
      </c>
      <c r="D1779" t="str">
        <f>_xlfn.CONCAT('4L'!$B$78, "-", '4L'!$B$121, "-", '4L'!$R$7, "-", '4L'!$R$5, "-", '4L'!$R$5)</f>
        <v>Other enhancement-Additional Line- LOW PRESSURE-Total-Cumulative expenditure on all schemes to reporting year end-Cumulative expenditure on all schemes to reporting year end</v>
      </c>
      <c r="F1779" t="s">
        <v>17467</v>
      </c>
      <c r="G1779">
        <f>'4L'!$R$121</f>
        <v>0.63400000000000001</v>
      </c>
    </row>
    <row r="1780" spans="1:7">
      <c r="A1780" t="s">
        <v>4187</v>
      </c>
      <c r="C1780" t="str">
        <f>'4L'!$BI$121</f>
        <v>B0407AL4C_CUMMA</v>
      </c>
      <c r="D1780" t="str">
        <f>_xlfn.CONCAT('4L'!$B$78, "-", '4L'!$B$121, "-", '4L'!$S$7, "-", '4L'!$S$5, "-", '4L'!$S$5)</f>
        <v>Other enhancement-Additional Line- LOW PRESSURE-Total-Cumulative allowed expenditure on all schemes to reporting year end-Cumulative allowed expenditure on all schemes to reporting year end</v>
      </c>
      <c r="F1780" t="s">
        <v>17467</v>
      </c>
      <c r="G1780">
        <f>'4L'!$S$121</f>
        <v>0</v>
      </c>
    </row>
    <row r="1781" spans="1:7">
      <c r="A1781" t="s">
        <v>4187</v>
      </c>
      <c r="C1781" t="str">
        <f>'4L'!$BJ$121</f>
        <v>B0407AL4C_CUMMT</v>
      </c>
      <c r="D1781" t="str">
        <f>_xlfn.CONCAT('4L'!$B$78, "-", '4L'!$B$121, "-", '4L'!$T$7, "-", '4L'!$T$5, "-", '4L'!$T$5)</f>
        <v>Other enhancement-Additional Line- LOW PRESSURE-Total-Cumulative allowed expenditure on all schemes 2020-25-Cumulative allowed expenditure on all schemes 2020-25</v>
      </c>
      <c r="F1781" t="s">
        <v>17467</v>
      </c>
      <c r="G1781">
        <f>'4L'!$T$121</f>
        <v>0</v>
      </c>
    </row>
    <row r="1782" spans="1:7">
      <c r="A1782" t="s">
        <v>4187</v>
      </c>
      <c r="C1782" t="str">
        <f>'4L'!$AV$122</f>
        <v>B0286ALO_WR</v>
      </c>
      <c r="D1782" t="str">
        <f>_xlfn.CONCAT('4L'!$B$78, "-", '4L'!$B$122, "-", '4L'!$F$6, "-", '4L'!$F$6, "-", '4L'!$F$5)</f>
        <v>Other enhancement-Additional Line- LOW PRESSURE-Water resources-Water resources-Expenditure in report year</v>
      </c>
      <c r="F1782" t="s">
        <v>17467</v>
      </c>
      <c r="G1782">
        <f>'4L'!$F$122</f>
        <v>0</v>
      </c>
    </row>
    <row r="1783" spans="1:7">
      <c r="A1783" t="s">
        <v>4187</v>
      </c>
      <c r="C1783" t="str">
        <f>'4L'!$AW$122</f>
        <v>B0286ALO_RWT</v>
      </c>
      <c r="D1783" t="str">
        <f>_xlfn.CONCAT('4L'!$B$78, "-", '4L'!$B$122, "-", '4L'!$G$7, "-", '4L'!$G$6, "-", '4L'!$F$5)</f>
        <v>Other enhancement-Additional Line- LOW PRESSURE-Raw water transport-Water network+-Expenditure in report year</v>
      </c>
      <c r="F1783" t="s">
        <v>17467</v>
      </c>
      <c r="G1783">
        <f>'4L'!$G$122</f>
        <v>0</v>
      </c>
    </row>
    <row r="1784" spans="1:7">
      <c r="A1784" t="s">
        <v>4187</v>
      </c>
      <c r="C1784" t="str">
        <f>'4L'!$AX$122</f>
        <v>B0286ALO_RWS</v>
      </c>
      <c r="D1784" t="str">
        <f>_xlfn.CONCAT('4L'!$B$78, "-", '4L'!$B$122, "-", '4L'!$H$7, "-", '4L'!$G$6, "-", '4L'!$F$5)</f>
        <v>Other enhancement-Additional Line- LOW PRESSURE-Raw water storage-Water network+-Expenditure in report year</v>
      </c>
      <c r="F1784" t="s">
        <v>17467</v>
      </c>
      <c r="G1784">
        <f>'4L'!$H$122</f>
        <v>0</v>
      </c>
    </row>
    <row r="1785" spans="1:7">
      <c r="A1785" t="s">
        <v>4187</v>
      </c>
      <c r="C1785" t="str">
        <f>'4L'!$AY$122</f>
        <v>B0286ALO_WT</v>
      </c>
      <c r="D1785" t="str">
        <f>_xlfn.CONCAT('4L'!$B$78, "-", '4L'!$B$122, "-", '4L'!$I$7, "-", '4L'!$G$6, "-", '4L'!$F$5)</f>
        <v>Other enhancement-Additional Line- LOW PRESSURE-Water treatment-Water network+-Expenditure in report year</v>
      </c>
      <c r="F1785" t="s">
        <v>17467</v>
      </c>
      <c r="G1785">
        <f>'4L'!$I$122</f>
        <v>0</v>
      </c>
    </row>
    <row r="1786" spans="1:7">
      <c r="A1786" t="s">
        <v>4187</v>
      </c>
      <c r="C1786" t="str">
        <f>'4L'!$AZ$122</f>
        <v>B0286ALO_TWD</v>
      </c>
      <c r="D1786" t="str">
        <f>_xlfn.CONCAT('4L'!$B$78, "-", '4L'!$B$122, "-", '4L'!$J$7, "-", '4L'!$G$6, "-", '4L'!$F$5)</f>
        <v>Other enhancement-Additional Line- LOW PRESSURE-Treated water distribution-Water network+-Expenditure in report year</v>
      </c>
      <c r="F1786" t="s">
        <v>17467</v>
      </c>
      <c r="G1786">
        <f>'4L'!$J$122</f>
        <v>0</v>
      </c>
    </row>
    <row r="1787" spans="1:7">
      <c r="A1787" t="s">
        <v>4187</v>
      </c>
      <c r="C1787" t="str">
        <f>'4L'!$BA$122</f>
        <v>B0286ALO_TOT</v>
      </c>
      <c r="D1787" t="str">
        <f>_xlfn.CONCAT('4L'!$B$78, "-", '4L'!$B$122, "-", '4L'!$K$6, "-", '4L'!$K$6, "-", '4L'!$F$5)</f>
        <v>Other enhancement-Additional Line- LOW PRESSURE-Total-Total-Expenditure in report year</v>
      </c>
      <c r="F1787" t="s">
        <v>17467</v>
      </c>
      <c r="G1787">
        <f>'4L'!$K$122</f>
        <v>0</v>
      </c>
    </row>
    <row r="1788" spans="1:7">
      <c r="A1788" t="s">
        <v>4187</v>
      </c>
      <c r="C1788" t="str">
        <f>'4L'!$BH$122</f>
        <v>B0408AL4O_CUMME</v>
      </c>
      <c r="D1788" t="str">
        <f>_xlfn.CONCAT('4L'!$B$78, "-", '4L'!$B$122, "-", '4L'!$R$7, "-", '4L'!$R$5, "-", '4L'!$R$5)</f>
        <v>Other enhancement-Additional Line- LOW PRESSURE-Total-Cumulative expenditure on all schemes to reporting year end-Cumulative expenditure on all schemes to reporting year end</v>
      </c>
      <c r="F1788" t="s">
        <v>17467</v>
      </c>
      <c r="G1788">
        <f>'4L'!$R$122</f>
        <v>0</v>
      </c>
    </row>
    <row r="1789" spans="1:7">
      <c r="A1789" t="s">
        <v>4187</v>
      </c>
      <c r="C1789" t="str">
        <f>'4L'!$BI$122</f>
        <v>B0408AL4O_CUMMA</v>
      </c>
      <c r="D1789" t="str">
        <f>_xlfn.CONCAT('4L'!$B$78, "-", '4L'!$B$122, "-", '4L'!$S$7, "-", '4L'!$S$5, "-", '4L'!$S$5)</f>
        <v>Other enhancement-Additional Line- LOW PRESSURE-Total-Cumulative allowed expenditure on all schemes to reporting year end-Cumulative allowed expenditure on all schemes to reporting year end</v>
      </c>
      <c r="F1789" t="s">
        <v>17467</v>
      </c>
      <c r="G1789">
        <f>'4L'!$S$122</f>
        <v>0</v>
      </c>
    </row>
    <row r="1790" spans="1:7">
      <c r="A1790" t="s">
        <v>4187</v>
      </c>
      <c r="C1790" t="str">
        <f>'4L'!$BJ$122</f>
        <v>B0408AL4O_CUMMT</v>
      </c>
      <c r="D1790" t="str">
        <f>_xlfn.CONCAT('4L'!$B$78, "-", '4L'!$B$122, "-", '4L'!$T$7, "-", '4L'!$T$5, "-", '4L'!$T$5)</f>
        <v>Other enhancement-Additional Line- LOW PRESSURE-Total-Cumulative allowed expenditure on all schemes 2020-25-Cumulative allowed expenditure on all schemes 2020-25</v>
      </c>
      <c r="F1790" t="s">
        <v>17467</v>
      </c>
      <c r="G1790">
        <f>'4L'!$T$122</f>
        <v>0</v>
      </c>
    </row>
    <row r="1791" spans="1:7">
      <c r="A1791" t="s">
        <v>4187</v>
      </c>
      <c r="C1791" t="str">
        <f>'4L'!$AV$123</f>
        <v>B0287ALC_WR</v>
      </c>
      <c r="D1791" t="str">
        <f>_xlfn.CONCAT('4L'!$B$78, "-", '4L'!$B$123, "-", '4L'!$F$6, "-", '4L'!$F$6, "-", '4L'!$F$5)</f>
        <v>Other enhancement-Additional Line- Water Growth Scheme-Water resources-Water resources-Expenditure in report year</v>
      </c>
      <c r="F1791" t="s">
        <v>17467</v>
      </c>
      <c r="G1791">
        <f>'4L'!$F$123</f>
        <v>0</v>
      </c>
    </row>
    <row r="1792" spans="1:7">
      <c r="A1792" t="s">
        <v>4187</v>
      </c>
      <c r="C1792" t="str">
        <f>'4L'!$AW$123</f>
        <v>B0287ALC_RWT</v>
      </c>
      <c r="D1792" t="str">
        <f>_xlfn.CONCAT('4L'!$B$78, "-", '4L'!$B$123, "-", '4L'!$G$7, "-", '4L'!$G$6, "-", '4L'!$F$5)</f>
        <v>Other enhancement-Additional Line- Water Growth Scheme-Raw water transport-Water network+-Expenditure in report year</v>
      </c>
      <c r="F1792" t="s">
        <v>17467</v>
      </c>
      <c r="G1792">
        <f>'4L'!$G$123</f>
        <v>0</v>
      </c>
    </row>
    <row r="1793" spans="1:7">
      <c r="A1793" t="s">
        <v>4187</v>
      </c>
      <c r="C1793" t="str">
        <f>'4L'!$AX$123</f>
        <v>B0287ALC_RWS</v>
      </c>
      <c r="D1793" t="str">
        <f>_xlfn.CONCAT('4L'!$B$78, "-", '4L'!$B$123, "-", '4L'!$H$7, "-", '4L'!$G$6, "-", '4L'!$F$5)</f>
        <v>Other enhancement-Additional Line- Water Growth Scheme-Raw water storage-Water network+-Expenditure in report year</v>
      </c>
      <c r="F1793" t="s">
        <v>17467</v>
      </c>
      <c r="G1793">
        <f>'4L'!$H$123</f>
        <v>0</v>
      </c>
    </row>
    <row r="1794" spans="1:7">
      <c r="A1794" t="s">
        <v>4187</v>
      </c>
      <c r="C1794" t="str">
        <f>'4L'!$AY$123</f>
        <v>B0287ALC_WT</v>
      </c>
      <c r="D1794" t="str">
        <f>_xlfn.CONCAT('4L'!$B$78, "-", '4L'!$B$123, "-", '4L'!$I$7, "-", '4L'!$G$6, "-", '4L'!$F$5)</f>
        <v>Other enhancement-Additional Line- Water Growth Scheme-Water treatment-Water network+-Expenditure in report year</v>
      </c>
      <c r="F1794" t="s">
        <v>17467</v>
      </c>
      <c r="G1794">
        <f>'4L'!$I$123</f>
        <v>0</v>
      </c>
    </row>
    <row r="1795" spans="1:7">
      <c r="A1795" t="s">
        <v>4187</v>
      </c>
      <c r="C1795" t="str">
        <f>'4L'!$AZ$123</f>
        <v>B0287ALC_TWD</v>
      </c>
      <c r="D1795" t="str">
        <f>_xlfn.CONCAT('4L'!$B$78, "-", '4L'!$B$123, "-", '4L'!$J$7, "-", '4L'!$G$6, "-", '4L'!$F$5)</f>
        <v>Other enhancement-Additional Line- Water Growth Scheme-Treated water distribution-Water network+-Expenditure in report year</v>
      </c>
      <c r="F1795" t="s">
        <v>17467</v>
      </c>
      <c r="G1795">
        <f>'4L'!$J$123</f>
        <v>0</v>
      </c>
    </row>
    <row r="1796" spans="1:7">
      <c r="A1796" t="s">
        <v>4187</v>
      </c>
      <c r="C1796" t="str">
        <f>'4L'!$BA$123</f>
        <v>B0287ALC_TOT</v>
      </c>
      <c r="D1796" t="str">
        <f>_xlfn.CONCAT('4L'!$B$78, "-", '4L'!$B$123, "-", '4L'!$K$6, "-", '4L'!$K$6, "-", '4L'!$F$5)</f>
        <v>Other enhancement-Additional Line- Water Growth Scheme-Total-Total-Expenditure in report year</v>
      </c>
      <c r="F1796" t="s">
        <v>17467</v>
      </c>
      <c r="G1796">
        <f>'4L'!$K$123</f>
        <v>0</v>
      </c>
    </row>
    <row r="1797" spans="1:7">
      <c r="A1797" t="s">
        <v>4187</v>
      </c>
      <c r="C1797" t="str">
        <f>'4L'!$BH$123</f>
        <v>B0409AL5C_CUMME</v>
      </c>
      <c r="D1797" t="str">
        <f>_xlfn.CONCAT('4L'!$B$78, "-", '4L'!$B$123, "-", '4L'!$R$7, "-", '4L'!$R$5, "-", '4L'!$R$5)</f>
        <v>Other enhancement-Additional Line- Water Growth Scheme-Total-Cumulative expenditure on all schemes to reporting year end-Cumulative expenditure on all schemes to reporting year end</v>
      </c>
      <c r="F1797" t="s">
        <v>17467</v>
      </c>
      <c r="G1797">
        <f>'4L'!$R$123</f>
        <v>-0.45500000000000002</v>
      </c>
    </row>
    <row r="1798" spans="1:7">
      <c r="A1798" t="s">
        <v>4187</v>
      </c>
      <c r="C1798" t="str">
        <f>'4L'!$BI$123</f>
        <v>B0409AL5C_CUMMA</v>
      </c>
      <c r="D1798" t="str">
        <f>_xlfn.CONCAT('4L'!$B$78, "-", '4L'!$B$123, "-", '4L'!$S$7, "-", '4L'!$S$5, "-", '4L'!$S$5)</f>
        <v>Other enhancement-Additional Line- Water Growth Scheme-Total-Cumulative allowed expenditure on all schemes to reporting year end-Cumulative allowed expenditure on all schemes to reporting year end</v>
      </c>
      <c r="F1798" t="s">
        <v>17467</v>
      </c>
      <c r="G1798">
        <f>'4L'!$S$123</f>
        <v>0</v>
      </c>
    </row>
    <row r="1799" spans="1:7">
      <c r="A1799" t="s">
        <v>4187</v>
      </c>
      <c r="C1799" t="str">
        <f>'4L'!$BJ$123</f>
        <v>B0409AL5C_CUMMT</v>
      </c>
      <c r="D1799" t="str">
        <f>_xlfn.CONCAT('4L'!$B$78, "-", '4L'!$B$123, "-", '4L'!$T$7, "-", '4L'!$T$5, "-", '4L'!$T$5)</f>
        <v>Other enhancement-Additional Line- Water Growth Scheme-Total-Cumulative allowed expenditure on all schemes 2020-25-Cumulative allowed expenditure on all schemes 2020-25</v>
      </c>
      <c r="F1799" t="s">
        <v>17467</v>
      </c>
      <c r="G1799">
        <f>'4L'!$T$123</f>
        <v>0</v>
      </c>
    </row>
    <row r="1800" spans="1:7">
      <c r="A1800" t="s">
        <v>4187</v>
      </c>
      <c r="C1800" t="str">
        <f>'4L'!$AV$124</f>
        <v>B0288ALO_WR</v>
      </c>
      <c r="D1800" t="str">
        <f>_xlfn.CONCAT('4L'!$B$78, "-", '4L'!$B$124, "-", '4L'!$F$6, "-", '4L'!$F$6, "-", '4L'!$F$5)</f>
        <v>Other enhancement-Additional Line- Water Growth Scheme-Water resources-Water resources-Expenditure in report year</v>
      </c>
      <c r="F1800" t="s">
        <v>17467</v>
      </c>
      <c r="G1800">
        <f>'4L'!$F$124</f>
        <v>0</v>
      </c>
    </row>
    <row r="1801" spans="1:7">
      <c r="A1801" t="s">
        <v>4187</v>
      </c>
      <c r="C1801" t="str">
        <f>'4L'!$AW$124</f>
        <v>B0288ALO_RWT</v>
      </c>
      <c r="D1801" t="str">
        <f>_xlfn.CONCAT('4L'!$B$78, "-", '4L'!$B$124, "-", '4L'!$G$7, "-", '4L'!$G$6, "-", '4L'!$F$5)</f>
        <v>Other enhancement-Additional Line- Water Growth Scheme-Raw water transport-Water network+-Expenditure in report year</v>
      </c>
      <c r="F1801" t="s">
        <v>17467</v>
      </c>
      <c r="G1801">
        <f>'4L'!$G$124</f>
        <v>0</v>
      </c>
    </row>
    <row r="1802" spans="1:7">
      <c r="A1802" t="s">
        <v>4187</v>
      </c>
      <c r="C1802" t="str">
        <f>'4L'!$AX$124</f>
        <v>B0288ALO_RWS</v>
      </c>
      <c r="D1802" t="str">
        <f>_xlfn.CONCAT('4L'!$B$78, "-", '4L'!$B$124, "-", '4L'!$H$7, "-", '4L'!$G$6, "-", '4L'!$F$5)</f>
        <v>Other enhancement-Additional Line- Water Growth Scheme-Raw water storage-Water network+-Expenditure in report year</v>
      </c>
      <c r="F1802" t="s">
        <v>17467</v>
      </c>
      <c r="G1802">
        <f>'4L'!$H$124</f>
        <v>0</v>
      </c>
    </row>
    <row r="1803" spans="1:7">
      <c r="A1803" t="s">
        <v>4187</v>
      </c>
      <c r="C1803" t="str">
        <f>'4L'!$AY$124</f>
        <v>B0288ALO_WT</v>
      </c>
      <c r="D1803" t="str">
        <f>_xlfn.CONCAT('4L'!$B$78, "-", '4L'!$B$124, "-", '4L'!$I$7, "-", '4L'!$G$6, "-", '4L'!$F$5)</f>
        <v>Other enhancement-Additional Line- Water Growth Scheme-Water treatment-Water network+-Expenditure in report year</v>
      </c>
      <c r="F1803" t="s">
        <v>17467</v>
      </c>
      <c r="G1803">
        <f>'4L'!$I$124</f>
        <v>0</v>
      </c>
    </row>
    <row r="1804" spans="1:7">
      <c r="A1804" t="s">
        <v>4187</v>
      </c>
      <c r="C1804" t="str">
        <f>'4L'!$AZ$124</f>
        <v>B0288ALO_TWD</v>
      </c>
      <c r="D1804" t="str">
        <f>_xlfn.CONCAT('4L'!$B$78, "-", '4L'!$B$124, "-", '4L'!$J$7, "-", '4L'!$G$6, "-", '4L'!$F$5)</f>
        <v>Other enhancement-Additional Line- Water Growth Scheme-Treated water distribution-Water network+-Expenditure in report year</v>
      </c>
      <c r="F1804" t="s">
        <v>17467</v>
      </c>
      <c r="G1804">
        <f>'4L'!$J$124</f>
        <v>0</v>
      </c>
    </row>
    <row r="1805" spans="1:7">
      <c r="A1805" t="s">
        <v>4187</v>
      </c>
      <c r="C1805" t="str">
        <f>'4L'!$BA$124</f>
        <v>B0288ALO_TOT</v>
      </c>
      <c r="D1805" t="str">
        <f>_xlfn.CONCAT('4L'!$B$78, "-", '4L'!$B$124, "-", '4L'!$K$6, "-", '4L'!$K$6, "-", '4L'!$F$5)</f>
        <v>Other enhancement-Additional Line- Water Growth Scheme-Total-Total-Expenditure in report year</v>
      </c>
      <c r="F1805" t="s">
        <v>17467</v>
      </c>
      <c r="G1805">
        <f>'4L'!$K$124</f>
        <v>0</v>
      </c>
    </row>
    <row r="1806" spans="1:7">
      <c r="A1806" t="s">
        <v>4187</v>
      </c>
      <c r="C1806" t="str">
        <f>'4L'!$BH$124</f>
        <v>B0410AL5O_CUMME</v>
      </c>
      <c r="D1806" t="str">
        <f>_xlfn.CONCAT('4L'!$B$78, "-", '4L'!$B$124, "-", '4L'!$R$7, "-", '4L'!$R$5, "-", '4L'!$R$5)</f>
        <v>Other enhancement-Additional Line- Water Growth Scheme-Total-Cumulative expenditure on all schemes to reporting year end-Cumulative expenditure on all schemes to reporting year end</v>
      </c>
      <c r="F1806" t="s">
        <v>17467</v>
      </c>
      <c r="G1806">
        <f>'4L'!$R$124</f>
        <v>0</v>
      </c>
    </row>
    <row r="1807" spans="1:7">
      <c r="A1807" t="s">
        <v>4187</v>
      </c>
      <c r="C1807" t="str">
        <f>'4L'!$BI$124</f>
        <v>B0410AL5O_CUMMA</v>
      </c>
      <c r="D1807" t="str">
        <f>_xlfn.CONCAT('4L'!$B$78, "-", '4L'!$B$124, "-", '4L'!$S$7, "-", '4L'!$S$5, "-", '4L'!$S$5)</f>
        <v>Other enhancement-Additional Line- Water Growth Scheme-Total-Cumulative allowed expenditure on all schemes to reporting year end-Cumulative allowed expenditure on all schemes to reporting year end</v>
      </c>
      <c r="F1807" t="s">
        <v>17467</v>
      </c>
      <c r="G1807">
        <f>'4L'!$S$124</f>
        <v>0</v>
      </c>
    </row>
    <row r="1808" spans="1:7">
      <c r="A1808" t="s">
        <v>4187</v>
      </c>
      <c r="C1808" t="str">
        <f>'4L'!$BJ$124</f>
        <v>B0410AL5O_CUMMT</v>
      </c>
      <c r="D1808" t="str">
        <f>_xlfn.CONCAT('4L'!$B$78, "-", '4L'!$B$124, "-", '4L'!$T$7, "-", '4L'!$T$5, "-", '4L'!$T$5)</f>
        <v>Other enhancement-Additional Line- Water Growth Scheme-Total-Cumulative allowed expenditure on all schemes 2020-25-Cumulative allowed expenditure on all schemes 2020-25</v>
      </c>
      <c r="F1808" t="s">
        <v>17467</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17467</v>
      </c>
      <c r="G1809">
        <f>'4L'!$F$125</f>
        <v>28.091999999999999</v>
      </c>
    </row>
    <row r="1810" spans="1:7">
      <c r="A1810" t="s">
        <v>4187</v>
      </c>
      <c r="C1810" t="str">
        <f>'4L'!$AW$125</f>
        <v>B0289TET_RWT</v>
      </c>
      <c r="D1810" t="str">
        <f>_xlfn.CONCAT('4L'!$B$78, "-", '4L'!$B$125, "-", '4L'!$G$7, "-", '4L'!$G$6, "-", '4L'!$F$5)</f>
        <v>Other enhancement-Total other enhancement expenditure-Raw water transport-Water network+-Expenditure in report year</v>
      </c>
      <c r="F1810" t="s">
        <v>17467</v>
      </c>
      <c r="G1810">
        <f>'4L'!$G$125</f>
        <v>8.0000000000000002E-3</v>
      </c>
    </row>
    <row r="1811" spans="1:7">
      <c r="A1811" t="s">
        <v>4187</v>
      </c>
      <c r="C1811" t="str">
        <f>'4L'!$AX$125</f>
        <v>B0289TET_RWS</v>
      </c>
      <c r="D1811" t="str">
        <f>_xlfn.CONCAT('4L'!$B$78, "-", '4L'!$B$125, "-", '4L'!$H$7, "-", '4L'!$G$6, "-", '4L'!$F$5)</f>
        <v>Other enhancement-Total other enhancement expenditure-Raw water storage-Water network+-Expenditure in report year</v>
      </c>
      <c r="F1811" t="s">
        <v>17467</v>
      </c>
      <c r="G1811">
        <f>'4L'!$H$125</f>
        <v>3.0000000000000001E-3</v>
      </c>
    </row>
    <row r="1812" spans="1:7">
      <c r="A1812" t="s">
        <v>4187</v>
      </c>
      <c r="C1812" t="str">
        <f>'4L'!$AY$125</f>
        <v>B0289TET_WT</v>
      </c>
      <c r="D1812" t="str">
        <f>_xlfn.CONCAT('4L'!$B$78, "-", '4L'!$B$125, "-", '4L'!$I$7, "-", '4L'!$G$6, "-", '4L'!$F$5)</f>
        <v>Other enhancement-Total other enhancement expenditure-Water treatment-Water network+-Expenditure in report year</v>
      </c>
      <c r="F1812" t="s">
        <v>17467</v>
      </c>
      <c r="G1812">
        <f>'4L'!$I$125</f>
        <v>6.2939999999999996</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17467</v>
      </c>
      <c r="G1813">
        <f>'4L'!$J$125</f>
        <v>12.651000000000002</v>
      </c>
    </row>
    <row r="1814" spans="1:7">
      <c r="A1814" t="s">
        <v>4187</v>
      </c>
      <c r="C1814" t="str">
        <f>'4L'!$BA$125</f>
        <v>B0289TET_TOT</v>
      </c>
      <c r="D1814" t="str">
        <f>_xlfn.CONCAT('4L'!$B$78, "-", '4L'!$B$125, "-", '4L'!$K$6, "-", '4L'!$K$6, "-", '4L'!$F$5)</f>
        <v>Other enhancement-Total other enhancement expenditure-Total-Total-Expenditure in report year</v>
      </c>
      <c r="F1814" t="s">
        <v>17467</v>
      </c>
      <c r="G1814">
        <f>'4L'!$K$125</f>
        <v>47.048000000000002</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17467</v>
      </c>
      <c r="G1815">
        <f>'4L'!$R$125</f>
        <v>142.45599999999996</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17467</v>
      </c>
      <c r="G1816">
        <f>'4L'!$S$125</f>
        <v>188.57599999999999</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17467</v>
      </c>
      <c r="G1817">
        <f>'4L'!$T$125</f>
        <v>292.87200000000001</v>
      </c>
    </row>
    <row r="1818" spans="1:7">
      <c r="A1818" t="s">
        <v>4187</v>
      </c>
      <c r="C1818" t="str">
        <f>'4L'!$AV$128</f>
        <v>B0290TEC_WR</v>
      </c>
      <c r="D1818" t="str">
        <f>_xlfn.CONCAT('4L'!$B$127, "-", '4L'!$B$128, "-", '4L'!$F$6, "-", '4L'!$F$6, "-", '4L'!$F$5)</f>
        <v>Total enhancement-Total enhancement expenditure -Water resources-Water resources-Expenditure in report year</v>
      </c>
      <c r="F1818" t="s">
        <v>17467</v>
      </c>
      <c r="G1818">
        <f>'4L'!$F$128</f>
        <v>29.791999999999998</v>
      </c>
    </row>
    <row r="1819" spans="1:7">
      <c r="A1819" t="s">
        <v>4187</v>
      </c>
      <c r="C1819" t="str">
        <f>'4L'!$AW$128</f>
        <v>B0290TEC_RWT</v>
      </c>
      <c r="D1819" t="str">
        <f>_xlfn.CONCAT('4L'!$B$127, "-", '4L'!$B$128, "-", '4L'!$G$7, "-", '4L'!$G$6, "-", '4L'!$F$5)</f>
        <v>Total enhancement-Total enhancement expenditure -Raw water transport-Water network+-Expenditure in report year</v>
      </c>
      <c r="F1819" t="s">
        <v>17467</v>
      </c>
      <c r="G1819">
        <f>'4L'!$G$128</f>
        <v>4.9530000000000003</v>
      </c>
    </row>
    <row r="1820" spans="1:7">
      <c r="A1820" t="s">
        <v>4187</v>
      </c>
      <c r="C1820" t="str">
        <f>'4L'!$AX$128</f>
        <v>B0290TEC_RWS</v>
      </c>
      <c r="D1820" t="str">
        <f>_xlfn.CONCAT('4L'!$B$127, "-", '4L'!$B$128, "-", '4L'!$H$7, "-", '4L'!$G$6, "-", '4L'!$F$5)</f>
        <v>Total enhancement-Total enhancement expenditure -Raw water storage-Water network+-Expenditure in report year</v>
      </c>
      <c r="F1820" t="s">
        <v>17467</v>
      </c>
      <c r="G1820">
        <f>'4L'!$H$128</f>
        <v>3.0000000000000001E-3</v>
      </c>
    </row>
    <row r="1821" spans="1:7">
      <c r="A1821" t="s">
        <v>4187</v>
      </c>
      <c r="C1821" t="str">
        <f>'4L'!$AY$128</f>
        <v>B0290TEC_WT</v>
      </c>
      <c r="D1821" t="str">
        <f>_xlfn.CONCAT('4L'!$B$127, "-", '4L'!$B$128, "-", '4L'!$I$7, "-", '4L'!$G$6, "-", '4L'!$F$5)</f>
        <v>Total enhancement-Total enhancement expenditure -Water treatment-Water network+-Expenditure in report year</v>
      </c>
      <c r="F1821" t="s">
        <v>17467</v>
      </c>
      <c r="G1821">
        <f>'4L'!$I$128</f>
        <v>6.25</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17467</v>
      </c>
      <c r="G1822">
        <f>'4L'!$J$128</f>
        <v>19.811999999999998</v>
      </c>
    </row>
    <row r="1823" spans="1:7">
      <c r="A1823" t="s">
        <v>4187</v>
      </c>
      <c r="C1823" t="str">
        <f>'4L'!$BA$128</f>
        <v>B0290TEC_TOT</v>
      </c>
      <c r="D1823" t="str">
        <f>_xlfn.CONCAT('4L'!$B$127, "-", '4L'!$B$128, "-", '4L'!$K$6, "-", '4L'!$K$6, "-", '4L'!$F$5)</f>
        <v>Total enhancement-Total enhancement expenditure -Total-Total-Expenditure in report year</v>
      </c>
      <c r="F1823" t="s">
        <v>17467</v>
      </c>
      <c r="G1823">
        <f>'4L'!$K$128</f>
        <v>60.809999999999995</v>
      </c>
    </row>
    <row r="1824" spans="1:7">
      <c r="A1824" t="s">
        <v>4187</v>
      </c>
      <c r="C1824" t="str">
        <f>'4L'!$AV$129</f>
        <v>B0291TEO_WR</v>
      </c>
      <c r="D1824" t="str">
        <f>_xlfn.CONCAT('4L'!$B$127, "-", '4L'!$B$129, "-", '4L'!$F$6, "-", '4L'!$F$6, "-", '4L'!$F$5)</f>
        <v>Total enhancement-Total enhancement expenditure -Water resources-Water resources-Expenditure in report year</v>
      </c>
      <c r="F1824" t="s">
        <v>17467</v>
      </c>
      <c r="G1824">
        <f>'4L'!$F$129</f>
        <v>1.2999999999999999E-2</v>
      </c>
    </row>
    <row r="1825" spans="1:7">
      <c r="A1825" t="s">
        <v>4187</v>
      </c>
      <c r="C1825" t="str">
        <f>'4L'!$AW$129</f>
        <v>B0291TEO_RWT</v>
      </c>
      <c r="D1825" t="str">
        <f>_xlfn.CONCAT('4L'!$B$127, "-", '4L'!$B$129, "-", '4L'!$G$7, "-", '4L'!$G$6, "-", '4L'!$F$5)</f>
        <v>Total enhancement-Total enhancement expenditure -Raw water transport-Water network+-Expenditure in report year</v>
      </c>
      <c r="F1825" t="s">
        <v>17467</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17467</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17467</v>
      </c>
      <c r="G1827">
        <f>'4L'!$I$129</f>
        <v>0.10299999999999999</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17467</v>
      </c>
      <c r="G1828">
        <f>'4L'!$J$129</f>
        <v>5.1999999999999998E-2</v>
      </c>
    </row>
    <row r="1829" spans="1:7">
      <c r="A1829" t="s">
        <v>4187</v>
      </c>
      <c r="C1829" t="str">
        <f>'4L'!$BA$129</f>
        <v>B0291TEO_TOT</v>
      </c>
      <c r="D1829" t="str">
        <f>_xlfn.CONCAT('4L'!$B$127, "-", '4L'!$B$129, "-", '4L'!$K$6, "-", '4L'!$K$6, "-", '4L'!$F$5)</f>
        <v>Total enhancement-Total enhancement expenditure -Total-Total-Expenditure in report year</v>
      </c>
      <c r="F1829" t="s">
        <v>17467</v>
      </c>
      <c r="G1829">
        <f>'4L'!$K$129</f>
        <v>0.16799999999999998</v>
      </c>
    </row>
    <row r="1830" spans="1:7">
      <c r="A1830" t="s">
        <v>4187</v>
      </c>
      <c r="C1830" t="str">
        <f>'4L'!$AV$130</f>
        <v>B0292TET_WR</v>
      </c>
      <c r="D1830" t="str">
        <f>_xlfn.CONCAT('4L'!$B$127, "-", '4L'!$B$130, "-", '4L'!$F$6, "-", '4L'!$F$6, "-", '4L'!$F$5)</f>
        <v>Total enhancement-Total enhancement expenditure -Water resources-Water resources-Expenditure in report year</v>
      </c>
      <c r="F1830" t="s">
        <v>17467</v>
      </c>
      <c r="G1830">
        <f>'4L'!$F$130</f>
        <v>29.805</v>
      </c>
    </row>
    <row r="1831" spans="1:7">
      <c r="A1831" t="s">
        <v>4187</v>
      </c>
      <c r="C1831" t="str">
        <f>'4L'!$AW$130</f>
        <v>B0292TET_RWT</v>
      </c>
      <c r="D1831" t="str">
        <f>_xlfn.CONCAT('4L'!$B$127, "-", '4L'!$B$130, "-", '4L'!$G$7, "-", '4L'!$G$6, "-", '4L'!$F$5)</f>
        <v>Total enhancement-Total enhancement expenditure -Raw water transport-Water network+-Expenditure in report year</v>
      </c>
      <c r="F1831" t="s">
        <v>17467</v>
      </c>
      <c r="G1831">
        <f>'4L'!$G$130</f>
        <v>4.9530000000000003</v>
      </c>
    </row>
    <row r="1832" spans="1:7">
      <c r="A1832" t="s">
        <v>4187</v>
      </c>
      <c r="C1832" t="str">
        <f>'4L'!$AX$130</f>
        <v>B0292TET_RWS</v>
      </c>
      <c r="D1832" t="str">
        <f>_xlfn.CONCAT('4L'!$B$127, "-", '4L'!$B$130, "-", '4L'!$H$7, "-", '4L'!$G$6, "-", '4L'!$F$5)</f>
        <v>Total enhancement-Total enhancement expenditure -Raw water storage-Water network+-Expenditure in report year</v>
      </c>
      <c r="F1832" t="s">
        <v>17467</v>
      </c>
      <c r="G1832">
        <f>'4L'!$H$130</f>
        <v>3.0000000000000001E-3</v>
      </c>
    </row>
    <row r="1833" spans="1:7">
      <c r="A1833" t="s">
        <v>4187</v>
      </c>
      <c r="C1833" t="str">
        <f>'4L'!$AY$130</f>
        <v>B0292TET_WT</v>
      </c>
      <c r="D1833" t="str">
        <f>_xlfn.CONCAT('4L'!$B$127, "-", '4L'!$B$130, "-", '4L'!$I$7, "-", '4L'!$G$6, "-", '4L'!$F$5)</f>
        <v>Total enhancement-Total enhancement expenditure -Water treatment-Water network+-Expenditure in report year</v>
      </c>
      <c r="F1833" t="s">
        <v>17467</v>
      </c>
      <c r="G1833">
        <f>'4L'!$I$130</f>
        <v>6.3529999999999998</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17467</v>
      </c>
      <c r="G1834">
        <f>'4L'!$J$130</f>
        <v>19.863999999999997</v>
      </c>
    </row>
    <row r="1835" spans="1:7">
      <c r="A1835" t="s">
        <v>4187</v>
      </c>
      <c r="C1835" t="str">
        <f>'4L'!$BA$130</f>
        <v>B0292TET_TOT</v>
      </c>
      <c r="D1835" t="str">
        <f>_xlfn.CONCAT('4L'!$B$127, "-", '4L'!$B$130, "-", '4L'!$K$6, "-", '4L'!$K$6, "-", '4L'!$F$5)</f>
        <v>Total enhancement-Total enhancement expenditure -Total-Total-Expenditure in report year</v>
      </c>
      <c r="F1835" t="s">
        <v>17467</v>
      </c>
      <c r="G1835">
        <f>'4L'!$K$130</f>
        <v>60.978000000000002</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17467</v>
      </c>
      <c r="G1836">
        <f>'4L'!$R$130</f>
        <v>178.25299999999996</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17467</v>
      </c>
      <c r="G1837">
        <f>'4L'!$S$130</f>
        <v>253.48099999999997</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17467</v>
      </c>
      <c r="G1838">
        <f>'4L'!$T$130</f>
        <v>389.70300000000003</v>
      </c>
    </row>
    <row r="1839" spans="1:7">
      <c r="A1839" t="s">
        <v>4189</v>
      </c>
      <c r="C1839" t="str">
        <f>'4M'!$BH$10</f>
        <v>B0293CDC_F</v>
      </c>
      <c r="D1839" t="str">
        <f>_xlfn.CONCAT('4M'!$B$9, "-", '4M'!$B$10, "-", '4M'!$F$7, "-", '4M'!$F$6, "-", '4M'!$F$5)</f>
        <v>EA/NRW environmental programme (WINEP/NEP)-Conservation drivers-Foul-Wastewater network+ -Expenditure in report year</v>
      </c>
      <c r="F1839" t="s">
        <v>17467</v>
      </c>
      <c r="G1839">
        <f>'4M'!$F$10</f>
        <v>1E-3</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17467</v>
      </c>
      <c r="G1840">
        <f>'4M'!$G$10</f>
        <v>1E-3</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17467</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17467</v>
      </c>
      <c r="G1842">
        <f>'4M'!$I$10</f>
        <v>0.20599999999999999</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17467</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17467</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17467</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17467</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17467</v>
      </c>
      <c r="G1847">
        <f>'4M'!$N$10</f>
        <v>0.20799999999999999</v>
      </c>
    </row>
    <row r="1848" spans="1:7">
      <c r="A1848" t="s">
        <v>4189</v>
      </c>
      <c r="C1848" t="str">
        <f>'4M'!$BH$11</f>
        <v>B0294CDO_F</v>
      </c>
      <c r="D1848" t="str">
        <f>_xlfn.CONCAT('4M'!$B$9, "-", '4M'!$B$11, "-", '4M'!$F$7, "-", '4M'!$F$6, "-", '4M'!$F$5)</f>
        <v>EA/NRW environmental programme (WINEP/NEP)-Conservation drivers-Foul-Wastewater network+ -Expenditure in report year</v>
      </c>
      <c r="F1848" t="s">
        <v>17467</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17467</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17467</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17467</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17467</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17467</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17467</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17467</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17467</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17467</v>
      </c>
      <c r="G1857">
        <f>'4M'!$F$12</f>
        <v>1E-3</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17467</v>
      </c>
      <c r="G1858">
        <f>'4M'!$G$12</f>
        <v>1E-3</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17467</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17467</v>
      </c>
      <c r="G1860">
        <f>'4M'!$I$12</f>
        <v>0.20599999999999999</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17467</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17467</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17467</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17467</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17467</v>
      </c>
      <c r="G1865">
        <f>'4M'!$N$12</f>
        <v>0.20799999999999999</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17467</v>
      </c>
      <c r="G1866">
        <f>'4M'!$X$12</f>
        <v>0.307</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17467</v>
      </c>
      <c r="G1867">
        <f>'4M'!$Y$12</f>
        <v>1.091</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17467</v>
      </c>
      <c r="G1868">
        <f>'4M'!$Z$12</f>
        <v>1.7</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17467</v>
      </c>
      <c r="G1869">
        <f>'4M'!$F$13</f>
        <v>2.7210000000000001</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17467</v>
      </c>
      <c r="G1870">
        <f>'4M'!$G$13</f>
        <v>1.115</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17467</v>
      </c>
      <c r="G1871">
        <f>'4M'!$H$13</f>
        <v>0.625</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17467</v>
      </c>
      <c r="G1872">
        <f>'4M'!$I$13</f>
        <v>0.377</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17467</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17467</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17467</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17467</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17467</v>
      </c>
      <c r="G1877">
        <f>'4M'!$N$13</f>
        <v>4.8380000000000001</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17467</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17467</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17467</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17467</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17467</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17467</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17467</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17467</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17467</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17467</v>
      </c>
      <c r="G1887">
        <f>'4M'!$F$15</f>
        <v>2.7210000000000001</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17467</v>
      </c>
      <c r="G1888">
        <f>'4M'!$G$15</f>
        <v>1.115</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17467</v>
      </c>
      <c r="G1889">
        <f>'4M'!$H$15</f>
        <v>0.625</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17467</v>
      </c>
      <c r="G1890">
        <f>'4M'!$I$15</f>
        <v>0.377</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17467</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17467</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17467</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17467</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17467</v>
      </c>
      <c r="G1895">
        <f>'4M'!$N$15</f>
        <v>4.8380000000000001</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17467</v>
      </c>
      <c r="G1896">
        <f>'4M'!$X$15</f>
        <v>6.2549999999999999</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17467</v>
      </c>
      <c r="G1897">
        <f>'4M'!$Y$15</f>
        <v>3.423</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17467</v>
      </c>
      <c r="G1898">
        <f>'4M'!$Z$15</f>
        <v>5.335</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17467</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17467</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17467</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17467</v>
      </c>
      <c r="G1902">
        <f>'4M'!$I$16</f>
        <v>4.7759999999999998</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17467</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17467</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17467</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17467</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17467</v>
      </c>
      <c r="G1907">
        <f>'4M'!$N$16</f>
        <v>4.7759999999999998</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17467</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17467</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17467</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17467</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17467</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17467</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17467</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17467</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17467</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17467</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17467</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17467</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17467</v>
      </c>
      <c r="G1920">
        <f>'4M'!$I$18</f>
        <v>4.7759999999999998</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17467</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17467</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17467</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17467</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17467</v>
      </c>
      <c r="G1925">
        <f>'4M'!$N$18</f>
        <v>4.7759999999999998</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17467</v>
      </c>
      <c r="G1926">
        <f>'4M'!$X$18</f>
        <v>19.422000000000001</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17467</v>
      </c>
      <c r="G1927">
        <f>'4M'!$Y$18</f>
        <v>17.62</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17467</v>
      </c>
      <c r="G1928">
        <f>'4M'!$Z$18</f>
        <v>27.46</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17467</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17467</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17467</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17467</v>
      </c>
      <c r="G1932">
        <f>'4M'!$I$19</f>
        <v>2.6379999999999999</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17467</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17467</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17467</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17467</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17467</v>
      </c>
      <c r="G1937">
        <f>'4M'!$N$19</f>
        <v>2.6379999999999999</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17467</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17467</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17467</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17467</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17467</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17467</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17467</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17467</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17467</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17467</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17467</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17467</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17467</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17467</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17467</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17467</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17467</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17467</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17467</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17467</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17467</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17467</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17467</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17467</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17467</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17467</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17467</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17467</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17467</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17467</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17467</v>
      </c>
      <c r="G1968">
        <f>'4M'!$I$21</f>
        <v>2.6379999999999999</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17467</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17467</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17467</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17467</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17467</v>
      </c>
      <c r="G1973">
        <f>'4M'!$N$21</f>
        <v>2.6379999999999999</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17467</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17467</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17467</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17467</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17467</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17467</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17467</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17467</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17467</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17467</v>
      </c>
      <c r="G1983">
        <f>'4M'!$X$21</f>
        <v>2.806</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17467</v>
      </c>
      <c r="G1984">
        <f>'4M'!$Y$21</f>
        <v>12.388</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17467</v>
      </c>
      <c r="G1985">
        <f>'4M'!$Z$21</f>
        <v>19.306999999999999</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17467</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17467</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17467</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17467</v>
      </c>
      <c r="G1989">
        <f>'4M'!$I$22</f>
        <v>0.71699999999999997</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17467</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17467</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17467</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17467</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17467</v>
      </c>
      <c r="G1994">
        <f>'4M'!$N$22</f>
        <v>0.71699999999999997</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17467</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17467</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17467</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17467</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17467</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17467</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17467</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17467</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17467</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17467</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17467</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17467</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17467</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17467</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17467</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17467</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17467</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17467</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17467</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17467</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17467</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17467</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17467</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17467</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17467</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17467</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17467</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17467</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17467</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17467</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17467</v>
      </c>
      <c r="G2025">
        <f>'4M'!$I$24</f>
        <v>0.71699999999999997</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17467</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17467</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17467</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17467</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17467</v>
      </c>
      <c r="G2030">
        <f>'4M'!$N$24</f>
        <v>0.71699999999999997</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17467</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17467</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17467</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17467</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17467</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17467</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17467</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17467</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17467</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17467</v>
      </c>
      <c r="G2040">
        <f>'4M'!$X$24</f>
        <v>1.028</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17467</v>
      </c>
      <c r="G2041">
        <f>'4M'!$Y$24</f>
        <v>6.5170000000000003</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17467</v>
      </c>
      <c r="G2042">
        <f>'4M'!$Z$24</f>
        <v>10.157</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17467</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17467</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17467</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17467</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17467</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17467</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17467</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17467</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17467</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17467</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17467</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17467</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17467</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17467</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17467</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17467</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17467</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17467</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17467</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17467</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17467</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17467</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17467</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17467</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17467</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17467</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17467</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17467</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17467</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17467</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17467</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17467</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17467</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17467</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17467</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17467</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17467</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17467</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17467</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17467</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17467</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17467</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17467</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17467</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17467</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17467</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17467</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17467</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17467</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17467</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17467</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17467</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17467</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17467</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17467</v>
      </c>
      <c r="G2097">
        <f>'4M'!$F$30</f>
        <v>0.16600000000000001</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17467</v>
      </c>
      <c r="G2098">
        <f>'4M'!$G$30</f>
        <v>6.8000000000000005E-2</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17467</v>
      </c>
      <c r="G2099">
        <f>'4M'!$H$30</f>
        <v>3.7999999999999999E-2</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17467</v>
      </c>
      <c r="G2100">
        <f>'4M'!$I$30</f>
        <v>0.221</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17467</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17467</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17467</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17467</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17467</v>
      </c>
      <c r="G2105">
        <f>'4M'!$N$30</f>
        <v>0.49299999999999999</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17467</v>
      </c>
      <c r="G2106">
        <f>'4M'!$O$30</f>
        <v>1.2999999999999999E-2</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17467</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17467</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17467</v>
      </c>
      <c r="G2109">
        <f>'4M'!$R$30</f>
        <v>0.23499999999999999</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17467</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17467</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17467</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17467</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17467</v>
      </c>
      <c r="G2114">
        <f>'4M'!$W$30</f>
        <v>0.248</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17467</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17467</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17467</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17467</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17467</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17467</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17467</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17467</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17467</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17467</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17467</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17467</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17467</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17467</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17467</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17467</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17467</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17467</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17467</v>
      </c>
      <c r="G2133">
        <f>'4M'!$F$34</f>
        <v>0.16600000000000001</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17467</v>
      </c>
      <c r="G2134">
        <f>'4M'!$G$34</f>
        <v>6.8000000000000005E-2</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17467</v>
      </c>
      <c r="G2135">
        <f>'4M'!$H$34</f>
        <v>3.7999999999999999E-2</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17467</v>
      </c>
      <c r="G2136">
        <f>'4M'!$I$34</f>
        <v>0.221</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17467</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17467</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17467</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17467</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17467</v>
      </c>
      <c r="G2141">
        <f>'4M'!$N$34</f>
        <v>0.49299999999999999</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17467</v>
      </c>
      <c r="G2142">
        <f>'4M'!$O$34</f>
        <v>1.2999999999999999E-2</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17467</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17467</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17467</v>
      </c>
      <c r="G2145">
        <f>'4M'!$R$34</f>
        <v>0.23499999999999999</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17467</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17467</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17467</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17467</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17467</v>
      </c>
      <c r="G2150">
        <f>'4M'!$W$34</f>
        <v>0.248</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17467</v>
      </c>
      <c r="G2151">
        <f>'4M'!$X$34</f>
        <v>4.4859999999999998</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17467</v>
      </c>
      <c r="G2152">
        <f>'4M'!$Y$34</f>
        <v>35.869</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17467</v>
      </c>
      <c r="G2153">
        <f>'4M'!$Z$34</f>
        <v>55.901000000000003</v>
      </c>
    </row>
    <row r="2154" spans="1:7">
      <c r="A2154" t="s">
        <v>4189</v>
      </c>
      <c r="C2154" t="str">
        <f>'4M'!$BH$35</f>
        <v>B0311CRC_F</v>
      </c>
      <c r="D2154" t="str">
        <f>_xlfn.CONCAT('4M'!$B$9, "-", '4M'!$B$35, "-", '4M'!$F$7, "-", '4M'!$F$6, "-", '4M'!$F$5)</f>
        <v>EA/NRW environmental programme (WINEP/NEP)-Chemical removals schemes-Foul-Wastewater network+ -Expenditure in report year</v>
      </c>
      <c r="F2154" t="s">
        <v>17467</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17467</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17467</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17467</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17467</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17467</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17467</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17467</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17467</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17467</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17467</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17467</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17467</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17467</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17467</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17467</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17467</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17467</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17467</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17467</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17467</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17467</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17467</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17467</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17467</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17467</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17467</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17467</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17467</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17467</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17467</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17467</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17467</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17467</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17467</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17467</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17467</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17467</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17467</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17467</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17467</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17467</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17467</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17467</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17467</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17467</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17467</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17467</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17467</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17467</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17467</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17467</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17467</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17467</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17467</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17467</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17467</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17467</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17467</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17467</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17467</v>
      </c>
      <c r="G2214">
        <f>'4M'!$I$38</f>
        <v>0.106</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17467</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17467</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17467</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17467</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17467</v>
      </c>
      <c r="G2219">
        <f>'4M'!$N$38</f>
        <v>0.106</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17467</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17467</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17467</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17467</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17467</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17467</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17467</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17467</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17467</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17467</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17467</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17467</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17467</v>
      </c>
      <c r="G2232">
        <f>'4M'!$I$40</f>
        <v>0.106</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17467</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17467</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17467</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17467</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17467</v>
      </c>
      <c r="G2237">
        <f>'4M'!$N$40</f>
        <v>0.106</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17467</v>
      </c>
      <c r="G2238">
        <f>'4M'!$X$40</f>
        <v>1.4379999999999999</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17467</v>
      </c>
      <c r="G2239">
        <f>'4M'!$Y$40</f>
        <v>1.4430000000000001</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17467</v>
      </c>
      <c r="G2240">
        <f>'4M'!$Z$40</f>
        <v>2.2490000000000001</v>
      </c>
    </row>
    <row r="2241" spans="1:7">
      <c r="A2241" t="s">
        <v>4189</v>
      </c>
      <c r="C2241" t="str">
        <f>'4M'!$BH$41</f>
        <v>B0317NRC_F</v>
      </c>
      <c r="D2241" t="str">
        <f>_xlfn.CONCAT('4M'!$B$9, "-", '4M'!$B$41, "-", '4M'!$F$7, "-", '4M'!$F$6, "-", '4M'!$F$5)</f>
        <v>EA/NRW environmental programme (WINEP/NEP)-Nitrogen removal-Foul-Wastewater network+ -Expenditure in report year</v>
      </c>
      <c r="F2241" t="s">
        <v>17467</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17467</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17467</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17467</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17467</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17467</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17467</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17467</v>
      </c>
      <c r="G2248">
        <f>'4M'!$M$41</f>
        <v>0</v>
      </c>
    </row>
    <row r="2249" spans="1:7">
      <c r="A2249" t="s">
        <v>4189</v>
      </c>
      <c r="C2249" t="str">
        <f>'4M'!$BP$41</f>
        <v>B0317NRC_TOT</v>
      </c>
      <c r="D2249" t="str">
        <f>_xlfn.CONCAT('4M'!$B$9, "-", '4M'!$B$41, "-", '4M'!$N$6, "-", '4M'!$N$6, "-", '4M'!$F$5)</f>
        <v>EA/NRW environmental programme (WINEP/NEP)-Nitrogen removal-Total-Total-Expenditure in report year</v>
      </c>
      <c r="F2249" t="s">
        <v>17467</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17467</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17467</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17467</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17467</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17467</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17467</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17467</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17467</v>
      </c>
      <c r="G2257">
        <f>'4M'!$M$42</f>
        <v>0</v>
      </c>
    </row>
    <row r="2258" spans="1:7">
      <c r="A2258" t="s">
        <v>4189</v>
      </c>
      <c r="C2258" t="str">
        <f>'4M'!$BP$42</f>
        <v>B0318NRO_TOT</v>
      </c>
      <c r="D2258" t="str">
        <f>_xlfn.CONCAT('4M'!$B$9, "-", '4M'!$B$42, "-", '4M'!$N$6, "-", '4M'!$N$6, "-", '4M'!$F$5)</f>
        <v>EA/NRW environmental programme (WINEP/NEP)-Nitrogen removal-Total-Total-Expenditure in report year</v>
      </c>
      <c r="F2258" t="s">
        <v>17467</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17467</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17467</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17467</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17467</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17467</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17467</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17467</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17467</v>
      </c>
      <c r="G2266">
        <f>'4M'!$M$43</f>
        <v>0</v>
      </c>
    </row>
    <row r="2267" spans="1:7">
      <c r="A2267" t="s">
        <v>4189</v>
      </c>
      <c r="C2267" t="str">
        <f>'4M'!$BP$43</f>
        <v>B0319NRT_TOT</v>
      </c>
      <c r="D2267" t="str">
        <f>_xlfn.CONCAT('4M'!$B$9, "-", '4M'!$B$43, "-", '4M'!$N$6, "-", '4M'!$N$6, "-", '4M'!$F$5)</f>
        <v>EA/NRW environmental programme (WINEP/NEP)-Nitrogen removal-Total-Total-Expenditure in report year</v>
      </c>
      <c r="F2267" t="s">
        <v>17467</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17467</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17467</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17467</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17467</v>
      </c>
      <c r="G2271">
        <f>'4M'!$F$44</f>
        <v>3.5000000000000003E-2</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17467</v>
      </c>
      <c r="G2272">
        <f>'4M'!$G$44</f>
        <v>1.4999999999999999E-2</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17467</v>
      </c>
      <c r="G2273">
        <f>'4M'!$H$44</f>
        <v>8.0000000000000002E-3</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17467</v>
      </c>
      <c r="G2274">
        <f>'4M'!$I$44</f>
        <v>22.968</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17467</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17467</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17467</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17467</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17467</v>
      </c>
      <c r="G2279">
        <f>'4M'!$N$44</f>
        <v>23.026</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17467</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17467</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17467</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17467</v>
      </c>
      <c r="G2283">
        <f>'4M'!$R$44</f>
        <v>7.9770000000000003</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17467</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17467</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17467</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17467</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17467</v>
      </c>
      <c r="G2288">
        <f>'4M'!$W$44</f>
        <v>7.9770000000000003</v>
      </c>
    </row>
    <row r="2289" spans="1:7">
      <c r="A2289" t="s">
        <v>4189</v>
      </c>
      <c r="C2289" t="str">
        <f>'4M'!$BH$45</f>
        <v>B0321PRO_F</v>
      </c>
      <c r="D2289" t="str">
        <f>_xlfn.CONCAT('4M'!$B$9, "-", '4M'!$B$45, "-", '4M'!$F$7, "-", '4M'!$F$6, "-", '4M'!$F$5)</f>
        <v>EA/NRW environmental programme (WINEP/NEP)-Phosphorus removal-Foul-Wastewater network+ -Expenditure in report year</v>
      </c>
      <c r="F2289" t="s">
        <v>17467</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17467</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17467</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17467</v>
      </c>
      <c r="G2292">
        <f>'4M'!$I$45</f>
        <v>0.92100000000000004</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17467</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17467</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17467</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17467</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17467</v>
      </c>
      <c r="G2297">
        <f>'4M'!$N$45</f>
        <v>0.92100000000000004</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17467</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17467</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17467</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17467</v>
      </c>
      <c r="G2301">
        <f>'4M'!$R$45</f>
        <v>2.3620000000000001</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17467</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17467</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17467</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17467</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17467</v>
      </c>
      <c r="G2306">
        <f>'4M'!$W$45</f>
        <v>2.3620000000000001</v>
      </c>
    </row>
    <row r="2307" spans="1:7">
      <c r="A2307" t="s">
        <v>4189</v>
      </c>
      <c r="C2307" t="str">
        <f>'4M'!$BH$46</f>
        <v>B0322PRT_F</v>
      </c>
      <c r="D2307" t="str">
        <f>_xlfn.CONCAT('4M'!$B$9, "-", '4M'!$B$46, "-", '4M'!$F$7, "-", '4M'!$F$6, "-", '4M'!$F$5)</f>
        <v>EA/NRW environmental programme (WINEP/NEP)-Phosphorus removal-Foul-Wastewater network+ -Expenditure in report year</v>
      </c>
      <c r="F2307" t="s">
        <v>17467</v>
      </c>
      <c r="G2307">
        <f>'4M'!$F$46</f>
        <v>3.5000000000000003E-2</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17467</v>
      </c>
      <c r="G2308">
        <f>'4M'!$G$46</f>
        <v>1.4999999999999999E-2</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17467</v>
      </c>
      <c r="G2309">
        <f>'4M'!$H$46</f>
        <v>8.0000000000000002E-3</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17467</v>
      </c>
      <c r="G2310">
        <f>'4M'!$I$46</f>
        <v>23.888999999999999</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17467</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17467</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17467</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17467</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17467</v>
      </c>
      <c r="G2315">
        <f>'4M'!$N$46</f>
        <v>23.946999999999999</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17467</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17467</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17467</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17467</v>
      </c>
      <c r="G2319">
        <f>'4M'!$R$46</f>
        <v>10.339</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17467</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17467</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17467</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17467</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17467</v>
      </c>
      <c r="G2324">
        <f>'4M'!$W$46</f>
        <v>10.339</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17467</v>
      </c>
      <c r="G2325">
        <f>'4M'!$X$46</f>
        <v>47.610999999999997</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17467</v>
      </c>
      <c r="G2326">
        <f>'4M'!$Y$46</f>
        <v>55.600999999999999</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17467</v>
      </c>
      <c r="G2327">
        <f>'4M'!$Z$46</f>
        <v>86.694000000000003</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17467</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17467</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17467</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17467</v>
      </c>
      <c r="G2331">
        <f>'4M'!$I$47</f>
        <v>3.298</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17467</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17467</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17467</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17467</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17467</v>
      </c>
      <c r="G2336">
        <f>'4M'!$N$47</f>
        <v>3.298</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17467</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17467</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17467</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17467</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17467</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17467</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17467</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17467</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17467</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17467</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17467</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17467</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17467</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17467</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17467</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17467</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17467</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17467</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17467</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17467</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17467</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17467</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17467</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17467</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17467</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17467</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17467</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17467</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17467</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17467</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17467</v>
      </c>
      <c r="G2367">
        <f>'4M'!$I$49</f>
        <v>3.298</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17467</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17467</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17467</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17467</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17467</v>
      </c>
      <c r="G2372">
        <f>'4M'!$N$49</f>
        <v>3.298</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17467</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17467</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17467</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17467</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17467</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17467</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17467</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17467</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17467</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17467</v>
      </c>
      <c r="G2382">
        <f>'4M'!$X$49</f>
        <v>6.0629999999999997</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17467</v>
      </c>
      <c r="G2383">
        <f>'4M'!$Y$49</f>
        <v>9.8420000000000005</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17467</v>
      </c>
      <c r="G2384">
        <f>'4M'!$Z$49</f>
        <v>15.337999999999999</v>
      </c>
    </row>
    <row r="2385" spans="1:7">
      <c r="A2385" t="s">
        <v>4189</v>
      </c>
      <c r="C2385" t="str">
        <f>'4M'!$BH$50</f>
        <v>B0326UVC_F</v>
      </c>
      <c r="D2385" t="str">
        <f>_xlfn.CONCAT('4M'!$B$9, "-", '4M'!$B$50, "-", '4M'!$F$7, "-", '4M'!$F$6, "-", '4M'!$F$5)</f>
        <v>EA/NRW environmental programme (WINEP/NEP)-UV disinfection (or similar)-Foul-Wastewater network+ -Expenditure in report year</v>
      </c>
      <c r="F2385" t="s">
        <v>17467</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17467</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17467</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17467</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17467</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17467</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17467</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17467</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17467</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17467</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17467</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17467</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17467</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17467</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17467</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17467</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17467</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17467</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17467</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17467</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17467</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17467</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17467</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17467</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17467</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17467</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17467</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17467</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17467</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17467</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17467</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17467</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17467</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17467</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17467</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17467</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17467</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17467</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17467</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17467</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17467</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17467</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17467</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17467</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17467</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17467</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17467</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17467</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17467</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17467</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17467</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17467</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17467</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17467</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17467</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17467</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17467</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17467</v>
      </c>
      <c r="G2442">
        <f>'4M'!$F$53</f>
        <v>2.2559999999999998</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17467</v>
      </c>
      <c r="G2443">
        <f>'4M'!$G$53</f>
        <v>0.92500000000000004</v>
      </c>
    </row>
    <row r="2444" spans="1:7">
      <c r="A2444" t="s">
        <v>4189</v>
      </c>
      <c r="C2444" t="str">
        <f>'4M'!$BJ$53</f>
        <v>B0329INC_HD</v>
      </c>
      <c r="D2444" t="str">
        <f>_xlfn.CONCAT('4M'!$B$9, "-", '4M'!$B$53, "-", '4M'!$H$7, "-", '4M'!$F$6, "-", '4M'!$F$5)</f>
        <v>EA/NRW environmental programme (WINEP/NEP)-Investigations-Highway drainage-Wastewater network+ -Expenditure in report year</v>
      </c>
      <c r="F2444" t="s">
        <v>17467</v>
      </c>
      <c r="G2444">
        <f>'4M'!$H$53</f>
        <v>0.51800000000000002</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17467</v>
      </c>
      <c r="G2445">
        <f>'4M'!$I$53</f>
        <v>0.36799999999999999</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17467</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17467</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17467</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17467</v>
      </c>
      <c r="G2449">
        <f>'4M'!$M$53</f>
        <v>0</v>
      </c>
    </row>
    <row r="2450" spans="1:7">
      <c r="A2450" t="s">
        <v>4189</v>
      </c>
      <c r="C2450" t="str">
        <f>'4M'!$BP$53</f>
        <v>B0329INC_TOT</v>
      </c>
      <c r="D2450" t="str">
        <f>_xlfn.CONCAT('4M'!$B$9, "-", '4M'!$B$53, "-", '4M'!$N$6, "-", '4M'!$N$6, "-", '4M'!$F$5)</f>
        <v>EA/NRW environmental programme (WINEP/NEP)-Investigations-Total-Total-Expenditure in report year</v>
      </c>
      <c r="F2450" t="s">
        <v>17467</v>
      </c>
      <c r="G2450">
        <f>'4M'!$N$53</f>
        <v>4.0670000000000002</v>
      </c>
    </row>
    <row r="2451" spans="1:7">
      <c r="A2451" t="s">
        <v>4189</v>
      </c>
      <c r="C2451" t="str">
        <f>'4M'!$BH$54</f>
        <v>B0330INO_F</v>
      </c>
      <c r="D2451" t="str">
        <f>_xlfn.CONCAT('4M'!$B$9, "-", '4M'!$B$54, "-", '4M'!$F$7, "-", '4M'!$F$6, "-", '4M'!$F$5)</f>
        <v>EA/NRW environmental programme (WINEP/NEP)-Investigations-Foul-Wastewater network+ -Expenditure in report year</v>
      </c>
      <c r="F2451" t="s">
        <v>17467</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17467</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17467</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17467</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17467</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17467</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17467</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17467</v>
      </c>
      <c r="G2458">
        <f>'4M'!$M$54</f>
        <v>0</v>
      </c>
    </row>
    <row r="2459" spans="1:7">
      <c r="A2459" t="s">
        <v>4189</v>
      </c>
      <c r="C2459" t="str">
        <f>'4M'!$BP$54</f>
        <v>B0330INO_TOT</v>
      </c>
      <c r="D2459" t="str">
        <f>_xlfn.CONCAT('4M'!$B$9, "-", '4M'!$B$54, "-", '4M'!$N$6, "-", '4M'!$N$6, "-", '4M'!$F$5)</f>
        <v>EA/NRW environmental programme (WINEP/NEP)-Investigations-Total-Total-Expenditure in report year</v>
      </c>
      <c r="F2459" t="s">
        <v>17467</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17467</v>
      </c>
      <c r="G2460">
        <f>'4M'!$F$55</f>
        <v>2.2559999999999998</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17467</v>
      </c>
      <c r="G2461">
        <f>'4M'!$G$55</f>
        <v>0.92500000000000004</v>
      </c>
    </row>
    <row r="2462" spans="1:7">
      <c r="A2462" t="s">
        <v>4189</v>
      </c>
      <c r="C2462" t="str">
        <f>'4M'!$BJ$55</f>
        <v>B0331INT_HD</v>
      </c>
      <c r="D2462" t="str">
        <f>_xlfn.CONCAT('4M'!$B$9, "-", '4M'!$B$55, "-", '4M'!$H$7, "-", '4M'!$F$6, "-", '4M'!$F$5)</f>
        <v>EA/NRW environmental programme (WINEP/NEP)-Investigations-Highway drainage-Wastewater network+ -Expenditure in report year</v>
      </c>
      <c r="F2462" t="s">
        <v>17467</v>
      </c>
      <c r="G2462">
        <f>'4M'!$H$55</f>
        <v>0.51800000000000002</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17467</v>
      </c>
      <c r="G2463">
        <f>'4M'!$I$55</f>
        <v>0.36799999999999999</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17467</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17467</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17467</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17467</v>
      </c>
      <c r="G2467">
        <f>'4M'!$M$55</f>
        <v>0</v>
      </c>
    </row>
    <row r="2468" spans="1:7">
      <c r="A2468" t="s">
        <v>4189</v>
      </c>
      <c r="C2468" t="str">
        <f>'4M'!$BP$55</f>
        <v>B0331INT_TOT</v>
      </c>
      <c r="D2468" t="str">
        <f>_xlfn.CONCAT('4M'!$B$9, "-", '4M'!$B$55, "-", '4M'!$N$6, "-", '4M'!$N$6, "-", '4M'!$F$5)</f>
        <v>EA/NRW environmental programme (WINEP/NEP)-Investigations-Total-Total-Expenditure in report year</v>
      </c>
      <c r="F2468" t="s">
        <v>17467</v>
      </c>
      <c r="G2468">
        <f>'4M'!$N$55</f>
        <v>4.0670000000000002</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17467</v>
      </c>
      <c r="G2469">
        <f>'4M'!$X$55</f>
        <v>11.077</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17467</v>
      </c>
      <c r="G2470">
        <f>'4M'!$Y$55</f>
        <v>4.54</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17467</v>
      </c>
      <c r="G2471">
        <f>'4M'!$Z$55</f>
        <v>7.0759999999999996</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17467</v>
      </c>
      <c r="G2472">
        <f>'4M'!$F$56</f>
        <v>5.1790000000000003</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17467</v>
      </c>
      <c r="G2473">
        <f>'4M'!$G$56</f>
        <v>2.1239999999999997</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17467</v>
      </c>
      <c r="G2474">
        <f>'4M'!$H$56</f>
        <v>1.1890000000000001</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17467</v>
      </c>
      <c r="G2475">
        <f>'4M'!$I$56</f>
        <v>36.596000000000004</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17467</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17467</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17467</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17467</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17467</v>
      </c>
      <c r="G2480">
        <f>'4M'!$N$56</f>
        <v>45.088000000000008</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17467</v>
      </c>
      <c r="G2481">
        <f>'4M'!$X$56</f>
        <v>100.49300000000001</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17467</v>
      </c>
      <c r="G2482">
        <f>'4M'!$Y$56</f>
        <v>148.334</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17467</v>
      </c>
      <c r="G2483">
        <f>'4M'!$Z$56</f>
        <v>231.21699999999998</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17467</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17467</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17467</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17467</v>
      </c>
      <c r="G2487">
        <f>'4M'!$I$59</f>
        <v>5.09</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17467</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17467</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17467</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17467</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17467</v>
      </c>
      <c r="G2492">
        <f>'4M'!$N$59</f>
        <v>5.09</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17467</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17467</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17467</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17467</v>
      </c>
      <c r="G2496">
        <f>'4M'!$R$59</f>
        <v>3.9039999999999999</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17467</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17467</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17467</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17467</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17467</v>
      </c>
      <c r="G2501">
        <f>'4M'!$W$59</f>
        <v>3.9039999999999999</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17467</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17467</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17467</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17467</v>
      </c>
      <c r="G2505">
        <f>'4M'!$I$60</f>
        <v>1.7000000000000001E-2</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17467</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17467</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17467</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17467</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17467</v>
      </c>
      <c r="G2510">
        <f>'4M'!$N$60</f>
        <v>1.7000000000000001E-2</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17467</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17467</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17467</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17467</v>
      </c>
      <c r="G2514">
        <f>'4M'!$R$60</f>
        <v>0.30599999999999999</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17467</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17467</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17467</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17467</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17467</v>
      </c>
      <c r="G2519">
        <f>'4M'!$W$60</f>
        <v>0.30599999999999999</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17467</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17467</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17467</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17467</v>
      </c>
      <c r="G2523">
        <f>'4M'!$I$61</f>
        <v>5.1070000000000002</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17467</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17467</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17467</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17467</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17467</v>
      </c>
      <c r="G2528">
        <f>'4M'!$N$61</f>
        <v>5.1070000000000002</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17467</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17467</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17467</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17467</v>
      </c>
      <c r="G2532">
        <f>'4M'!$R$61</f>
        <v>4.21</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17467</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17467</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17467</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17467</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17467</v>
      </c>
      <c r="G2537">
        <f>'4M'!$W$61</f>
        <v>4.21</v>
      </c>
    </row>
    <row r="2538" spans="1:7">
      <c r="A2538" t="s">
        <v>4189</v>
      </c>
      <c r="C2538" t="str">
        <f>'4M'!$BH$62</f>
        <v>B0336RFC_F</v>
      </c>
      <c r="D2538" t="str">
        <f>_xlfn.CONCAT('4M'!$B$58, "-", '4M'!$B$62, "-", '4M'!$F$7, "-", '4M'!$F$6, "-", '4M'!$F$5)</f>
        <v>Other enhancement-Reduce flooding risk for properties-Foul-Wastewater network+ -Expenditure in report year</v>
      </c>
      <c r="F2538" t="s">
        <v>17467</v>
      </c>
      <c r="G2538">
        <f>'4M'!$F$62</f>
        <v>4.2489999999999997</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17467</v>
      </c>
      <c r="G2539">
        <f>'4M'!$G$62</f>
        <v>1.7410000000000001</v>
      </c>
    </row>
    <row r="2540" spans="1:7">
      <c r="A2540" t="s">
        <v>4189</v>
      </c>
      <c r="C2540" t="str">
        <f>'4M'!$BJ$62</f>
        <v>B0336RFC_HD</v>
      </c>
      <c r="D2540" t="str">
        <f>_xlfn.CONCAT('4M'!$B$58, "-", '4M'!$B$62, "-", '4M'!$H$7, "-", '4M'!$F$6, "-", '4M'!$F$5)</f>
        <v>Other enhancement-Reduce flooding risk for properties-Highway drainage-Wastewater network+ -Expenditure in report year</v>
      </c>
      <c r="F2540" t="s">
        <v>17467</v>
      </c>
      <c r="G2540">
        <f>'4M'!$H$62</f>
        <v>0.97499999999999998</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17467</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17467</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17467</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17467</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17467</v>
      </c>
      <c r="G2545">
        <f>'4M'!$M$62</f>
        <v>0</v>
      </c>
    </row>
    <row r="2546" spans="1:7">
      <c r="A2546" t="s">
        <v>4189</v>
      </c>
      <c r="C2546" t="str">
        <f>'4M'!$BP$62</f>
        <v>B0336RFC_TOT</v>
      </c>
      <c r="D2546" t="str">
        <f>_xlfn.CONCAT('4M'!$B$58, "-", '4M'!$B$62, "-", '4M'!$N$6, "-", '4M'!$N$6, "-", '4M'!$F$5)</f>
        <v>Other enhancement-Reduce flooding risk for properties-Total-Total-Expenditure in report year</v>
      </c>
      <c r="F2546" t="s">
        <v>17467</v>
      </c>
      <c r="G2546">
        <f>'4M'!$N$62</f>
        <v>6.9649999999999999</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17467</v>
      </c>
      <c r="G2547">
        <f>'4M'!$O$62</f>
        <v>7.798</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17467</v>
      </c>
      <c r="G2548">
        <f>'4M'!$P$62</f>
        <v>3.1960000000000002</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17467</v>
      </c>
      <c r="G2549">
        <f>'4M'!$Q$62</f>
        <v>1.79</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17467</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17467</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17467</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17467</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17467</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17467</v>
      </c>
      <c r="G2555">
        <f>'4M'!$W$62</f>
        <v>12.783999999999999</v>
      </c>
    </row>
    <row r="2556" spans="1:7">
      <c r="A2556" t="s">
        <v>4189</v>
      </c>
      <c r="C2556" t="str">
        <f>'4M'!$BH$63</f>
        <v>B0337RFO_F</v>
      </c>
      <c r="D2556" t="str">
        <f>_xlfn.CONCAT('4M'!$B$58, "-", '4M'!$B$63, "-", '4M'!$F$7, "-", '4M'!$F$6, "-", '4M'!$F$5)</f>
        <v>Other enhancement-Reduce flooding risk for properties-Foul-Wastewater network+ -Expenditure in report year</v>
      </c>
      <c r="F2556" t="s">
        <v>17467</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17467</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17467</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17467</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17467</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17467</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17467</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17467</v>
      </c>
      <c r="G2563">
        <f>'4M'!$M$63</f>
        <v>0</v>
      </c>
    </row>
    <row r="2564" spans="1:7">
      <c r="A2564" t="s">
        <v>4189</v>
      </c>
      <c r="C2564" t="str">
        <f>'4M'!$BP$63</f>
        <v>B0337RFO_TOT</v>
      </c>
      <c r="D2564" t="str">
        <f>_xlfn.CONCAT('4M'!$B$58, "-", '4M'!$B$63, "-", '4M'!$N$6, "-", '4M'!$N$6, "-", '4M'!$F$5)</f>
        <v>Other enhancement-Reduce flooding risk for properties-Total-Total-Expenditure in report year</v>
      </c>
      <c r="F2564" t="s">
        <v>17467</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17467</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17467</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17467</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17467</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17467</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17467</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17467</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17467</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17467</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17467</v>
      </c>
      <c r="G2574">
        <f>'4M'!$F$64</f>
        <v>4.2489999999999997</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17467</v>
      </c>
      <c r="G2575">
        <f>'4M'!$G$64</f>
        <v>1.7410000000000001</v>
      </c>
    </row>
    <row r="2576" spans="1:7">
      <c r="A2576" t="s">
        <v>4189</v>
      </c>
      <c r="C2576" t="str">
        <f>'4M'!$BJ$64</f>
        <v>B0338RFT_HD</v>
      </c>
      <c r="D2576" t="str">
        <f>_xlfn.CONCAT('4M'!$B$58, "-", '4M'!$B$64, "-", '4M'!$H$7, "-", '4M'!$F$6, "-", '4M'!$F$5)</f>
        <v>Other enhancement-Reduce flooding risk for properties-Highway drainage-Wastewater network+ -Expenditure in report year</v>
      </c>
      <c r="F2576" t="s">
        <v>17467</v>
      </c>
      <c r="G2576">
        <f>'4M'!$H$64</f>
        <v>0.97499999999999998</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17467</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17467</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17467</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17467</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17467</v>
      </c>
      <c r="G2581">
        <f>'4M'!$M$64</f>
        <v>0</v>
      </c>
    </row>
    <row r="2582" spans="1:7">
      <c r="A2582" t="s">
        <v>4189</v>
      </c>
      <c r="C2582" t="str">
        <f>'4M'!$BP$64</f>
        <v>B0338RFT_TOT</v>
      </c>
      <c r="D2582" t="str">
        <f>_xlfn.CONCAT('4M'!$B$58, "-", '4M'!$B$64, "-", '4M'!$N$6, "-", '4M'!$N$6, "-", '4M'!$F$5)</f>
        <v>Other enhancement-Reduce flooding risk for properties-Total-Total-Expenditure in report year</v>
      </c>
      <c r="F2582" t="s">
        <v>17467</v>
      </c>
      <c r="G2582">
        <f>'4M'!$N$64</f>
        <v>6.9649999999999999</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17467</v>
      </c>
      <c r="G2583">
        <f>'4M'!$O$64</f>
        <v>7.798</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17467</v>
      </c>
      <c r="G2584">
        <f>'4M'!$P$64</f>
        <v>3.1960000000000002</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17467</v>
      </c>
      <c r="G2585">
        <f>'4M'!$Q$64</f>
        <v>1.79</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17467</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17467</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17467</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17467</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17467</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17467</v>
      </c>
      <c r="G2591">
        <f>'4M'!$W$64</f>
        <v>12.783999999999999</v>
      </c>
    </row>
    <row r="2592" spans="1:7">
      <c r="A2592" t="s">
        <v>4189</v>
      </c>
      <c r="C2592" t="str">
        <f>'4M'!$BH$65</f>
        <v>B0339FTC_F</v>
      </c>
      <c r="D2592" t="str">
        <f>_xlfn.CONCAT('4M'!$B$58, "-", '4M'!$B$65, "-", '4M'!$F$7, "-", '4M'!$F$6, "-", '4M'!$F$5)</f>
        <v>Other enhancement-First time sewerage-Foul-Wastewater network+ -Expenditure in report year</v>
      </c>
      <c r="F2592" t="s">
        <v>17467</v>
      </c>
      <c r="G2592">
        <f>'4M'!$F$65</f>
        <v>0.92100000000000004</v>
      </c>
    </row>
    <row r="2593" spans="1:7">
      <c r="A2593" t="s">
        <v>4189</v>
      </c>
      <c r="C2593" t="str">
        <f>'4M'!$BI$65</f>
        <v>B0339FTC_SWD</v>
      </c>
      <c r="D2593" t="str">
        <f>_xlfn.CONCAT('4M'!$B$58, "-", '4M'!$B$65, "-", '4M'!$G$7, "-", '4M'!$F$6, "-", '4M'!$F$5)</f>
        <v>Other enhancement-First time sewerage-Surface water drainage-Wastewater network+ -Expenditure in report year</v>
      </c>
      <c r="F2593" t="s">
        <v>17467</v>
      </c>
      <c r="G2593">
        <f>'4M'!$G$65</f>
        <v>0.378</v>
      </c>
    </row>
    <row r="2594" spans="1:7">
      <c r="A2594" t="s">
        <v>4189</v>
      </c>
      <c r="C2594" t="str">
        <f>'4M'!$BJ$65</f>
        <v>B0339FTC_HD</v>
      </c>
      <c r="D2594" t="str">
        <f>_xlfn.CONCAT('4M'!$B$58, "-", '4M'!$B$65, "-", '4M'!$H$7, "-", '4M'!$F$6, "-", '4M'!$F$5)</f>
        <v>Other enhancement-First time sewerage-Highway drainage-Wastewater network+ -Expenditure in report year</v>
      </c>
      <c r="F2594" t="s">
        <v>17467</v>
      </c>
      <c r="G2594">
        <f>'4M'!$H$65</f>
        <v>0.21099999999999999</v>
      </c>
    </row>
    <row r="2595" spans="1:7">
      <c r="A2595" t="s">
        <v>4189</v>
      </c>
      <c r="C2595" t="str">
        <f>'4M'!$BK$65</f>
        <v>B0339FTC_STD</v>
      </c>
      <c r="D2595" t="str">
        <f>_xlfn.CONCAT('4M'!$B$58, "-", '4M'!$B$65, "-", '4M'!$I$7, "-", '4M'!$F$6, "-", '4M'!$F$5)</f>
        <v>Other enhancement-First time sewerage-Sewage treatment and disposal-Wastewater network+ -Expenditure in report year</v>
      </c>
      <c r="F2595" t="s">
        <v>17467</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17467</v>
      </c>
      <c r="G2596">
        <f>'4M'!$J$65</f>
        <v>0</v>
      </c>
    </row>
    <row r="2597" spans="1:7">
      <c r="A2597" t="s">
        <v>4189</v>
      </c>
      <c r="C2597" t="str">
        <f>'4M'!$BM$65</f>
        <v>B0339FTC_STP</v>
      </c>
      <c r="D2597" t="str">
        <f>_xlfn.CONCAT('4M'!$B$58, "-", '4M'!$B$65, "-", '4M'!$K$7, "-", '4M'!$K$6, "-", '4M'!$F$5)</f>
        <v>Other enhancement-First time sewerage-Sludge transport-Bioresources-Expenditure in report year</v>
      </c>
      <c r="F2597" t="s">
        <v>17467</v>
      </c>
      <c r="G2597">
        <f>'4M'!$K$65</f>
        <v>0</v>
      </c>
    </row>
    <row r="2598" spans="1:7">
      <c r="A2598" t="s">
        <v>4189</v>
      </c>
      <c r="C2598" t="str">
        <f>'4M'!$BN$65</f>
        <v>B0339FTC_SDT</v>
      </c>
      <c r="D2598" t="str">
        <f>_xlfn.CONCAT('4M'!$B$58, "-", '4M'!$B$65, "-", '4M'!$L$7, "-", '4M'!$K$6, "-", '4M'!$F$5)</f>
        <v>Other enhancement-First time sewerage-Sludge treatment-Bioresources-Expenditure in report year</v>
      </c>
      <c r="F2598" t="s">
        <v>17467</v>
      </c>
      <c r="G2598">
        <f>'4M'!$L$65</f>
        <v>0</v>
      </c>
    </row>
    <row r="2599" spans="1:7">
      <c r="A2599" t="s">
        <v>4189</v>
      </c>
      <c r="C2599" t="str">
        <f>'4M'!$BO$65</f>
        <v>B0339FTC_SD</v>
      </c>
      <c r="D2599" t="str">
        <f>_xlfn.CONCAT('4M'!$B$58, "-", '4M'!$B$65, "-", '4M'!$M$7, "-", '4M'!$K$6, "-", '4M'!$F$5)</f>
        <v>Other enhancement-First time sewerage-Sludge disposal-Bioresources-Expenditure in report year</v>
      </c>
      <c r="F2599" t="s">
        <v>17467</v>
      </c>
      <c r="G2599">
        <f>'4M'!$M$65</f>
        <v>0</v>
      </c>
    </row>
    <row r="2600" spans="1:7">
      <c r="A2600" t="s">
        <v>4189</v>
      </c>
      <c r="C2600" t="str">
        <f>'4M'!$BP$65</f>
        <v>B0339FTC_TOT</v>
      </c>
      <c r="D2600" t="str">
        <f>_xlfn.CONCAT('4M'!$B$58, "-", '4M'!$B$65, "-", '4M'!$N$6, "-", '4M'!$N$6, "-", '4M'!$F$5)</f>
        <v>Other enhancement-First time sewerage-Total-Total-Expenditure in report year</v>
      </c>
      <c r="F2600" t="s">
        <v>17467</v>
      </c>
      <c r="G2600">
        <f>'4M'!$N$65</f>
        <v>1.51</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17467</v>
      </c>
      <c r="G2601">
        <f>'4M'!$O$65</f>
        <v>1.1910000000000001</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17467</v>
      </c>
      <c r="G2602">
        <f>'4M'!$P$65</f>
        <v>0.48799999999999999</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17467</v>
      </c>
      <c r="G2603">
        <f>'4M'!$Q$65</f>
        <v>0.27300000000000002</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17467</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17467</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17467</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17467</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17467</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17467</v>
      </c>
      <c r="G2609">
        <f>'4M'!$W$65</f>
        <v>1.952</v>
      </c>
    </row>
    <row r="2610" spans="1:7">
      <c r="A2610" t="s">
        <v>4189</v>
      </c>
      <c r="C2610" t="str">
        <f>'4M'!$BH$66</f>
        <v>B0340FTO_F</v>
      </c>
      <c r="D2610" t="str">
        <f>_xlfn.CONCAT('4M'!$B$58, "-", '4M'!$B$66, "-", '4M'!$F$7, "-", '4M'!$F$6, "-", '4M'!$F$5)</f>
        <v>Other enhancement-First time sewerage-Foul-Wastewater network+ -Expenditure in report year</v>
      </c>
      <c r="F2610" t="s">
        <v>17467</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17467</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17467</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17467</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17467</v>
      </c>
      <c r="G2614">
        <f>'4M'!$J$66</f>
        <v>0</v>
      </c>
    </row>
    <row r="2615" spans="1:7">
      <c r="A2615" t="s">
        <v>4189</v>
      </c>
      <c r="C2615" t="str">
        <f>'4M'!$BM$66</f>
        <v>B0340FTO_STP</v>
      </c>
      <c r="D2615" t="str">
        <f>_xlfn.CONCAT('4M'!$B$58, "-", '4M'!$B$66, "-", '4M'!$K$7, "-", '4M'!$K$6, "-", '4M'!$F$5)</f>
        <v>Other enhancement-First time sewerage-Sludge transport-Bioresources-Expenditure in report year</v>
      </c>
      <c r="F2615" t="s">
        <v>17467</v>
      </c>
      <c r="G2615">
        <f>'4M'!$K$66</f>
        <v>0</v>
      </c>
    </row>
    <row r="2616" spans="1:7">
      <c r="A2616" t="s">
        <v>4189</v>
      </c>
      <c r="C2616" t="str">
        <f>'4M'!$BN$66</f>
        <v>B0340FTO_SDT</v>
      </c>
      <c r="D2616" t="str">
        <f>_xlfn.CONCAT('4M'!$B$58, "-", '4M'!$B$66, "-", '4M'!$L$7, "-", '4M'!$K$6, "-", '4M'!$F$5)</f>
        <v>Other enhancement-First time sewerage-Sludge treatment-Bioresources-Expenditure in report year</v>
      </c>
      <c r="F2616" t="s">
        <v>17467</v>
      </c>
      <c r="G2616">
        <f>'4M'!$L$66</f>
        <v>0</v>
      </c>
    </row>
    <row r="2617" spans="1:7">
      <c r="A2617" t="s">
        <v>4189</v>
      </c>
      <c r="C2617" t="str">
        <f>'4M'!$BO$66</f>
        <v>B0340FTO_SD</v>
      </c>
      <c r="D2617" t="str">
        <f>_xlfn.CONCAT('4M'!$B$58, "-", '4M'!$B$66, "-", '4M'!$M$7, "-", '4M'!$K$6, "-", '4M'!$F$5)</f>
        <v>Other enhancement-First time sewerage-Sludge disposal-Bioresources-Expenditure in report year</v>
      </c>
      <c r="F2617" t="s">
        <v>17467</v>
      </c>
      <c r="G2617">
        <f>'4M'!$M$66</f>
        <v>0</v>
      </c>
    </row>
    <row r="2618" spans="1:7">
      <c r="A2618" t="s">
        <v>4189</v>
      </c>
      <c r="C2618" t="str">
        <f>'4M'!$BP$66</f>
        <v>B0340FTO_TOT</v>
      </c>
      <c r="D2618" t="str">
        <f>_xlfn.CONCAT('4M'!$B$58, "-", '4M'!$B$66, "-", '4M'!$N$6, "-", '4M'!$N$6, "-", '4M'!$F$5)</f>
        <v>Other enhancement-First time sewerage-Total-Total-Expenditure in report year</v>
      </c>
      <c r="F2618" t="s">
        <v>17467</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17467</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17467</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17467</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17467</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17467</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17467</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17467</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17467</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17467</v>
      </c>
      <c r="G2627">
        <f>'4M'!$W$66</f>
        <v>0</v>
      </c>
    </row>
    <row r="2628" spans="1:7">
      <c r="A2628" t="s">
        <v>4189</v>
      </c>
      <c r="C2628" t="str">
        <f>'4M'!$BH$67</f>
        <v>B0341FTT_F</v>
      </c>
      <c r="D2628" t="str">
        <f>_xlfn.CONCAT('4M'!$B$58, "-", '4M'!$B$67, "-", '4M'!$F$7, "-", '4M'!$F$6, "-", '4M'!$F$5)</f>
        <v>Other enhancement-First time sewerage-Foul-Wastewater network+ -Expenditure in report year</v>
      </c>
      <c r="F2628" t="s">
        <v>17467</v>
      </c>
      <c r="G2628">
        <f>'4M'!$F$67</f>
        <v>0.92100000000000004</v>
      </c>
    </row>
    <row r="2629" spans="1:7">
      <c r="A2629" t="s">
        <v>4189</v>
      </c>
      <c r="C2629" t="str">
        <f>'4M'!$BI$67</f>
        <v>B0341FTT_SWD</v>
      </c>
      <c r="D2629" t="str">
        <f>_xlfn.CONCAT('4M'!$B$58, "-", '4M'!$B$67, "-", '4M'!$G$7, "-", '4M'!$F$6, "-", '4M'!$F$5)</f>
        <v>Other enhancement-First time sewerage-Surface water drainage-Wastewater network+ -Expenditure in report year</v>
      </c>
      <c r="F2629" t="s">
        <v>17467</v>
      </c>
      <c r="G2629">
        <f>'4M'!$G$67</f>
        <v>0.378</v>
      </c>
    </row>
    <row r="2630" spans="1:7">
      <c r="A2630" t="s">
        <v>4189</v>
      </c>
      <c r="C2630" t="str">
        <f>'4M'!$BJ$67</f>
        <v>B0341FTT_HD</v>
      </c>
      <c r="D2630" t="str">
        <f>_xlfn.CONCAT('4M'!$B$58, "-", '4M'!$B$67, "-", '4M'!$H$7, "-", '4M'!$F$6, "-", '4M'!$F$5)</f>
        <v>Other enhancement-First time sewerage-Highway drainage-Wastewater network+ -Expenditure in report year</v>
      </c>
      <c r="F2630" t="s">
        <v>17467</v>
      </c>
      <c r="G2630">
        <f>'4M'!$H$67</f>
        <v>0.21099999999999999</v>
      </c>
    </row>
    <row r="2631" spans="1:7">
      <c r="A2631" t="s">
        <v>4189</v>
      </c>
      <c r="C2631" t="str">
        <f>'4M'!$BK$67</f>
        <v>B0341FTT_STD</v>
      </c>
      <c r="D2631" t="str">
        <f>_xlfn.CONCAT('4M'!$B$58, "-", '4M'!$B$67, "-", '4M'!$I$7, "-", '4M'!$F$6, "-", '4M'!$F$5)</f>
        <v>Other enhancement-First time sewerage-Sewage treatment and disposal-Wastewater network+ -Expenditure in report year</v>
      </c>
      <c r="F2631" t="s">
        <v>17467</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17467</v>
      </c>
      <c r="G2632">
        <f>'4M'!$J$67</f>
        <v>0</v>
      </c>
    </row>
    <row r="2633" spans="1:7">
      <c r="A2633" t="s">
        <v>4189</v>
      </c>
      <c r="C2633" t="str">
        <f>'4M'!$BM$67</f>
        <v>B0341FTT_STP</v>
      </c>
      <c r="D2633" t="str">
        <f>_xlfn.CONCAT('4M'!$B$58, "-", '4M'!$B$67, "-", '4M'!$K$7, "-", '4M'!$K$6, "-", '4M'!$F$5)</f>
        <v>Other enhancement-First time sewerage-Sludge transport-Bioresources-Expenditure in report year</v>
      </c>
      <c r="F2633" t="s">
        <v>17467</v>
      </c>
      <c r="G2633">
        <f>'4M'!$K$67</f>
        <v>0</v>
      </c>
    </row>
    <row r="2634" spans="1:7">
      <c r="A2634" t="s">
        <v>4189</v>
      </c>
      <c r="C2634" t="str">
        <f>'4M'!$BN$67</f>
        <v>B0341FTT_SDT</v>
      </c>
      <c r="D2634" t="str">
        <f>_xlfn.CONCAT('4M'!$B$58, "-", '4M'!$B$67, "-", '4M'!$L$7, "-", '4M'!$K$6, "-", '4M'!$F$5)</f>
        <v>Other enhancement-First time sewerage-Sludge treatment-Bioresources-Expenditure in report year</v>
      </c>
      <c r="F2634" t="s">
        <v>17467</v>
      </c>
      <c r="G2634">
        <f>'4M'!$L$67</f>
        <v>0</v>
      </c>
    </row>
    <row r="2635" spans="1:7">
      <c r="A2635" t="s">
        <v>4189</v>
      </c>
      <c r="C2635" t="str">
        <f>'4M'!$BO$67</f>
        <v>B0341FTT_SD</v>
      </c>
      <c r="D2635" t="str">
        <f>_xlfn.CONCAT('4M'!$B$58, "-", '4M'!$B$67, "-", '4M'!$M$7, "-", '4M'!$K$6, "-", '4M'!$F$5)</f>
        <v>Other enhancement-First time sewerage-Sludge disposal-Bioresources-Expenditure in report year</v>
      </c>
      <c r="F2635" t="s">
        <v>17467</v>
      </c>
      <c r="G2635">
        <f>'4M'!$M$67</f>
        <v>0</v>
      </c>
    </row>
    <row r="2636" spans="1:7">
      <c r="A2636" t="s">
        <v>4189</v>
      </c>
      <c r="C2636" t="str">
        <f>'4M'!$BP$67</f>
        <v>B0341FTT_TOT</v>
      </c>
      <c r="D2636" t="str">
        <f>_xlfn.CONCAT('4M'!$B$58, "-", '4M'!$B$67, "-", '4M'!$N$6, "-", '4M'!$N$6, "-", '4M'!$F$5)</f>
        <v>Other enhancement-First time sewerage-Total-Total-Expenditure in report year</v>
      </c>
      <c r="F2636" t="s">
        <v>17467</v>
      </c>
      <c r="G2636">
        <f>'4M'!$N$67</f>
        <v>1.51</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17467</v>
      </c>
      <c r="G2637">
        <f>'4M'!$O$67</f>
        <v>1.1910000000000001</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17467</v>
      </c>
      <c r="G2638">
        <f>'4M'!$P$67</f>
        <v>0.48799999999999999</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17467</v>
      </c>
      <c r="G2639">
        <f>'4M'!$Q$67</f>
        <v>0.27300000000000002</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17467</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17467</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17467</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17467</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17467</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17467</v>
      </c>
      <c r="G2645">
        <f>'4M'!$W$67</f>
        <v>1.952</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17467</v>
      </c>
      <c r="G2646">
        <f>'4M'!$X$67</f>
        <v>3.0529999999999999</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17467</v>
      </c>
      <c r="G2647">
        <f>'4M'!$Y$67</f>
        <v>3.34</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17467</v>
      </c>
      <c r="G2648">
        <f>'4M'!$Z$67</f>
        <v>5.2050000000000001</v>
      </c>
    </row>
    <row r="2649" spans="1:7">
      <c r="A2649" t="s">
        <v>4189</v>
      </c>
      <c r="C2649" t="str">
        <f>'4M'!$BH$68</f>
        <v>B0342SEC_F</v>
      </c>
      <c r="D2649" t="str">
        <f>_xlfn.CONCAT('4M'!$B$58, "-", '4M'!$B$68, "-", '4M'!$F$7, "-", '4M'!$F$6, "-", '4M'!$F$5)</f>
        <v>Other enhancement-Sludge enhancement (quality)-Foul-Wastewater network+ -Expenditure in report year</v>
      </c>
      <c r="F2649" t="s">
        <v>17467</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17467</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17467</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17467</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17467</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17467</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17467</v>
      </c>
      <c r="G2655">
        <f>'4M'!$L$68</f>
        <v>3.3980000000000001</v>
      </c>
    </row>
    <row r="2656" spans="1:7">
      <c r="A2656" t="s">
        <v>4189</v>
      </c>
      <c r="C2656" t="str">
        <f>'4M'!$BO$68</f>
        <v>B0342SEC_SD</v>
      </c>
      <c r="D2656" t="str">
        <f>_xlfn.CONCAT('4M'!$B$58, "-", '4M'!$B$68, "-", '4M'!$M$7, "-", '4M'!$K$6, "-", '4M'!$F$5)</f>
        <v>Other enhancement-Sludge enhancement (quality)-Sludge disposal-Bioresources-Expenditure in report year</v>
      </c>
      <c r="F2656" t="s">
        <v>17467</v>
      </c>
      <c r="G2656">
        <f>'4M'!$M$68</f>
        <v>0</v>
      </c>
    </row>
    <row r="2657" spans="1:7">
      <c r="A2657" t="s">
        <v>4189</v>
      </c>
      <c r="C2657" t="str">
        <f>'4M'!$BP$68</f>
        <v>B0342SEC_TOT</v>
      </c>
      <c r="D2657" t="str">
        <f>_xlfn.CONCAT('4M'!$B$58, "-", '4M'!$B$68, "-", '4M'!$N$6, "-", '4M'!$N$6, "-", '4M'!$F$5)</f>
        <v>Other enhancement-Sludge enhancement (quality)-Total-Total-Expenditure in report year</v>
      </c>
      <c r="F2657" t="s">
        <v>17467</v>
      </c>
      <c r="G2657">
        <f>'4M'!$N$68</f>
        <v>3.3980000000000001</v>
      </c>
    </row>
    <row r="2658" spans="1:7">
      <c r="A2658" t="s">
        <v>4189</v>
      </c>
      <c r="C2658" t="str">
        <f>'4M'!$BH$69</f>
        <v>B0343SEO_F</v>
      </c>
      <c r="D2658" t="str">
        <f>_xlfn.CONCAT('4M'!$B$58, "-", '4M'!$B$69, "-", '4M'!$F$7, "-", '4M'!$F$6, "-", '4M'!$F$5)</f>
        <v>Other enhancement-Sludge enhancement (quality)-Foul-Wastewater network+ -Expenditure in report year</v>
      </c>
      <c r="F2658" t="s">
        <v>17467</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17467</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17467</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17467</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17467</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17467</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17467</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17467</v>
      </c>
      <c r="G2665">
        <f>'4M'!$M$69</f>
        <v>0</v>
      </c>
    </row>
    <row r="2666" spans="1:7">
      <c r="A2666" t="s">
        <v>4189</v>
      </c>
      <c r="C2666" t="str">
        <f>'4M'!$BP$69</f>
        <v>B0343SEO_TOT</v>
      </c>
      <c r="D2666" t="str">
        <f>_xlfn.CONCAT('4M'!$B$58, "-", '4M'!$B$69, "-", '4M'!$N$6, "-", '4M'!$N$6, "-", '4M'!$F$5)</f>
        <v>Other enhancement-Sludge enhancement (quality)-Total-Total-Expenditure in report year</v>
      </c>
      <c r="F2666" t="s">
        <v>17467</v>
      </c>
      <c r="G2666">
        <f>'4M'!$N$69</f>
        <v>0</v>
      </c>
    </row>
    <row r="2667" spans="1:7">
      <c r="A2667" t="s">
        <v>4189</v>
      </c>
      <c r="C2667" t="str">
        <f>'4M'!$BH$70</f>
        <v>B0344SET_F</v>
      </c>
      <c r="D2667" t="str">
        <f>_xlfn.CONCAT('4M'!$B$58, "-", '4M'!$B$70, "-", '4M'!$F$7, "-", '4M'!$F$6, "-", '4M'!$F$5)</f>
        <v>Other enhancement-Sludge enhancement (quality)-Foul-Wastewater network+ -Expenditure in report year</v>
      </c>
      <c r="F2667" t="s">
        <v>17467</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17467</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17467</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17467</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17467</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17467</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17467</v>
      </c>
      <c r="G2673">
        <f>'4M'!$L$70</f>
        <v>3.3980000000000001</v>
      </c>
    </row>
    <row r="2674" spans="1:7">
      <c r="A2674" t="s">
        <v>4189</v>
      </c>
      <c r="C2674" t="str">
        <f>'4M'!$BO$70</f>
        <v>B0344SET_SD</v>
      </c>
      <c r="D2674" t="str">
        <f>_xlfn.CONCAT('4M'!$B$58, "-", '4M'!$B$70, "-", '4M'!$M$7, "-", '4M'!$K$6, "-", '4M'!$F$5)</f>
        <v>Other enhancement-Sludge enhancement (quality)-Sludge disposal-Bioresources-Expenditure in report year</v>
      </c>
      <c r="F2674" t="s">
        <v>17467</v>
      </c>
      <c r="G2674">
        <f>'4M'!$M$70</f>
        <v>0</v>
      </c>
    </row>
    <row r="2675" spans="1:7">
      <c r="A2675" t="s">
        <v>4189</v>
      </c>
      <c r="C2675" t="str">
        <f>'4M'!$BP$70</f>
        <v>B0344SET_TOT</v>
      </c>
      <c r="D2675" t="str">
        <f>_xlfn.CONCAT('4M'!$B$58, "-", '4M'!$B$70, "-", '4M'!$N$6, "-", '4M'!$N$6, "-", '4M'!$F$5)</f>
        <v>Other enhancement-Sludge enhancement (quality)-Total-Total-Expenditure in report year</v>
      </c>
      <c r="F2675" t="s">
        <v>17467</v>
      </c>
      <c r="G2675">
        <f>'4M'!$N$70</f>
        <v>3.3980000000000001</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17467</v>
      </c>
      <c r="G2676">
        <f>'4M'!$X$70</f>
        <v>3.7370000000000001</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17467</v>
      </c>
      <c r="G2677">
        <f>'4M'!$Y$70</f>
        <v>3.9889999999999999</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17467</v>
      </c>
      <c r="G2678">
        <f>'4M'!$Z$70</f>
        <v>6.7869999999999999</v>
      </c>
    </row>
    <row r="2679" spans="1:7">
      <c r="A2679" t="s">
        <v>4189</v>
      </c>
      <c r="C2679" t="str">
        <f>'4M'!$BH$71</f>
        <v>B0345SEC_F</v>
      </c>
      <c r="D2679" t="str">
        <f>_xlfn.CONCAT('4M'!$B$58, "-", '4M'!$B$71, "-", '4M'!$F$7, "-", '4M'!$F$6, "-", '4M'!$F$5)</f>
        <v>Other enhancement-Sludge enhancement (growth)-Foul-Wastewater network+ -Expenditure in report year</v>
      </c>
      <c r="F2679" t="s">
        <v>17467</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17467</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17467</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17467</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17467</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17467</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17467</v>
      </c>
      <c r="G2685">
        <f>'4M'!$L$71</f>
        <v>3.7999999999999999E-2</v>
      </c>
    </row>
    <row r="2686" spans="1:7">
      <c r="A2686" t="s">
        <v>4189</v>
      </c>
      <c r="C2686" t="str">
        <f>'4M'!$BO$71</f>
        <v>B0345SEC_SD</v>
      </c>
      <c r="D2686" t="str">
        <f>_xlfn.CONCAT('4M'!$B$58, "-", '4M'!$B$71, "-", '4M'!$M$7, "-", '4M'!$K$6, "-", '4M'!$F$5)</f>
        <v>Other enhancement-Sludge enhancement (growth)-Sludge disposal-Bioresources-Expenditure in report year</v>
      </c>
      <c r="F2686" t="s">
        <v>17467</v>
      </c>
      <c r="G2686">
        <f>'4M'!$M$71</f>
        <v>0</v>
      </c>
    </row>
    <row r="2687" spans="1:7">
      <c r="A2687" t="s">
        <v>4189</v>
      </c>
      <c r="C2687" t="str">
        <f>'4M'!$BP$71</f>
        <v>B0345SEC_TOT</v>
      </c>
      <c r="D2687" t="str">
        <f>_xlfn.CONCAT('4M'!$B$58, "-", '4M'!$B$71, "-", '4M'!$N$6, "-", '4M'!$N$6, "-", '4M'!$F$5)</f>
        <v>Other enhancement-Sludge enhancement (growth)-Total-Total-Expenditure in report year</v>
      </c>
      <c r="F2687" t="s">
        <v>17467</v>
      </c>
      <c r="G2687">
        <f>'4M'!$N$71</f>
        <v>3.7999999999999999E-2</v>
      </c>
    </row>
    <row r="2688" spans="1:7">
      <c r="A2688" t="s">
        <v>4189</v>
      </c>
      <c r="C2688" t="str">
        <f>'4M'!$BH$72</f>
        <v>B0346SEO_F</v>
      </c>
      <c r="D2688" t="str">
        <f>_xlfn.CONCAT('4M'!$B$58, "-", '4M'!$B$72, "-", '4M'!$F$7, "-", '4M'!$F$6, "-", '4M'!$F$5)</f>
        <v>Other enhancement-Sludge enhancement (growth)-Foul-Wastewater network+ -Expenditure in report year</v>
      </c>
      <c r="F2688" t="s">
        <v>17467</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17467</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17467</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17467</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17467</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17467</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17467</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17467</v>
      </c>
      <c r="G2695">
        <f>'4M'!$M$72</f>
        <v>0</v>
      </c>
    </row>
    <row r="2696" spans="1:7">
      <c r="A2696" t="s">
        <v>4189</v>
      </c>
      <c r="C2696" t="str">
        <f>'4M'!$BP$72</f>
        <v>B0346SEO_TOT</v>
      </c>
      <c r="D2696" t="str">
        <f>_xlfn.CONCAT('4M'!$B$58, "-", '4M'!$B$72, "-", '4M'!$N$6, "-", '4M'!$N$6, "-", '4M'!$F$5)</f>
        <v>Other enhancement-Sludge enhancement (growth)-Total-Total-Expenditure in report year</v>
      </c>
      <c r="F2696" t="s">
        <v>17467</v>
      </c>
      <c r="G2696">
        <f>'4M'!$N$72</f>
        <v>0</v>
      </c>
    </row>
    <row r="2697" spans="1:7">
      <c r="A2697" t="s">
        <v>4189</v>
      </c>
      <c r="C2697" t="str">
        <f>'4M'!$BH$73</f>
        <v>B0347SET_F</v>
      </c>
      <c r="D2697" t="str">
        <f>_xlfn.CONCAT('4M'!$B$58, "-", '4M'!$B$73, "-", '4M'!$F$7, "-", '4M'!$F$6, "-", '4M'!$F$5)</f>
        <v>Other enhancement-Sludge enhancement (growth)-Foul-Wastewater network+ -Expenditure in report year</v>
      </c>
      <c r="F2697" t="s">
        <v>17467</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17467</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17467</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17467</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17467</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17467</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17467</v>
      </c>
      <c r="G2703">
        <f>'4M'!$L$73</f>
        <v>3.7999999999999999E-2</v>
      </c>
    </row>
    <row r="2704" spans="1:7">
      <c r="A2704" t="s">
        <v>4189</v>
      </c>
      <c r="C2704" t="str">
        <f>'4M'!$BO$73</f>
        <v>B0347SET_SD</v>
      </c>
      <c r="D2704" t="str">
        <f>_xlfn.CONCAT('4M'!$B$58, "-", '4M'!$B$73, "-", '4M'!$M$7, "-", '4M'!$K$6, "-", '4M'!$F$5)</f>
        <v>Other enhancement-Sludge enhancement (growth)-Sludge disposal-Bioresources-Expenditure in report year</v>
      </c>
      <c r="F2704" t="s">
        <v>17467</v>
      </c>
      <c r="G2704">
        <f>'4M'!$M$73</f>
        <v>0</v>
      </c>
    </row>
    <row r="2705" spans="1:7">
      <c r="A2705" t="s">
        <v>4189</v>
      </c>
      <c r="C2705" t="str">
        <f>'4M'!$BP$73</f>
        <v>B0347SET_TOT</v>
      </c>
      <c r="D2705" t="str">
        <f>_xlfn.CONCAT('4M'!$B$58, "-", '4M'!$B$73, "-", '4M'!$N$6, "-", '4M'!$N$6, "-", '4M'!$F$5)</f>
        <v>Other enhancement-Sludge enhancement (growth)-Total-Total-Expenditure in report year</v>
      </c>
      <c r="F2705" t="s">
        <v>17467</v>
      </c>
      <c r="G2705">
        <f>'4M'!$N$73</f>
        <v>3.7999999999999999E-2</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17467</v>
      </c>
      <c r="G2706">
        <f>'4M'!$X$73</f>
        <v>3.2749999999999999</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17467</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17467</v>
      </c>
      <c r="G2708">
        <f>'4M'!$Z$73</f>
        <v>0</v>
      </c>
    </row>
    <row r="2709" spans="1:7">
      <c r="A2709" t="s">
        <v>4189</v>
      </c>
      <c r="C2709" t="str">
        <f>'4M'!$BH$74</f>
        <v>B0348ODC_F</v>
      </c>
      <c r="D2709" t="str">
        <f>_xlfn.CONCAT('4M'!$B$58, "-", '4M'!$B$74, "-", '4M'!$F$7, "-", '4M'!$F$6, "-", '4M'!$F$5)</f>
        <v>Other enhancement-Odour-Foul-Wastewater network+ -Expenditure in report year</v>
      </c>
      <c r="F2709" t="s">
        <v>17467</v>
      </c>
      <c r="G2709">
        <f>'4M'!$F$74</f>
        <v>0</v>
      </c>
    </row>
    <row r="2710" spans="1:7">
      <c r="A2710" t="s">
        <v>4189</v>
      </c>
      <c r="C2710" t="str">
        <f>'4M'!$BI$74</f>
        <v>B0348ODC_SWD</v>
      </c>
      <c r="D2710" t="str">
        <f>_xlfn.CONCAT('4M'!$B$58, "-", '4M'!$B$74, "-", '4M'!$G$7, "-", '4M'!$F$6, "-", '4M'!$F$5)</f>
        <v>Other enhancement-Odour-Surface water drainage-Wastewater network+ -Expenditure in report year</v>
      </c>
      <c r="F2710" t="s">
        <v>17467</v>
      </c>
      <c r="G2710">
        <f>'4M'!$G$74</f>
        <v>0</v>
      </c>
    </row>
    <row r="2711" spans="1:7">
      <c r="A2711" t="s">
        <v>4189</v>
      </c>
      <c r="C2711" t="str">
        <f>'4M'!$BJ$74</f>
        <v>B0348ODC_HD</v>
      </c>
      <c r="D2711" t="str">
        <f>_xlfn.CONCAT('4M'!$B$58, "-", '4M'!$B$74, "-", '4M'!$H$7, "-", '4M'!$F$6, "-", '4M'!$F$5)</f>
        <v>Other enhancement-Odour-Highway drainage-Wastewater network+ -Expenditure in report year</v>
      </c>
      <c r="F2711" t="s">
        <v>17467</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17467</v>
      </c>
      <c r="G2712">
        <f>'4M'!$I$74</f>
        <v>0.26</v>
      </c>
    </row>
    <row r="2713" spans="1:7">
      <c r="A2713" t="s">
        <v>4189</v>
      </c>
      <c r="C2713" t="str">
        <f>'4M'!$BL$74</f>
        <v>B0348ODC_SLT</v>
      </c>
      <c r="D2713" t="str">
        <f>_xlfn.CONCAT('4M'!$B$58, "-", '4M'!$B$74, "-", '4M'!$J$7, "-", '4M'!$F$6, "-", '4M'!$F$5)</f>
        <v>Other enhancement-Odour-Sludge liquor treatment-Wastewater network+ -Expenditure in report year</v>
      </c>
      <c r="F2713" t="s">
        <v>17467</v>
      </c>
      <c r="G2713">
        <f>'4M'!$J$74</f>
        <v>0</v>
      </c>
    </row>
    <row r="2714" spans="1:7">
      <c r="A2714" t="s">
        <v>4189</v>
      </c>
      <c r="C2714" t="str">
        <f>'4M'!$BM$74</f>
        <v>B0348ODC_STP</v>
      </c>
      <c r="D2714" t="str">
        <f>_xlfn.CONCAT('4M'!$B$58, "-", '4M'!$B$74, "-", '4M'!$K$7, "-", '4M'!$K$6, "-", '4M'!$F$5)</f>
        <v>Other enhancement-Odour-Sludge transport-Bioresources-Expenditure in report year</v>
      </c>
      <c r="F2714" t="s">
        <v>17467</v>
      </c>
      <c r="G2714">
        <f>'4M'!$K$74</f>
        <v>0</v>
      </c>
    </row>
    <row r="2715" spans="1:7">
      <c r="A2715" t="s">
        <v>4189</v>
      </c>
      <c r="C2715" t="str">
        <f>'4M'!$BN$74</f>
        <v>B0348ODC_SDT</v>
      </c>
      <c r="D2715" t="str">
        <f>_xlfn.CONCAT('4M'!$B$58, "-", '4M'!$B$74, "-", '4M'!$L$7, "-", '4M'!$K$6, "-", '4M'!$F$5)</f>
        <v>Other enhancement-Odour-Sludge treatment-Bioresources-Expenditure in report year</v>
      </c>
      <c r="F2715" t="s">
        <v>17467</v>
      </c>
      <c r="G2715">
        <f>'4M'!$L$74</f>
        <v>0</v>
      </c>
    </row>
    <row r="2716" spans="1:7">
      <c r="A2716" t="s">
        <v>4189</v>
      </c>
      <c r="C2716" t="str">
        <f>'4M'!$BO$74</f>
        <v>B0348ODC_SD</v>
      </c>
      <c r="D2716" t="str">
        <f>_xlfn.CONCAT('4M'!$B$58, "-", '4M'!$B$74, "-", '4M'!$M$7, "-", '4M'!$K$6, "-", '4M'!$F$5)</f>
        <v>Other enhancement-Odour-Sludge disposal-Bioresources-Expenditure in report year</v>
      </c>
      <c r="F2716" t="s">
        <v>17467</v>
      </c>
      <c r="G2716">
        <f>'4M'!$M$74</f>
        <v>0</v>
      </c>
    </row>
    <row r="2717" spans="1:7">
      <c r="A2717" t="s">
        <v>4189</v>
      </c>
      <c r="C2717" t="str">
        <f>'4M'!$BP$74</f>
        <v>B0348ODC_TOT</v>
      </c>
      <c r="D2717" t="str">
        <f>_xlfn.CONCAT('4M'!$B$58, "-", '4M'!$B$74, "-", '4M'!$N$6, "-", '4M'!$N$6, "-", '4M'!$F$5)</f>
        <v>Other enhancement-Odour-Total-Total-Expenditure in report year</v>
      </c>
      <c r="F2717" t="s">
        <v>17467</v>
      </c>
      <c r="G2717">
        <f>'4M'!$N$74</f>
        <v>0.26</v>
      </c>
    </row>
    <row r="2718" spans="1:7">
      <c r="A2718" t="s">
        <v>4189</v>
      </c>
      <c r="C2718" t="str">
        <f>'4M'!$BH$75</f>
        <v>B0349ODO_F</v>
      </c>
      <c r="D2718" t="str">
        <f>_xlfn.CONCAT('4M'!$B$58, "-", '4M'!$B$75, "-", '4M'!$F$7, "-", '4M'!$F$6, "-", '4M'!$F$5)</f>
        <v>Other enhancement-Odour-Foul-Wastewater network+ -Expenditure in report year</v>
      </c>
      <c r="F2718" t="s">
        <v>17467</v>
      </c>
      <c r="G2718">
        <f>'4M'!$F$75</f>
        <v>0</v>
      </c>
    </row>
    <row r="2719" spans="1:7">
      <c r="A2719" t="s">
        <v>4189</v>
      </c>
      <c r="C2719" t="str">
        <f>'4M'!$BI$75</f>
        <v>B0349ODO_SWD</v>
      </c>
      <c r="D2719" t="str">
        <f>_xlfn.CONCAT('4M'!$B$58, "-", '4M'!$B$75, "-", '4M'!$G$7, "-", '4M'!$F$6, "-", '4M'!$F$5)</f>
        <v>Other enhancement-Odour-Surface water drainage-Wastewater network+ -Expenditure in report year</v>
      </c>
      <c r="F2719" t="s">
        <v>17467</v>
      </c>
      <c r="G2719">
        <f>'4M'!$G$75</f>
        <v>0</v>
      </c>
    </row>
    <row r="2720" spans="1:7">
      <c r="A2720" t="s">
        <v>4189</v>
      </c>
      <c r="C2720" t="str">
        <f>'4M'!$BJ$75</f>
        <v>B0349ODO_HD</v>
      </c>
      <c r="D2720" t="str">
        <f>_xlfn.CONCAT('4M'!$B$58, "-", '4M'!$B$75, "-", '4M'!$H$7, "-", '4M'!$F$6, "-", '4M'!$F$5)</f>
        <v>Other enhancement-Odour-Highway drainage-Wastewater network+ -Expenditure in report year</v>
      </c>
      <c r="F2720" t="s">
        <v>17467</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17467</v>
      </c>
      <c r="G2721">
        <f>'4M'!$I$75</f>
        <v>0</v>
      </c>
    </row>
    <row r="2722" spans="1:7">
      <c r="A2722" t="s">
        <v>4189</v>
      </c>
      <c r="C2722" t="str">
        <f>'4M'!$BL$75</f>
        <v>B0349ODO_SLT</v>
      </c>
      <c r="D2722" t="str">
        <f>_xlfn.CONCAT('4M'!$B$58, "-", '4M'!$B$75, "-", '4M'!$J$7, "-", '4M'!$F$6, "-", '4M'!$F$5)</f>
        <v>Other enhancement-Odour-Sludge liquor treatment-Wastewater network+ -Expenditure in report year</v>
      </c>
      <c r="F2722" t="s">
        <v>17467</v>
      </c>
      <c r="G2722">
        <f>'4M'!$J$75</f>
        <v>0</v>
      </c>
    </row>
    <row r="2723" spans="1:7">
      <c r="A2723" t="s">
        <v>4189</v>
      </c>
      <c r="C2723" t="str">
        <f>'4M'!$BM$75</f>
        <v>B0349ODO_STP</v>
      </c>
      <c r="D2723" t="str">
        <f>_xlfn.CONCAT('4M'!$B$58, "-", '4M'!$B$75, "-", '4M'!$K$7, "-", '4M'!$K$6, "-", '4M'!$F$5)</f>
        <v>Other enhancement-Odour-Sludge transport-Bioresources-Expenditure in report year</v>
      </c>
      <c r="F2723" t="s">
        <v>17467</v>
      </c>
      <c r="G2723">
        <f>'4M'!$K$75</f>
        <v>0</v>
      </c>
    </row>
    <row r="2724" spans="1:7">
      <c r="A2724" t="s">
        <v>4189</v>
      </c>
      <c r="C2724" t="str">
        <f>'4M'!$BN$75</f>
        <v>B0349ODO_SDT</v>
      </c>
      <c r="D2724" t="str">
        <f>_xlfn.CONCAT('4M'!$B$58, "-", '4M'!$B$75, "-", '4M'!$L$7, "-", '4M'!$K$6, "-", '4M'!$F$5)</f>
        <v>Other enhancement-Odour-Sludge treatment-Bioresources-Expenditure in report year</v>
      </c>
      <c r="F2724" t="s">
        <v>17467</v>
      </c>
      <c r="G2724">
        <f>'4M'!$L$75</f>
        <v>0</v>
      </c>
    </row>
    <row r="2725" spans="1:7">
      <c r="A2725" t="s">
        <v>4189</v>
      </c>
      <c r="C2725" t="str">
        <f>'4M'!$BO$75</f>
        <v>B0349ODO_SD</v>
      </c>
      <c r="D2725" t="str">
        <f>_xlfn.CONCAT('4M'!$B$58, "-", '4M'!$B$75, "-", '4M'!$M$7, "-", '4M'!$K$6, "-", '4M'!$F$5)</f>
        <v>Other enhancement-Odour-Sludge disposal-Bioresources-Expenditure in report year</v>
      </c>
      <c r="F2725" t="s">
        <v>17467</v>
      </c>
      <c r="G2725">
        <f>'4M'!$M$75</f>
        <v>0</v>
      </c>
    </row>
    <row r="2726" spans="1:7">
      <c r="A2726" t="s">
        <v>4189</v>
      </c>
      <c r="C2726" t="str">
        <f>'4M'!$BP$75</f>
        <v>B0349ODO_TOT</v>
      </c>
      <c r="D2726" t="str">
        <f>_xlfn.CONCAT('4M'!$B$58, "-", '4M'!$B$75, "-", '4M'!$N$6, "-", '4M'!$N$6, "-", '4M'!$F$5)</f>
        <v>Other enhancement-Odour-Total-Total-Expenditure in report year</v>
      </c>
      <c r="F2726" t="s">
        <v>17467</v>
      </c>
      <c r="G2726">
        <f>'4M'!$N$75</f>
        <v>0</v>
      </c>
    </row>
    <row r="2727" spans="1:7">
      <c r="A2727" t="s">
        <v>4189</v>
      </c>
      <c r="C2727" t="str">
        <f>'4M'!$BH$76</f>
        <v>B0350ODT_F</v>
      </c>
      <c r="D2727" t="str">
        <f>_xlfn.CONCAT('4M'!$B$58, "-", '4M'!$B$76, "-", '4M'!$F$7, "-", '4M'!$F$6, "-", '4M'!$F$5)</f>
        <v>Other enhancement-Odour-Foul-Wastewater network+ -Expenditure in report year</v>
      </c>
      <c r="F2727" t="s">
        <v>17467</v>
      </c>
      <c r="G2727">
        <f>'4M'!$F$76</f>
        <v>0</v>
      </c>
    </row>
    <row r="2728" spans="1:7">
      <c r="A2728" t="s">
        <v>4189</v>
      </c>
      <c r="C2728" t="str">
        <f>'4M'!$BI$76</f>
        <v>B0350ODT_SWD</v>
      </c>
      <c r="D2728" t="str">
        <f>_xlfn.CONCAT('4M'!$B$58, "-", '4M'!$B$76, "-", '4M'!$G$7, "-", '4M'!$F$6, "-", '4M'!$F$5)</f>
        <v>Other enhancement-Odour-Surface water drainage-Wastewater network+ -Expenditure in report year</v>
      </c>
      <c r="F2728" t="s">
        <v>17467</v>
      </c>
      <c r="G2728">
        <f>'4M'!$G$76</f>
        <v>0</v>
      </c>
    </row>
    <row r="2729" spans="1:7">
      <c r="A2729" t="s">
        <v>4189</v>
      </c>
      <c r="C2729" t="str">
        <f>'4M'!$BJ$76</f>
        <v>B0350ODT_HD</v>
      </c>
      <c r="D2729" t="str">
        <f>_xlfn.CONCAT('4M'!$B$58, "-", '4M'!$B$76, "-", '4M'!$H$7, "-", '4M'!$F$6, "-", '4M'!$F$5)</f>
        <v>Other enhancement-Odour-Highway drainage-Wastewater network+ -Expenditure in report year</v>
      </c>
      <c r="F2729" t="s">
        <v>17467</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17467</v>
      </c>
      <c r="G2730">
        <f>'4M'!$I$76</f>
        <v>0.26</v>
      </c>
    </row>
    <row r="2731" spans="1:7">
      <c r="A2731" t="s">
        <v>4189</v>
      </c>
      <c r="C2731" t="str">
        <f>'4M'!$BL$76</f>
        <v>B0350ODT_SLT</v>
      </c>
      <c r="D2731" t="str">
        <f>_xlfn.CONCAT('4M'!$B$58, "-", '4M'!$B$76, "-", '4M'!$J$7, "-", '4M'!$F$6, "-", '4M'!$F$5)</f>
        <v>Other enhancement-Odour-Sludge liquor treatment-Wastewater network+ -Expenditure in report year</v>
      </c>
      <c r="F2731" t="s">
        <v>17467</v>
      </c>
      <c r="G2731">
        <f>'4M'!$J$76</f>
        <v>0</v>
      </c>
    </row>
    <row r="2732" spans="1:7">
      <c r="A2732" t="s">
        <v>4189</v>
      </c>
      <c r="C2732" t="str">
        <f>'4M'!$BM$76</f>
        <v>B0350ODT_STP</v>
      </c>
      <c r="D2732" t="str">
        <f>_xlfn.CONCAT('4M'!$B$58, "-", '4M'!$B$76, "-", '4M'!$K$7, "-", '4M'!$K$6, "-", '4M'!$F$5)</f>
        <v>Other enhancement-Odour-Sludge transport-Bioresources-Expenditure in report year</v>
      </c>
      <c r="F2732" t="s">
        <v>17467</v>
      </c>
      <c r="G2732">
        <f>'4M'!$K$76</f>
        <v>0</v>
      </c>
    </row>
    <row r="2733" spans="1:7">
      <c r="A2733" t="s">
        <v>4189</v>
      </c>
      <c r="C2733" t="str">
        <f>'4M'!$BN$76</f>
        <v>B0350ODT_SDT</v>
      </c>
      <c r="D2733" t="str">
        <f>_xlfn.CONCAT('4M'!$B$58, "-", '4M'!$B$76, "-", '4M'!$L$7, "-", '4M'!$K$6, "-", '4M'!$F$5)</f>
        <v>Other enhancement-Odour-Sludge treatment-Bioresources-Expenditure in report year</v>
      </c>
      <c r="F2733" t="s">
        <v>17467</v>
      </c>
      <c r="G2733">
        <f>'4M'!$L$76</f>
        <v>0</v>
      </c>
    </row>
    <row r="2734" spans="1:7">
      <c r="A2734" t="s">
        <v>4189</v>
      </c>
      <c r="C2734" t="str">
        <f>'4M'!$BO$76</f>
        <v>B0350ODT_SD</v>
      </c>
      <c r="D2734" t="str">
        <f>_xlfn.CONCAT('4M'!$B$58, "-", '4M'!$B$76, "-", '4M'!$M$7, "-", '4M'!$K$6, "-", '4M'!$F$5)</f>
        <v>Other enhancement-Odour-Sludge disposal-Bioresources-Expenditure in report year</v>
      </c>
      <c r="F2734" t="s">
        <v>17467</v>
      </c>
      <c r="G2734">
        <f>'4M'!$M$76</f>
        <v>0</v>
      </c>
    </row>
    <row r="2735" spans="1:7">
      <c r="A2735" t="s">
        <v>4189</v>
      </c>
      <c r="C2735" t="str">
        <f>'4M'!$BP$76</f>
        <v>B0350ODT_TOT</v>
      </c>
      <c r="D2735" t="str">
        <f>_xlfn.CONCAT('4M'!$B$58, "-", '4M'!$B$76, "-", '4M'!$N$6, "-", '4M'!$N$6, "-", '4M'!$F$5)</f>
        <v>Other enhancement-Odour-Total-Total-Expenditure in report year</v>
      </c>
      <c r="F2735" t="s">
        <v>17467</v>
      </c>
      <c r="G2735">
        <f>'4M'!$N$76</f>
        <v>0.26</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17467</v>
      </c>
      <c r="G2736">
        <f>'4M'!$X$76</f>
        <v>2.8250000000000002</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17467</v>
      </c>
      <c r="G2737">
        <f>'4M'!$Y$76</f>
        <v>2.278</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17467</v>
      </c>
      <c r="G2738">
        <f>'4M'!$Z$76</f>
        <v>3.6139999999999999</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17467</v>
      </c>
      <c r="G2739">
        <f>'4M'!$F$77</f>
        <v>0.10199999999999999</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17467</v>
      </c>
      <c r="G2740">
        <f>'4M'!$G$77</f>
        <v>4.2000000000000003E-2</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17467</v>
      </c>
      <c r="G2741">
        <f>'4M'!$H$77</f>
        <v>2.3E-2</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17467</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17467</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17467</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17467</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17467</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17467</v>
      </c>
      <c r="G2747">
        <f>'4M'!$N$77</f>
        <v>0.16699999999999998</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17467</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17467</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17467</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17467</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17467</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17467</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17467</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17467</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17467</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17467</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17467</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17467</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17467</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17467</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17467</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17467</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17467</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17467</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17467</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17467</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17467</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17467</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17467</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17467</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17467</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17467</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17467</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17467</v>
      </c>
      <c r="G2775">
        <f>'4M'!$F$79</f>
        <v>0.10199999999999999</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17467</v>
      </c>
      <c r="G2776">
        <f>'4M'!$G$79</f>
        <v>4.2000000000000003E-2</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17467</v>
      </c>
      <c r="G2777">
        <f>'4M'!$H$79</f>
        <v>2.3E-2</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17467</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17467</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17467</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17467</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17467</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17467</v>
      </c>
      <c r="G2783">
        <f>'4M'!$N$79</f>
        <v>0.16699999999999998</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17467</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17467</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17467</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17467</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17467</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17467</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17467</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17467</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17467</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17467</v>
      </c>
      <c r="G2793">
        <f>'4M'!$X$79</f>
        <v>0.13700000000000001</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17467</v>
      </c>
      <c r="G2794">
        <f>'4M'!$Y$79</f>
        <v>2.9889999999999999</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17467</v>
      </c>
      <c r="G2795">
        <f>'4M'!$Z$79</f>
        <v>4.6580000000000004</v>
      </c>
    </row>
    <row r="2796" spans="1:7">
      <c r="A2796" t="s">
        <v>4189</v>
      </c>
      <c r="C2796" t="str">
        <f>'4M'!$BH$80</f>
        <v>B0354SSC_F</v>
      </c>
      <c r="D2796" t="str">
        <f>_xlfn.CONCAT('4M'!$B$58, "-", '4M'!$B$80, "-", '4M'!$F$7, "-", '4M'!$F$6, "-", '4M'!$F$5)</f>
        <v>Other enhancement-Security - SEMD-Foul-Wastewater network+ -Expenditure in report year</v>
      </c>
      <c r="F2796" t="s">
        <v>17467</v>
      </c>
      <c r="G2796">
        <f>'4M'!$F$80</f>
        <v>0.01</v>
      </c>
    </row>
    <row r="2797" spans="1:7">
      <c r="A2797" t="s">
        <v>4189</v>
      </c>
      <c r="C2797" t="str">
        <f>'4M'!$BI$80</f>
        <v>B0354SSC_SWD</v>
      </c>
      <c r="D2797" t="str">
        <f>_xlfn.CONCAT('4M'!$B$58, "-", '4M'!$B$80, "-", '4M'!$G$7, "-", '4M'!$F$6, "-", '4M'!$F$5)</f>
        <v>Other enhancement-Security - SEMD-Surface water drainage-Wastewater network+ -Expenditure in report year</v>
      </c>
      <c r="F2797" t="s">
        <v>17467</v>
      </c>
      <c r="G2797">
        <f>'4M'!$G$80</f>
        <v>4.0000000000000001E-3</v>
      </c>
    </row>
    <row r="2798" spans="1:7">
      <c r="A2798" t="s">
        <v>4189</v>
      </c>
      <c r="C2798" t="str">
        <f>'4M'!$BJ$80</f>
        <v>B0354SSC_HD</v>
      </c>
      <c r="D2798" t="str">
        <f>_xlfn.CONCAT('4M'!$B$58, "-", '4M'!$B$80, "-", '4M'!$H$7, "-", '4M'!$F$6, "-", '4M'!$F$5)</f>
        <v>Other enhancement-Security - SEMD-Highway drainage-Wastewater network+ -Expenditure in report year</v>
      </c>
      <c r="F2798" t="s">
        <v>17467</v>
      </c>
      <c r="G2798">
        <f>'4M'!$H$80</f>
        <v>2E-3</v>
      </c>
    </row>
    <row r="2799" spans="1:7">
      <c r="A2799" t="s">
        <v>4189</v>
      </c>
      <c r="C2799" t="str">
        <f>'4M'!$BK$80</f>
        <v>B0354SSC_STD</v>
      </c>
      <c r="D2799" t="str">
        <f>_xlfn.CONCAT('4M'!$B$58, "-", '4M'!$B$80, "-", '4M'!$I$7, "-", '4M'!$F$6, "-", '4M'!$F$5)</f>
        <v>Other enhancement-Security - SEMD-Sewage treatment and disposal-Wastewater network+ -Expenditure in report year</v>
      </c>
      <c r="F2799" t="s">
        <v>17467</v>
      </c>
      <c r="G2799">
        <f>'4M'!$I$80</f>
        <v>0.38900000000000001</v>
      </c>
    </row>
    <row r="2800" spans="1:7">
      <c r="A2800" t="s">
        <v>4189</v>
      </c>
      <c r="C2800" t="str">
        <f>'4M'!$BL$80</f>
        <v>B0354SSC_SLT</v>
      </c>
      <c r="D2800" t="str">
        <f>_xlfn.CONCAT('4M'!$B$58, "-", '4M'!$B$80, "-", '4M'!$J$7, "-", '4M'!$F$6, "-", '4M'!$F$5)</f>
        <v>Other enhancement-Security - SEMD-Sludge liquor treatment-Wastewater network+ -Expenditure in report year</v>
      </c>
      <c r="F2800" t="s">
        <v>17467</v>
      </c>
      <c r="G2800">
        <f>'4M'!$J$80</f>
        <v>0</v>
      </c>
    </row>
    <row r="2801" spans="1:7">
      <c r="A2801" t="s">
        <v>4189</v>
      </c>
      <c r="C2801" t="str">
        <f>'4M'!$BM$80</f>
        <v>B0354SSC_STP</v>
      </c>
      <c r="D2801" t="str">
        <f>_xlfn.CONCAT('4M'!$B$58, "-", '4M'!$B$80, "-", '4M'!$K$7, "-", '4M'!$K$6, "-", '4M'!$F$5)</f>
        <v>Other enhancement-Security - SEMD-Sludge transport-Bioresources-Expenditure in report year</v>
      </c>
      <c r="F2801" t="s">
        <v>17467</v>
      </c>
      <c r="G2801">
        <f>'4M'!$K$80</f>
        <v>0</v>
      </c>
    </row>
    <row r="2802" spans="1:7">
      <c r="A2802" t="s">
        <v>4189</v>
      </c>
      <c r="C2802" t="str">
        <f>'4M'!$BN$80</f>
        <v>B0354SSC_SDT</v>
      </c>
      <c r="D2802" t="str">
        <f>_xlfn.CONCAT('4M'!$B$58, "-", '4M'!$B$80, "-", '4M'!$L$7, "-", '4M'!$K$6, "-", '4M'!$F$5)</f>
        <v>Other enhancement-Security - SEMD-Sludge treatment-Bioresources-Expenditure in report year</v>
      </c>
      <c r="F2802" t="s">
        <v>17467</v>
      </c>
      <c r="G2802">
        <f>'4M'!$L$80</f>
        <v>0</v>
      </c>
    </row>
    <row r="2803" spans="1:7">
      <c r="A2803" t="s">
        <v>4189</v>
      </c>
      <c r="C2803" t="str">
        <f>'4M'!$BO$80</f>
        <v>B0354SSC_SD</v>
      </c>
      <c r="D2803" t="str">
        <f>_xlfn.CONCAT('4M'!$B$58, "-", '4M'!$B$80, "-", '4M'!$M$7, "-", '4M'!$K$6, "-", '4M'!$F$5)</f>
        <v>Other enhancement-Security - SEMD-Sludge disposal-Bioresources-Expenditure in report year</v>
      </c>
      <c r="F2803" t="s">
        <v>17467</v>
      </c>
      <c r="G2803">
        <f>'4M'!$M$80</f>
        <v>0</v>
      </c>
    </row>
    <row r="2804" spans="1:7">
      <c r="A2804" t="s">
        <v>4189</v>
      </c>
      <c r="C2804" t="str">
        <f>'4M'!$BP$80</f>
        <v>B0354SSC_TOT</v>
      </c>
      <c r="D2804" t="str">
        <f>_xlfn.CONCAT('4M'!$B$58, "-", '4M'!$B$80, "-", '4M'!$N$6, "-", '4M'!$N$6, "-", '4M'!$F$5)</f>
        <v>Other enhancement-Security - SEMD-Total-Total-Expenditure in report year</v>
      </c>
      <c r="F2804" t="s">
        <v>17467</v>
      </c>
      <c r="G2804">
        <f>'4M'!$N$80</f>
        <v>0.40500000000000003</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17467</v>
      </c>
      <c r="G2805">
        <f>'4M'!$O$80</f>
        <v>0.01</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17467</v>
      </c>
      <c r="G2806">
        <f>'4M'!$P$80</f>
        <v>4.0000000000000001E-3</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17467</v>
      </c>
      <c r="G2807">
        <f>'4M'!$Q$80</f>
        <v>2E-3</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17467</v>
      </c>
      <c r="G2808">
        <f>'4M'!$R$80</f>
        <v>0.38700000000000001</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17467</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17467</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17467</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17467</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17467</v>
      </c>
      <c r="G2813">
        <f>'4M'!$W$80</f>
        <v>0.40300000000000002</v>
      </c>
    </row>
    <row r="2814" spans="1:7">
      <c r="A2814" t="s">
        <v>4189</v>
      </c>
      <c r="C2814" t="str">
        <f>'4M'!$BH$81</f>
        <v>B0355SSO_F</v>
      </c>
      <c r="D2814" t="str">
        <f>_xlfn.CONCAT('4M'!$B$58, "-", '4M'!$B$81, "-", '4M'!$F$7, "-", '4M'!$F$6, "-", '4M'!$F$5)</f>
        <v>Other enhancement-Security - SEMD-Foul-Wastewater network+ -Expenditure in report year</v>
      </c>
      <c r="F2814" t="s">
        <v>17467</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17467</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17467</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17467</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17467</v>
      </c>
      <c r="G2818">
        <f>'4M'!$J$81</f>
        <v>0</v>
      </c>
    </row>
    <row r="2819" spans="1:7">
      <c r="A2819" t="s">
        <v>4189</v>
      </c>
      <c r="C2819" t="str">
        <f>'4M'!$BM$81</f>
        <v>B0355SSO_STP</v>
      </c>
      <c r="D2819" t="str">
        <f>_xlfn.CONCAT('4M'!$B$58, "-", '4M'!$B$81, "-", '4M'!$K$7, "-", '4M'!$K$6, "-", '4M'!$F$5)</f>
        <v>Other enhancement-Security - SEMD-Sludge transport-Bioresources-Expenditure in report year</v>
      </c>
      <c r="F2819" t="s">
        <v>17467</v>
      </c>
      <c r="G2819">
        <f>'4M'!$K$81</f>
        <v>0</v>
      </c>
    </row>
    <row r="2820" spans="1:7">
      <c r="A2820" t="s">
        <v>4189</v>
      </c>
      <c r="C2820" t="str">
        <f>'4M'!$BN$81</f>
        <v>B0355SSO_SDT</v>
      </c>
      <c r="D2820" t="str">
        <f>_xlfn.CONCAT('4M'!$B$58, "-", '4M'!$B$81, "-", '4M'!$L$7, "-", '4M'!$K$6, "-", '4M'!$F$5)</f>
        <v>Other enhancement-Security - SEMD-Sludge treatment-Bioresources-Expenditure in report year</v>
      </c>
      <c r="F2820" t="s">
        <v>17467</v>
      </c>
      <c r="G2820">
        <f>'4M'!$L$81</f>
        <v>0</v>
      </c>
    </row>
    <row r="2821" spans="1:7">
      <c r="A2821" t="s">
        <v>4189</v>
      </c>
      <c r="C2821" t="str">
        <f>'4M'!$BO$81</f>
        <v>B0355SSO_SD</v>
      </c>
      <c r="D2821" t="str">
        <f>_xlfn.CONCAT('4M'!$B$58, "-", '4M'!$B$81, "-", '4M'!$M$7, "-", '4M'!$K$6, "-", '4M'!$F$5)</f>
        <v>Other enhancement-Security - SEMD-Sludge disposal-Bioresources-Expenditure in report year</v>
      </c>
      <c r="F2821" t="s">
        <v>17467</v>
      </c>
      <c r="G2821">
        <f>'4M'!$M$81</f>
        <v>0</v>
      </c>
    </row>
    <row r="2822" spans="1:7">
      <c r="A2822" t="s">
        <v>4189</v>
      </c>
      <c r="C2822" t="str">
        <f>'4M'!$BP$81</f>
        <v>B0355SSO_TOT</v>
      </c>
      <c r="D2822" t="str">
        <f>_xlfn.CONCAT('4M'!$B$58, "-", '4M'!$B$81, "-", '4M'!$N$6, "-", '4M'!$N$6, "-", '4M'!$F$5)</f>
        <v>Other enhancement-Security - SEMD-Total-Total-Expenditure in report year</v>
      </c>
      <c r="F2822" t="s">
        <v>17467</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17467</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17467</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17467</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17467</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17467</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17467</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17467</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17467</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17467</v>
      </c>
      <c r="G2831">
        <f>'4M'!$W$81</f>
        <v>0</v>
      </c>
    </row>
    <row r="2832" spans="1:7">
      <c r="A2832" t="s">
        <v>4189</v>
      </c>
      <c r="C2832" t="str">
        <f>'4M'!$BH$82</f>
        <v>B0356SST_F</v>
      </c>
      <c r="D2832" t="str">
        <f>_xlfn.CONCAT('4M'!$B$58, "-", '4M'!$B$82, "-", '4M'!$F$7, "-", '4M'!$F$6, "-", '4M'!$F$5)</f>
        <v>Other enhancement-Security - SEMD-Foul-Wastewater network+ -Expenditure in report year</v>
      </c>
      <c r="F2832" t="s">
        <v>17467</v>
      </c>
      <c r="G2832">
        <f>'4M'!$F$82</f>
        <v>0.01</v>
      </c>
    </row>
    <row r="2833" spans="1:7">
      <c r="A2833" t="s">
        <v>4189</v>
      </c>
      <c r="C2833" t="str">
        <f>'4M'!$BI$82</f>
        <v>B0356SST_SWD</v>
      </c>
      <c r="D2833" t="str">
        <f>_xlfn.CONCAT('4M'!$B$58, "-", '4M'!$B$82, "-", '4M'!$G$7, "-", '4M'!$F$6, "-", '4M'!$F$5)</f>
        <v>Other enhancement-Security - SEMD-Surface water drainage-Wastewater network+ -Expenditure in report year</v>
      </c>
      <c r="F2833" t="s">
        <v>17467</v>
      </c>
      <c r="G2833">
        <f>'4M'!$G$82</f>
        <v>4.0000000000000001E-3</v>
      </c>
    </row>
    <row r="2834" spans="1:7">
      <c r="A2834" t="s">
        <v>4189</v>
      </c>
      <c r="C2834" t="str">
        <f>'4M'!$BJ$82</f>
        <v>B0356SST_HD</v>
      </c>
      <c r="D2834" t="str">
        <f>_xlfn.CONCAT('4M'!$B$58, "-", '4M'!$B$82, "-", '4M'!$H$7, "-", '4M'!$F$6, "-", '4M'!$F$5)</f>
        <v>Other enhancement-Security - SEMD-Highway drainage-Wastewater network+ -Expenditure in report year</v>
      </c>
      <c r="F2834" t="s">
        <v>17467</v>
      </c>
      <c r="G2834">
        <f>'4M'!$H$82</f>
        <v>2E-3</v>
      </c>
    </row>
    <row r="2835" spans="1:7">
      <c r="A2835" t="s">
        <v>4189</v>
      </c>
      <c r="C2835" t="str">
        <f>'4M'!$BK$82</f>
        <v>B0356SST_STD</v>
      </c>
      <c r="D2835" t="str">
        <f>_xlfn.CONCAT('4M'!$B$58, "-", '4M'!$B$82, "-", '4M'!$I$7, "-", '4M'!$F$6, "-", '4M'!$F$5)</f>
        <v>Other enhancement-Security - SEMD-Sewage treatment and disposal-Wastewater network+ -Expenditure in report year</v>
      </c>
      <c r="F2835" t="s">
        <v>17467</v>
      </c>
      <c r="G2835">
        <f>'4M'!$I$82</f>
        <v>0.38900000000000001</v>
      </c>
    </row>
    <row r="2836" spans="1:7">
      <c r="A2836" t="s">
        <v>4189</v>
      </c>
      <c r="C2836" t="str">
        <f>'4M'!$BL$82</f>
        <v>B0356SST_SLT</v>
      </c>
      <c r="D2836" t="str">
        <f>_xlfn.CONCAT('4M'!$B$58, "-", '4M'!$B$82, "-", '4M'!$J$7, "-", '4M'!$F$6, "-", '4M'!$F$5)</f>
        <v>Other enhancement-Security - SEMD-Sludge liquor treatment-Wastewater network+ -Expenditure in report year</v>
      </c>
      <c r="F2836" t="s">
        <v>17467</v>
      </c>
      <c r="G2836">
        <f>'4M'!$J$82</f>
        <v>0</v>
      </c>
    </row>
    <row r="2837" spans="1:7">
      <c r="A2837" t="s">
        <v>4189</v>
      </c>
      <c r="C2837" t="str">
        <f>'4M'!$BM$82</f>
        <v>B0356SST_STP</v>
      </c>
      <c r="D2837" t="str">
        <f>_xlfn.CONCAT('4M'!$B$58, "-", '4M'!$B$82, "-", '4M'!$K$7, "-", '4M'!$K$6, "-", '4M'!$F$5)</f>
        <v>Other enhancement-Security - SEMD-Sludge transport-Bioresources-Expenditure in report year</v>
      </c>
      <c r="F2837" t="s">
        <v>17467</v>
      </c>
      <c r="G2837">
        <f>'4M'!$K$82</f>
        <v>0</v>
      </c>
    </row>
    <row r="2838" spans="1:7">
      <c r="A2838" t="s">
        <v>4189</v>
      </c>
      <c r="C2838" t="str">
        <f>'4M'!$BN$82</f>
        <v>B0356SST_SDT</v>
      </c>
      <c r="D2838" t="str">
        <f>_xlfn.CONCAT('4M'!$B$58, "-", '4M'!$B$82, "-", '4M'!$L$7, "-", '4M'!$K$6, "-", '4M'!$F$5)</f>
        <v>Other enhancement-Security - SEMD-Sludge treatment-Bioresources-Expenditure in report year</v>
      </c>
      <c r="F2838" t="s">
        <v>17467</v>
      </c>
      <c r="G2838">
        <f>'4M'!$L$82</f>
        <v>0</v>
      </c>
    </row>
    <row r="2839" spans="1:7">
      <c r="A2839" t="s">
        <v>4189</v>
      </c>
      <c r="C2839" t="str">
        <f>'4M'!$BO$82</f>
        <v>B0356SST_SD</v>
      </c>
      <c r="D2839" t="str">
        <f>_xlfn.CONCAT('4M'!$B$58, "-", '4M'!$B$82, "-", '4M'!$M$7, "-", '4M'!$K$6, "-", '4M'!$F$5)</f>
        <v>Other enhancement-Security - SEMD-Sludge disposal-Bioresources-Expenditure in report year</v>
      </c>
      <c r="F2839" t="s">
        <v>17467</v>
      </c>
      <c r="G2839">
        <f>'4M'!$M$82</f>
        <v>0</v>
      </c>
    </row>
    <row r="2840" spans="1:7">
      <c r="A2840" t="s">
        <v>4189</v>
      </c>
      <c r="C2840" t="str">
        <f>'4M'!$BP$82</f>
        <v>B0356SST_TOT</v>
      </c>
      <c r="D2840" t="str">
        <f>_xlfn.CONCAT('4M'!$B$58, "-", '4M'!$B$82, "-", '4M'!$N$6, "-", '4M'!$N$6, "-", '4M'!$F$5)</f>
        <v>Other enhancement-Security - SEMD-Total-Total-Expenditure in report year</v>
      </c>
      <c r="F2840" t="s">
        <v>17467</v>
      </c>
      <c r="G2840">
        <f>'4M'!$N$82</f>
        <v>0.40500000000000003</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17467</v>
      </c>
      <c r="G2841">
        <f>'4M'!$O$82</f>
        <v>0.01</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17467</v>
      </c>
      <c r="G2842">
        <f>'4M'!$P$82</f>
        <v>4.0000000000000001E-3</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17467</v>
      </c>
      <c r="G2843">
        <f>'4M'!$Q$82</f>
        <v>2E-3</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17467</v>
      </c>
      <c r="G2844">
        <f>'4M'!$R$82</f>
        <v>0.38700000000000001</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17467</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17467</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17467</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17467</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17467</v>
      </c>
      <c r="G2849">
        <f>'4M'!$W$82</f>
        <v>0.40300000000000002</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17467</v>
      </c>
      <c r="G2850">
        <f>'4M'!$X$82</f>
        <v>1.0780000000000001</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17467</v>
      </c>
      <c r="G2851">
        <f>'4M'!$Y$82</f>
        <v>0.49199999999999999</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17467</v>
      </c>
      <c r="G2852">
        <f>'4M'!$Z$82</f>
        <v>0.78</v>
      </c>
    </row>
    <row r="2853" spans="1:7">
      <c r="A2853" t="s">
        <v>4189</v>
      </c>
      <c r="C2853" t="str">
        <f>'4M'!$BH$83</f>
        <v>B0357SNC_F</v>
      </c>
      <c r="D2853" t="str">
        <f>_xlfn.CONCAT('4M'!$B$58, "-", '4M'!$B$83, "-", '4M'!$F$7, "-", '4M'!$F$6, "-", '4M'!$F$5)</f>
        <v>Other enhancement-Security - Non-SEMD-Foul-Wastewater network+ -Expenditure in report year</v>
      </c>
      <c r="F2853" t="s">
        <v>17467</v>
      </c>
      <c r="G2853">
        <f>'4M'!$F$83</f>
        <v>9.0999999999999998E-2</v>
      </c>
    </row>
    <row r="2854" spans="1:7">
      <c r="A2854" t="s">
        <v>4189</v>
      </c>
      <c r="C2854" t="str">
        <f>'4M'!$BI$83</f>
        <v>B0357SNC_SWD</v>
      </c>
      <c r="D2854" t="str">
        <f>_xlfn.CONCAT('4M'!$B$58, "-", '4M'!$B$83, "-", '4M'!$G$7, "-", '4M'!$F$6, "-", '4M'!$F$5)</f>
        <v>Other enhancement-Security - Non-SEMD-Surface water drainage-Wastewater network+ -Expenditure in report year</v>
      </c>
      <c r="F2854" t="s">
        <v>17467</v>
      </c>
      <c r="G2854">
        <f>'4M'!$G$83</f>
        <v>3.4999999999999996E-2</v>
      </c>
    </row>
    <row r="2855" spans="1:7">
      <c r="A2855" t="s">
        <v>4189</v>
      </c>
      <c r="C2855" t="str">
        <f>'4M'!$BJ$83</f>
        <v>B0357SNC_HD</v>
      </c>
      <c r="D2855" t="str">
        <f>_xlfn.CONCAT('4M'!$B$58, "-", '4M'!$B$83, "-", '4M'!$H$7, "-", '4M'!$F$6, "-", '4M'!$F$5)</f>
        <v>Other enhancement-Security - Non-SEMD-Highway drainage-Wastewater network+ -Expenditure in report year</v>
      </c>
      <c r="F2855" t="s">
        <v>17467</v>
      </c>
      <c r="G2855">
        <f>'4M'!$H$83</f>
        <v>2.3E-2</v>
      </c>
    </row>
    <row r="2856" spans="1:7">
      <c r="A2856" t="s">
        <v>4189</v>
      </c>
      <c r="C2856" t="str">
        <f>'4M'!$BK$83</f>
        <v>B0357SNC_STD</v>
      </c>
      <c r="D2856" t="str">
        <f>_xlfn.CONCAT('4M'!$B$58, "-", '4M'!$B$83, "-", '4M'!$I$7, "-", '4M'!$F$6, "-", '4M'!$F$5)</f>
        <v>Other enhancement-Security - Non-SEMD-Sewage treatment and disposal-Wastewater network+ -Expenditure in report year</v>
      </c>
      <c r="F2856" t="s">
        <v>17467</v>
      </c>
      <c r="G2856">
        <f>'4M'!$I$83</f>
        <v>0.11</v>
      </c>
    </row>
    <row r="2857" spans="1:7">
      <c r="A2857" t="s">
        <v>4189</v>
      </c>
      <c r="C2857" t="str">
        <f>'4M'!$BL$83</f>
        <v>B0357SNC_SLT</v>
      </c>
      <c r="D2857" t="str">
        <f>_xlfn.CONCAT('4M'!$B$58, "-", '4M'!$B$83, "-", '4M'!$J$7, "-", '4M'!$F$6, "-", '4M'!$F$5)</f>
        <v>Other enhancement-Security - Non-SEMD-Sludge liquor treatment-Wastewater network+ -Expenditure in report year</v>
      </c>
      <c r="F2857" t="s">
        <v>17467</v>
      </c>
      <c r="G2857">
        <f>'4M'!$J$83</f>
        <v>3.0000000000000001E-3</v>
      </c>
    </row>
    <row r="2858" spans="1:7">
      <c r="A2858" t="s">
        <v>4189</v>
      </c>
      <c r="C2858" t="str">
        <f>'4M'!$BM$83</f>
        <v>B0357SNC_STP</v>
      </c>
      <c r="D2858" t="str">
        <f>_xlfn.CONCAT('4M'!$B$58, "-", '4M'!$B$83, "-", '4M'!$K$7, "-", '4M'!$K$6, "-", '4M'!$F$5)</f>
        <v>Other enhancement-Security - Non-SEMD-Sludge transport-Bioresources-Expenditure in report year</v>
      </c>
      <c r="F2858" t="s">
        <v>17467</v>
      </c>
      <c r="G2858">
        <f>'4M'!$K$83</f>
        <v>1.6E-2</v>
      </c>
    </row>
    <row r="2859" spans="1:7">
      <c r="A2859" t="s">
        <v>4189</v>
      </c>
      <c r="C2859" t="str">
        <f>'4M'!$BN$83</f>
        <v>B0357SNC_SDT</v>
      </c>
      <c r="D2859" t="str">
        <f>_xlfn.CONCAT('4M'!$B$58, "-", '4M'!$B$83, "-", '4M'!$L$7, "-", '4M'!$K$6, "-", '4M'!$F$5)</f>
        <v>Other enhancement-Security - Non-SEMD-Sludge treatment-Bioresources-Expenditure in report year</v>
      </c>
      <c r="F2859" t="s">
        <v>17467</v>
      </c>
      <c r="G2859">
        <f>'4M'!$L$83</f>
        <v>4.1999999999999996E-2</v>
      </c>
    </row>
    <row r="2860" spans="1:7">
      <c r="A2860" t="s">
        <v>4189</v>
      </c>
      <c r="C2860" t="str">
        <f>'4M'!$BO$83</f>
        <v>B0357SNC_SD</v>
      </c>
      <c r="D2860" t="str">
        <f>_xlfn.CONCAT('4M'!$B$58, "-", '4M'!$B$83, "-", '4M'!$M$7, "-", '4M'!$K$6, "-", '4M'!$F$5)</f>
        <v>Other enhancement-Security - Non-SEMD-Sludge disposal-Bioresources-Expenditure in report year</v>
      </c>
      <c r="F2860" t="s">
        <v>17467</v>
      </c>
      <c r="G2860">
        <f>'4M'!$M$83</f>
        <v>0.01</v>
      </c>
    </row>
    <row r="2861" spans="1:7">
      <c r="A2861" t="s">
        <v>4189</v>
      </c>
      <c r="C2861" t="str">
        <f>'4M'!$BP$83</f>
        <v>B0357SNC_TOT</v>
      </c>
      <c r="D2861" t="str">
        <f>_xlfn.CONCAT('4M'!$B$58, "-", '4M'!$B$83, "-", '4M'!$N$6, "-", '4M'!$N$6, "-", '4M'!$F$5)</f>
        <v>Other enhancement-Security - Non-SEMD-Total-Total-Expenditure in report year</v>
      </c>
      <c r="F2861" t="s">
        <v>17467</v>
      </c>
      <c r="G2861">
        <f>'4M'!$N$83</f>
        <v>0.33</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17467</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17467</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17467</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17467</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17467</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17467</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17467</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17467</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17467</v>
      </c>
      <c r="G2870">
        <f>'4M'!$W$83</f>
        <v>0</v>
      </c>
    </row>
    <row r="2871" spans="1:7">
      <c r="A2871" t="s">
        <v>4189</v>
      </c>
      <c r="C2871" t="str">
        <f>'4M'!$BH$84</f>
        <v>B0358SNO_F</v>
      </c>
      <c r="D2871" t="str">
        <f>_xlfn.CONCAT('4M'!$B$58, "-", '4M'!$B$84, "-", '4M'!$F$7, "-", '4M'!$F$6, "-", '4M'!$F$5)</f>
        <v>Other enhancement-Security - Non-SEMD-Foul-Wastewater network+ -Expenditure in report year</v>
      </c>
      <c r="F2871" t="s">
        <v>17467</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17467</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17467</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17467</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17467</v>
      </c>
      <c r="G2875">
        <f>'4M'!$J$84</f>
        <v>0</v>
      </c>
    </row>
    <row r="2876" spans="1:7">
      <c r="A2876" t="s">
        <v>4189</v>
      </c>
      <c r="C2876" t="str">
        <f>'4M'!$BM$84</f>
        <v>B0358SNO_STP</v>
      </c>
      <c r="D2876" t="str">
        <f>_xlfn.CONCAT('4M'!$B$58, "-", '4M'!$B$84, "-", '4M'!$K$7, "-", '4M'!$K$6, "-", '4M'!$F$5)</f>
        <v>Other enhancement-Security - Non-SEMD-Sludge transport-Bioresources-Expenditure in report year</v>
      </c>
      <c r="F2876" t="s">
        <v>17467</v>
      </c>
      <c r="G2876">
        <f>'4M'!$K$84</f>
        <v>0</v>
      </c>
    </row>
    <row r="2877" spans="1:7">
      <c r="A2877" t="s">
        <v>4189</v>
      </c>
      <c r="C2877" t="str">
        <f>'4M'!$BN$84</f>
        <v>B0358SNO_SDT</v>
      </c>
      <c r="D2877" t="str">
        <f>_xlfn.CONCAT('4M'!$B$58, "-", '4M'!$B$84, "-", '4M'!$L$7, "-", '4M'!$K$6, "-", '4M'!$F$5)</f>
        <v>Other enhancement-Security - Non-SEMD-Sludge treatment-Bioresources-Expenditure in report year</v>
      </c>
      <c r="F2877" t="s">
        <v>17467</v>
      </c>
      <c r="G2877">
        <f>'4M'!$L$84</f>
        <v>0</v>
      </c>
    </row>
    <row r="2878" spans="1:7">
      <c r="A2878" t="s">
        <v>4189</v>
      </c>
      <c r="C2878" t="str">
        <f>'4M'!$BO$84</f>
        <v>B0358SNO_SD</v>
      </c>
      <c r="D2878" t="str">
        <f>_xlfn.CONCAT('4M'!$B$58, "-", '4M'!$B$84, "-", '4M'!$M$7, "-", '4M'!$K$6, "-", '4M'!$F$5)</f>
        <v>Other enhancement-Security - Non-SEMD-Sludge disposal-Bioresources-Expenditure in report year</v>
      </c>
      <c r="F2878" t="s">
        <v>17467</v>
      </c>
      <c r="G2878">
        <f>'4M'!$M$84</f>
        <v>0</v>
      </c>
    </row>
    <row r="2879" spans="1:7">
      <c r="A2879" t="s">
        <v>4189</v>
      </c>
      <c r="C2879" t="str">
        <f>'4M'!$BP$84</f>
        <v>B0358SNO_TOT</v>
      </c>
      <c r="D2879" t="str">
        <f>_xlfn.CONCAT('4M'!$B$58, "-", '4M'!$B$84, "-", '4M'!$N$6, "-", '4M'!$N$6, "-", '4M'!$F$5)</f>
        <v>Other enhancement-Security - Non-SEMD-Total-Total-Expenditure in report year</v>
      </c>
      <c r="F2879" t="s">
        <v>17467</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17467</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17467</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17467</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17467</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17467</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17467</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17467</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17467</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17467</v>
      </c>
      <c r="G2888">
        <f>'4M'!$W$84</f>
        <v>0</v>
      </c>
    </row>
    <row r="2889" spans="1:7">
      <c r="A2889" t="s">
        <v>4189</v>
      </c>
      <c r="C2889" t="str">
        <f>'4M'!$BH$85</f>
        <v>B0359SNT_F</v>
      </c>
      <c r="D2889" t="str">
        <f>_xlfn.CONCAT('4M'!$B$58, "-", '4M'!$B$85, "-", '4M'!$F$7, "-", '4M'!$F$6, "-", '4M'!$F$5)</f>
        <v>Other enhancement-Security - Non-SEMD-Foul-Wastewater network+ -Expenditure in report year</v>
      </c>
      <c r="F2889" t="s">
        <v>17467</v>
      </c>
      <c r="G2889">
        <f>'4M'!$F$85</f>
        <v>9.0999999999999998E-2</v>
      </c>
    </row>
    <row r="2890" spans="1:7">
      <c r="A2890" t="s">
        <v>4189</v>
      </c>
      <c r="C2890" t="str">
        <f>'4M'!$BI$85</f>
        <v>B0359SNT_SWD</v>
      </c>
      <c r="D2890" t="str">
        <f>_xlfn.CONCAT('4M'!$B$58, "-", '4M'!$B$85, "-", '4M'!$G$7, "-", '4M'!$F$6, "-", '4M'!$F$5)</f>
        <v>Other enhancement-Security - Non-SEMD-Surface water drainage-Wastewater network+ -Expenditure in report year</v>
      </c>
      <c r="F2890" t="s">
        <v>17467</v>
      </c>
      <c r="G2890">
        <f>'4M'!$G$85</f>
        <v>3.4999999999999996E-2</v>
      </c>
    </row>
    <row r="2891" spans="1:7">
      <c r="A2891" t="s">
        <v>4189</v>
      </c>
      <c r="C2891" t="str">
        <f>'4M'!$BJ$85</f>
        <v>B0359SNT_HD</v>
      </c>
      <c r="D2891" t="str">
        <f>_xlfn.CONCAT('4M'!$B$58, "-", '4M'!$B$85, "-", '4M'!$H$7, "-", '4M'!$F$6, "-", '4M'!$F$5)</f>
        <v>Other enhancement-Security - Non-SEMD-Highway drainage-Wastewater network+ -Expenditure in report year</v>
      </c>
      <c r="F2891" t="s">
        <v>17467</v>
      </c>
      <c r="G2891">
        <f>'4M'!$H$85</f>
        <v>2.3E-2</v>
      </c>
    </row>
    <row r="2892" spans="1:7">
      <c r="A2892" t="s">
        <v>4189</v>
      </c>
      <c r="C2892" t="str">
        <f>'4M'!$BK$85</f>
        <v>B0359SNT_STD</v>
      </c>
      <c r="D2892" t="str">
        <f>_xlfn.CONCAT('4M'!$B$58, "-", '4M'!$B$85, "-", '4M'!$I$7, "-", '4M'!$F$6, "-", '4M'!$F$5)</f>
        <v>Other enhancement-Security - Non-SEMD-Sewage treatment and disposal-Wastewater network+ -Expenditure in report year</v>
      </c>
      <c r="F2892" t="s">
        <v>17467</v>
      </c>
      <c r="G2892">
        <f>'4M'!$I$85</f>
        <v>0.11</v>
      </c>
    </row>
    <row r="2893" spans="1:7">
      <c r="A2893" t="s">
        <v>4189</v>
      </c>
      <c r="C2893" t="str">
        <f>'4M'!$BL$85</f>
        <v>B0359SNT_SLT</v>
      </c>
      <c r="D2893" t="str">
        <f>_xlfn.CONCAT('4M'!$B$58, "-", '4M'!$B$85, "-", '4M'!$J$7, "-", '4M'!$F$6, "-", '4M'!$F$5)</f>
        <v>Other enhancement-Security - Non-SEMD-Sludge liquor treatment-Wastewater network+ -Expenditure in report year</v>
      </c>
      <c r="F2893" t="s">
        <v>17467</v>
      </c>
      <c r="G2893">
        <f>'4M'!$J$85</f>
        <v>3.0000000000000001E-3</v>
      </c>
    </row>
    <row r="2894" spans="1:7">
      <c r="A2894" t="s">
        <v>4189</v>
      </c>
      <c r="C2894" t="str">
        <f>'4M'!$BM$85</f>
        <v>B0359SNT_STP</v>
      </c>
      <c r="D2894" t="str">
        <f>_xlfn.CONCAT('4M'!$B$58, "-", '4M'!$B$85, "-", '4M'!$K$7, "-", '4M'!$K$6, "-", '4M'!$F$5)</f>
        <v>Other enhancement-Security - Non-SEMD-Sludge transport-Bioresources-Expenditure in report year</v>
      </c>
      <c r="F2894" t="s">
        <v>17467</v>
      </c>
      <c r="G2894">
        <f>'4M'!$K$85</f>
        <v>1.6E-2</v>
      </c>
    </row>
    <row r="2895" spans="1:7">
      <c r="A2895" t="s">
        <v>4189</v>
      </c>
      <c r="C2895" t="str">
        <f>'4M'!$BN$85</f>
        <v>B0359SNT_SDT</v>
      </c>
      <c r="D2895" t="str">
        <f>_xlfn.CONCAT('4M'!$B$58, "-", '4M'!$B$85, "-", '4M'!$L$7, "-", '4M'!$K$6, "-", '4M'!$F$5)</f>
        <v>Other enhancement-Security - Non-SEMD-Sludge treatment-Bioresources-Expenditure in report year</v>
      </c>
      <c r="F2895" t="s">
        <v>17467</v>
      </c>
      <c r="G2895">
        <f>'4M'!$L$85</f>
        <v>4.1999999999999996E-2</v>
      </c>
    </row>
    <row r="2896" spans="1:7">
      <c r="A2896" t="s">
        <v>4189</v>
      </c>
      <c r="C2896" t="str">
        <f>'4M'!$BO$85</f>
        <v>B0359SNT_SD</v>
      </c>
      <c r="D2896" t="str">
        <f>_xlfn.CONCAT('4M'!$B$58, "-", '4M'!$B$85, "-", '4M'!$M$7, "-", '4M'!$K$6, "-", '4M'!$F$5)</f>
        <v>Other enhancement-Security - Non-SEMD-Sludge disposal-Bioresources-Expenditure in report year</v>
      </c>
      <c r="F2896" t="s">
        <v>17467</v>
      </c>
      <c r="G2896">
        <f>'4M'!$M$85</f>
        <v>0.01</v>
      </c>
    </row>
    <row r="2897" spans="1:7">
      <c r="A2897" t="s">
        <v>4189</v>
      </c>
      <c r="C2897" t="str">
        <f>'4M'!$BP$85</f>
        <v>B0359SNT_TOT</v>
      </c>
      <c r="D2897" t="str">
        <f>_xlfn.CONCAT('4M'!$B$58, "-", '4M'!$B$85, "-", '4M'!$N$6, "-", '4M'!$N$6, "-", '4M'!$F$5)</f>
        <v>Other enhancement-Security - Non-SEMD-Total-Total-Expenditure in report year</v>
      </c>
      <c r="F2897" t="s">
        <v>17467</v>
      </c>
      <c r="G2897">
        <f>'4M'!$N$85</f>
        <v>0.33</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17467</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17467</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17467</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17467</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17467</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17467</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17467</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17467</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17467</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17467</v>
      </c>
      <c r="G2907">
        <f>'4M'!$X$85</f>
        <v>0.626</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17467</v>
      </c>
      <c r="G2908">
        <f>'4M'!$Y$85</f>
        <v>0.25</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17467</v>
      </c>
      <c r="G2909">
        <f>'4M'!$Z$85</f>
        <v>0.73599999999999999</v>
      </c>
    </row>
    <row r="2910" spans="1:7">
      <c r="A2910" t="s">
        <v>4189</v>
      </c>
      <c r="C2910" t="str">
        <f>'4M'!$BH$86</f>
        <v>B0360ADC_F</v>
      </c>
      <c r="D2910" t="str">
        <f>_xlfn.CONCAT('4M'!$B$58, "-", '4M'!$B$86, "-", '4M'!$F$7, "-", '4M'!$F$6, "-", '4M'!$F$5)</f>
        <v>Other enhancement-Additional Line-DWMPs-Foul-Wastewater network+ -Expenditure in report year</v>
      </c>
      <c r="F2910" t="s">
        <v>17467</v>
      </c>
      <c r="G2910">
        <f>'4M'!$F$86</f>
        <v>0.75600000000000001</v>
      </c>
    </row>
    <row r="2911" spans="1:7">
      <c r="A2911" t="s">
        <v>4189</v>
      </c>
      <c r="C2911" t="str">
        <f>'4M'!$BI$86</f>
        <v>B0360ADC_SWD</v>
      </c>
      <c r="D2911" t="str">
        <f>_xlfn.CONCAT('4M'!$B$58, "-", '4M'!$B$86, "-", '4M'!$G$7, "-", '4M'!$F$6, "-", '4M'!$F$5)</f>
        <v>Other enhancement-Additional Line-DWMPs-Surface water drainage-Wastewater network+ -Expenditure in report year</v>
      </c>
      <c r="F2911" t="s">
        <v>17467</v>
      </c>
      <c r="G2911">
        <f>'4M'!$G$86</f>
        <v>0.31</v>
      </c>
    </row>
    <row r="2912" spans="1:7">
      <c r="A2912" t="s">
        <v>4189</v>
      </c>
      <c r="C2912" t="str">
        <f>'4M'!$BJ$86</f>
        <v>B0360ADC_HD</v>
      </c>
      <c r="D2912" t="str">
        <f>_xlfn.CONCAT('4M'!$B$58, "-", '4M'!$B$86, "-", '4M'!$H$7, "-", '4M'!$F$6, "-", '4M'!$F$5)</f>
        <v>Other enhancement-Additional Line-DWMPs-Highway drainage-Wastewater network+ -Expenditure in report year</v>
      </c>
      <c r="F2912" t="s">
        <v>17467</v>
      </c>
      <c r="G2912">
        <f>'4M'!$H$86</f>
        <v>0.17299999999999999</v>
      </c>
    </row>
    <row r="2913" spans="1:7">
      <c r="A2913" t="s">
        <v>4189</v>
      </c>
      <c r="C2913" t="str">
        <f>'4M'!$BK$86</f>
        <v>B0360ADC_STD</v>
      </c>
      <c r="D2913" t="str">
        <f>_xlfn.CONCAT('4M'!$B$58, "-", '4M'!$B$86, "-", '4M'!$I$7, "-", '4M'!$F$6, "-", '4M'!$F$5)</f>
        <v>Other enhancement-Additional Line-DWMPs-Sewage treatment and disposal-Wastewater network+ -Expenditure in report year</v>
      </c>
      <c r="F2913" t="s">
        <v>17467</v>
      </c>
      <c r="G2913">
        <f>'4M'!$I$86</f>
        <v>2E-3</v>
      </c>
    </row>
    <row r="2914" spans="1:7">
      <c r="A2914" t="s">
        <v>4189</v>
      </c>
      <c r="C2914" t="str">
        <f>'4M'!$BL$86</f>
        <v>B0360ADC_SLT</v>
      </c>
      <c r="D2914" t="str">
        <f>_xlfn.CONCAT('4M'!$B$58, "-", '4M'!$B$86, "-", '4M'!$J$7, "-", '4M'!$F$6, "-", '4M'!$F$5)</f>
        <v>Other enhancement-Additional Line-DWMPs-Sludge liquor treatment-Wastewater network+ -Expenditure in report year</v>
      </c>
      <c r="F2914" t="s">
        <v>17467</v>
      </c>
      <c r="G2914">
        <f>'4M'!$J$86</f>
        <v>0</v>
      </c>
    </row>
    <row r="2915" spans="1:7">
      <c r="A2915" t="s">
        <v>4189</v>
      </c>
      <c r="C2915" t="str">
        <f>'4M'!$BM$86</f>
        <v>B0360ADC_STP</v>
      </c>
      <c r="D2915" t="str">
        <f>_xlfn.CONCAT('4M'!$B$58, "-", '4M'!$B$86, "-", '4M'!$K$7, "-", '4M'!$K$6, "-", '4M'!$F$5)</f>
        <v>Other enhancement-Additional Line-DWMPs-Sludge transport-Bioresources-Expenditure in report year</v>
      </c>
      <c r="F2915" t="s">
        <v>17467</v>
      </c>
      <c r="G2915">
        <f>'4M'!$K$86</f>
        <v>0</v>
      </c>
    </row>
    <row r="2916" spans="1:7">
      <c r="A2916" t="s">
        <v>4189</v>
      </c>
      <c r="C2916" t="str">
        <f>'4M'!$BN$86</f>
        <v>B0360ADC_SDT</v>
      </c>
      <c r="D2916" t="str">
        <f>_xlfn.CONCAT('4M'!$B$58, "-", '4M'!$B$86, "-", '4M'!$L$7, "-", '4M'!$K$6, "-", '4M'!$F$5)</f>
        <v>Other enhancement-Additional Line-DWMPs-Sludge treatment-Bioresources-Expenditure in report year</v>
      </c>
      <c r="F2916" t="s">
        <v>17467</v>
      </c>
      <c r="G2916">
        <f>'4M'!$L$86</f>
        <v>0</v>
      </c>
    </row>
    <row r="2917" spans="1:7">
      <c r="A2917" t="s">
        <v>4189</v>
      </c>
      <c r="C2917" t="str">
        <f>'4M'!$BO$86</f>
        <v>B0360ADC_SD</v>
      </c>
      <c r="D2917" t="str">
        <f>_xlfn.CONCAT('4M'!$B$58, "-", '4M'!$B$86, "-", '4M'!$M$7, "-", '4M'!$K$6, "-", '4M'!$F$5)</f>
        <v>Other enhancement-Additional Line-DWMPs-Sludge disposal-Bioresources-Expenditure in report year</v>
      </c>
      <c r="F2917" t="s">
        <v>17467</v>
      </c>
      <c r="G2917">
        <f>'4M'!$M$86</f>
        <v>0</v>
      </c>
    </row>
    <row r="2918" spans="1:7">
      <c r="A2918" t="s">
        <v>4189</v>
      </c>
      <c r="C2918" t="str">
        <f>'4M'!$BP$86</f>
        <v>B0360ADC_TOT</v>
      </c>
      <c r="D2918" t="str">
        <f>_xlfn.CONCAT('4M'!$B$58, "-", '4M'!$B$86, "-", '4M'!$N$6, "-", '4M'!$N$6, "-", '4M'!$F$5)</f>
        <v>Other enhancement-Additional Line-DWMPs-Total-Total-Expenditure in report year</v>
      </c>
      <c r="F2918" t="s">
        <v>17467</v>
      </c>
      <c r="G2918">
        <f>'4M'!$N$86</f>
        <v>1.2410000000000001</v>
      </c>
    </row>
    <row r="2919" spans="1:7">
      <c r="A2919" t="s">
        <v>4189</v>
      </c>
      <c r="C2919" t="str">
        <f>'4M'!$BZ$86</f>
        <v>B0401AL1C_TE</v>
      </c>
      <c r="D2919" t="str">
        <f>_xlfn.CONCAT('4M'!$B$58, "-", '4M'!$B$86, "-", '4M'!$X$7, "-", '4M'!$X$5, "-", '4M'!$X$5)</f>
        <v>Other enhancement-Additional Line-DWMPs-Total-Cumulative expenditure on all schemes to reporting year end-Cumulative expenditure on all schemes to reporting year end</v>
      </c>
      <c r="F2919" t="s">
        <v>17467</v>
      </c>
      <c r="G2919">
        <f>'4M'!$X$86</f>
        <v>5.194</v>
      </c>
    </row>
    <row r="2920" spans="1:7">
      <c r="A2920" t="s">
        <v>4189</v>
      </c>
      <c r="C2920" t="str">
        <f>'4M'!$CA$86</f>
        <v>B0401AL1C_TA</v>
      </c>
      <c r="D2920" t="str">
        <f>_xlfn.CONCAT('4M'!$B$58, "-", '4M'!$B$86, "-", '4M'!$Y$7, "-", '4M'!$Y$5, "-", '4M'!$Y$5)</f>
        <v>Other enhancement-Additional Line-DWMPs-Total-Cumulative allowed expenditure on all schemes to reporting year end-Cumulative allowed expenditure on all schemes to reporting year end</v>
      </c>
      <c r="F2920" t="s">
        <v>17467</v>
      </c>
      <c r="G2920">
        <f>'4M'!$Y$86</f>
        <v>5.3780000000000001</v>
      </c>
    </row>
    <row r="2921" spans="1:7">
      <c r="A2921" t="s">
        <v>4189</v>
      </c>
      <c r="C2921" t="str">
        <f>'4M'!$CB$86</f>
        <v>B0401AL1C_TC</v>
      </c>
      <c r="D2921" t="str">
        <f>_xlfn.CONCAT('4M'!$B$58, "-", '4M'!$B$86, "-", '4M'!$Z$7, "-", '4M'!$Z$5, "-", '4M'!$Z$5)</f>
        <v>Other enhancement-Additional Line-DWMPs-Total-Cumulative allowed expenditure on all schemes 2020-25-Cumulative allowed expenditure on all schemes 2020-25</v>
      </c>
      <c r="F2921" t="s">
        <v>17467</v>
      </c>
      <c r="G2921">
        <f>'4M'!$Z$86</f>
        <v>8.3810000000000002</v>
      </c>
    </row>
    <row r="2922" spans="1:7">
      <c r="A2922" t="s">
        <v>4189</v>
      </c>
      <c r="C2922" t="str">
        <f>'4M'!$BH$87</f>
        <v>B0361ADO_F</v>
      </c>
      <c r="D2922" t="str">
        <f>_xlfn.CONCAT('4M'!$B$58, "-", '4M'!$B$87, "-", '4M'!$F$7, "-", '4M'!$F$6, "-", '4M'!$F$5)</f>
        <v>Other enhancement-Additional Line-DWMPs-Foul-Wastewater network+ -Expenditure in report year</v>
      </c>
      <c r="F2922" t="s">
        <v>17467</v>
      </c>
      <c r="G2922">
        <f>'4M'!$F$87</f>
        <v>0</v>
      </c>
    </row>
    <row r="2923" spans="1:7">
      <c r="A2923" t="s">
        <v>4189</v>
      </c>
      <c r="C2923" t="str">
        <f>'4M'!$BI$87</f>
        <v>B0361ADO_SWD</v>
      </c>
      <c r="D2923" t="str">
        <f>_xlfn.CONCAT('4M'!$B$58, "-", '4M'!$B$87, "-", '4M'!$G$7, "-", '4M'!$F$6, "-", '4M'!$F$5)</f>
        <v>Other enhancement-Additional Line-DWMPs-Surface water drainage-Wastewater network+ -Expenditure in report year</v>
      </c>
      <c r="F2923" t="s">
        <v>17467</v>
      </c>
      <c r="G2923">
        <f>'4M'!$G$87</f>
        <v>0</v>
      </c>
    </row>
    <row r="2924" spans="1:7">
      <c r="A2924" t="s">
        <v>4189</v>
      </c>
      <c r="C2924" t="str">
        <f>'4M'!$BJ$87</f>
        <v>B0361ADO_HD</v>
      </c>
      <c r="D2924" t="str">
        <f>_xlfn.CONCAT('4M'!$B$58, "-", '4M'!$B$87, "-", '4M'!$H$7, "-", '4M'!$F$6, "-", '4M'!$F$5)</f>
        <v>Other enhancement-Additional Line-DWMPs-Highway drainage-Wastewater network+ -Expenditure in report year</v>
      </c>
      <c r="F2924" t="s">
        <v>17467</v>
      </c>
      <c r="G2924">
        <f>'4M'!$H$87</f>
        <v>0</v>
      </c>
    </row>
    <row r="2925" spans="1:7">
      <c r="A2925" t="s">
        <v>4189</v>
      </c>
      <c r="C2925" t="str">
        <f>'4M'!$BK$87</f>
        <v>B0361ADO_STD</v>
      </c>
      <c r="D2925" t="str">
        <f>_xlfn.CONCAT('4M'!$B$58, "-", '4M'!$B$87, "-", '4M'!$I$7, "-", '4M'!$F$6, "-", '4M'!$F$5)</f>
        <v>Other enhancement-Additional Line-DWMPs-Sewage treatment and disposal-Wastewater network+ -Expenditure in report year</v>
      </c>
      <c r="F2925" t="s">
        <v>17467</v>
      </c>
      <c r="G2925">
        <f>'4M'!$I$87</f>
        <v>0</v>
      </c>
    </row>
    <row r="2926" spans="1:7">
      <c r="A2926" t="s">
        <v>4189</v>
      </c>
      <c r="C2926" t="str">
        <f>'4M'!$BL$87</f>
        <v>B0361ADO_SLT</v>
      </c>
      <c r="D2926" t="str">
        <f>_xlfn.CONCAT('4M'!$B$58, "-", '4M'!$B$87, "-", '4M'!$J$7, "-", '4M'!$F$6, "-", '4M'!$F$5)</f>
        <v>Other enhancement-Additional Line-DWMPs-Sludge liquor treatment-Wastewater network+ -Expenditure in report year</v>
      </c>
      <c r="F2926" t="s">
        <v>17467</v>
      </c>
      <c r="G2926">
        <f>'4M'!$J$87</f>
        <v>0</v>
      </c>
    </row>
    <row r="2927" spans="1:7">
      <c r="A2927" t="s">
        <v>4189</v>
      </c>
      <c r="C2927" t="str">
        <f>'4M'!$BM$87</f>
        <v>B0361ADO_STP</v>
      </c>
      <c r="D2927" t="str">
        <f>_xlfn.CONCAT('4M'!$B$58, "-", '4M'!$B$87, "-", '4M'!$K$7, "-", '4M'!$K$6, "-", '4M'!$F$5)</f>
        <v>Other enhancement-Additional Line-DWMPs-Sludge transport-Bioresources-Expenditure in report year</v>
      </c>
      <c r="F2927" t="s">
        <v>17467</v>
      </c>
      <c r="G2927">
        <f>'4M'!$K$87</f>
        <v>0</v>
      </c>
    </row>
    <row r="2928" spans="1:7">
      <c r="A2928" t="s">
        <v>4189</v>
      </c>
      <c r="C2928" t="str">
        <f>'4M'!$BN$87</f>
        <v>B0361ADO_SDT</v>
      </c>
      <c r="D2928" t="str">
        <f>_xlfn.CONCAT('4M'!$B$58, "-", '4M'!$B$87, "-", '4M'!$L$7, "-", '4M'!$K$6, "-", '4M'!$F$5)</f>
        <v>Other enhancement-Additional Line-DWMPs-Sludge treatment-Bioresources-Expenditure in report year</v>
      </c>
      <c r="F2928" t="s">
        <v>17467</v>
      </c>
      <c r="G2928">
        <f>'4M'!$L$87</f>
        <v>0</v>
      </c>
    </row>
    <row r="2929" spans="1:7">
      <c r="A2929" t="s">
        <v>4189</v>
      </c>
      <c r="C2929" t="str">
        <f>'4M'!$BO$87</f>
        <v>B0361ADO_SD</v>
      </c>
      <c r="D2929" t="str">
        <f>_xlfn.CONCAT('4M'!$B$58, "-", '4M'!$B$87, "-", '4M'!$M$7, "-", '4M'!$K$6, "-", '4M'!$F$5)</f>
        <v>Other enhancement-Additional Line-DWMPs-Sludge disposal-Bioresources-Expenditure in report year</v>
      </c>
      <c r="F2929" t="s">
        <v>17467</v>
      </c>
      <c r="G2929">
        <f>'4M'!$M$87</f>
        <v>0</v>
      </c>
    </row>
    <row r="2930" spans="1:7">
      <c r="A2930" t="s">
        <v>4189</v>
      </c>
      <c r="C2930" t="str">
        <f>'4M'!$BP$87</f>
        <v>B0361ADO_TOT</v>
      </c>
      <c r="D2930" t="str">
        <f>_xlfn.CONCAT('4M'!$B$58, "-", '4M'!$B$87, "-", '4M'!$N$6, "-", '4M'!$N$6, "-", '4M'!$F$5)</f>
        <v>Other enhancement-Additional Line-DWMPs-Total-Total-Expenditure in report year</v>
      </c>
      <c r="F2930" t="s">
        <v>17467</v>
      </c>
      <c r="G2930">
        <f>'4M'!$N$87</f>
        <v>0</v>
      </c>
    </row>
    <row r="2931" spans="1:7">
      <c r="A2931" t="s">
        <v>4189</v>
      </c>
      <c r="C2931" t="str">
        <f>'4M'!$BZ$87</f>
        <v>B0402AL1O_TE</v>
      </c>
      <c r="D2931" t="str">
        <f>_xlfn.CONCAT('4M'!$B$58, "-", '4M'!$B$87, "-", '4M'!$X$7, "-", '4M'!$X$5, "-", '4M'!$X$5)</f>
        <v>Other enhancement-Additional Line-DWMPs-Total-Cumulative expenditure on all schemes to reporting year end-Cumulative expenditure on all schemes to reporting year end</v>
      </c>
      <c r="F2931" t="s">
        <v>17467</v>
      </c>
      <c r="G2931">
        <f>'4M'!$X$87</f>
        <v>0</v>
      </c>
    </row>
    <row r="2932" spans="1:7">
      <c r="A2932" t="s">
        <v>4189</v>
      </c>
      <c r="C2932" t="str">
        <f>'4M'!$CA$87</f>
        <v>B0402AL1O_TA</v>
      </c>
      <c r="D2932" t="str">
        <f>_xlfn.CONCAT('4M'!$B$58, "-", '4M'!$B$87, "-", '4M'!$Y$7, "-", '4M'!$Y$5, "-", '4M'!$Y$5)</f>
        <v>Other enhancement-Additional Line-DWMPs-Total-Cumulative allowed expenditure on all schemes to reporting year end-Cumulative allowed expenditure on all schemes to reporting year end</v>
      </c>
      <c r="F2932" t="s">
        <v>17467</v>
      </c>
      <c r="G2932">
        <f>'4M'!$Y$87</f>
        <v>0</v>
      </c>
    </row>
    <row r="2933" spans="1:7">
      <c r="A2933" t="s">
        <v>4189</v>
      </c>
      <c r="C2933" t="str">
        <f>'4M'!$CB$87</f>
        <v>B0402AL1O_TC</v>
      </c>
      <c r="D2933" t="str">
        <f>_xlfn.CONCAT('4M'!$B$58, "-", '4M'!$B$87, "-", '4M'!$Z$7, "-", '4M'!$Z$5, "-", '4M'!$Z$5)</f>
        <v>Other enhancement-Additional Line-DWMPs-Total-Cumulative allowed expenditure on all schemes 2020-25-Cumulative allowed expenditure on all schemes 2020-25</v>
      </c>
      <c r="F2933" t="s">
        <v>17467</v>
      </c>
      <c r="G2933">
        <f>'4M'!$Z$87</f>
        <v>0</v>
      </c>
    </row>
    <row r="2934" spans="1:7">
      <c r="A2934" t="s">
        <v>4189</v>
      </c>
      <c r="C2934" t="str">
        <f>'4M'!$BH$88</f>
        <v>B0362ADC_F</v>
      </c>
      <c r="D2934" t="str">
        <f>_xlfn.CONCAT('4M'!$B$58, "-", '4M'!$B$88, "-", '4M'!$F$7, "-", '4M'!$F$6, "-", '4M'!$F$5)</f>
        <v>Other enhancement-Additional Line- Loughor-Foul-Wastewater network+ -Expenditure in report year</v>
      </c>
      <c r="F2934" t="s">
        <v>17467</v>
      </c>
      <c r="G2934">
        <f>'4M'!$F$88</f>
        <v>0.48899999999999999</v>
      </c>
    </row>
    <row r="2935" spans="1:7">
      <c r="A2935" t="s">
        <v>4189</v>
      </c>
      <c r="C2935" t="str">
        <f>'4M'!$BI$88</f>
        <v>B0362ADC_SWD</v>
      </c>
      <c r="D2935" t="str">
        <f>_xlfn.CONCAT('4M'!$B$58, "-", '4M'!$B$88, "-", '4M'!$G$7, "-", '4M'!$F$6, "-", '4M'!$F$5)</f>
        <v>Other enhancement-Additional Line- Loughor-Surface water drainage-Wastewater network+ -Expenditure in report year</v>
      </c>
      <c r="F2935" t="s">
        <v>17467</v>
      </c>
      <c r="G2935">
        <f>'4M'!$G$88</f>
        <v>0.20100000000000001</v>
      </c>
    </row>
    <row r="2936" spans="1:7">
      <c r="A2936" t="s">
        <v>4189</v>
      </c>
      <c r="C2936" t="str">
        <f>'4M'!$BJ$88</f>
        <v>B0362ADC_HD</v>
      </c>
      <c r="D2936" t="str">
        <f>_xlfn.CONCAT('4M'!$B$58, "-", '4M'!$B$88, "-", '4M'!$H$7, "-", '4M'!$F$6, "-", '4M'!$F$5)</f>
        <v>Other enhancement-Additional Line- Loughor-Highway drainage-Wastewater network+ -Expenditure in report year</v>
      </c>
      <c r="F2936" t="s">
        <v>17467</v>
      </c>
      <c r="G2936">
        <f>'4M'!$H$88</f>
        <v>0.112</v>
      </c>
    </row>
    <row r="2937" spans="1:7">
      <c r="A2937" t="s">
        <v>4189</v>
      </c>
      <c r="C2937" t="str">
        <f>'4M'!$BK$88</f>
        <v>B0362ADC_STD</v>
      </c>
      <c r="D2937" t="str">
        <f>_xlfn.CONCAT('4M'!$B$58, "-", '4M'!$B$88, "-", '4M'!$I$7, "-", '4M'!$F$6, "-", '4M'!$F$5)</f>
        <v>Other enhancement-Additional Line- Loughor-Sewage treatment and disposal-Wastewater network+ -Expenditure in report year</v>
      </c>
      <c r="F2937" t="s">
        <v>17467</v>
      </c>
      <c r="G2937">
        <f>'4M'!$I$88</f>
        <v>1.19</v>
      </c>
    </row>
    <row r="2938" spans="1:7">
      <c r="A2938" t="s">
        <v>4189</v>
      </c>
      <c r="C2938" t="str">
        <f>'4M'!$BL$88</f>
        <v>B0362ADC_SLT</v>
      </c>
      <c r="D2938" t="str">
        <f>_xlfn.CONCAT('4M'!$B$58, "-", '4M'!$B$88, "-", '4M'!$J$7, "-", '4M'!$F$6, "-", '4M'!$F$5)</f>
        <v>Other enhancement-Additional Line- Loughor-Sludge liquor treatment-Wastewater network+ -Expenditure in report year</v>
      </c>
      <c r="F2938" t="s">
        <v>17467</v>
      </c>
      <c r="G2938">
        <f>'4M'!$J$88</f>
        <v>0</v>
      </c>
    </row>
    <row r="2939" spans="1:7">
      <c r="A2939" t="s">
        <v>4189</v>
      </c>
      <c r="C2939" t="str">
        <f>'4M'!$BM$88</f>
        <v>B0362ADC_STP</v>
      </c>
      <c r="D2939" t="str">
        <f>_xlfn.CONCAT('4M'!$B$58, "-", '4M'!$B$88, "-", '4M'!$K$7, "-", '4M'!$K$6, "-", '4M'!$F$5)</f>
        <v>Other enhancement-Additional Line- Loughor-Sludge transport-Bioresources-Expenditure in report year</v>
      </c>
      <c r="F2939" t="s">
        <v>17467</v>
      </c>
      <c r="G2939">
        <f>'4M'!$K$88</f>
        <v>0</v>
      </c>
    </row>
    <row r="2940" spans="1:7">
      <c r="A2940" t="s">
        <v>4189</v>
      </c>
      <c r="C2940" t="str">
        <f>'4M'!$BN$88</f>
        <v>B0362ADC_SDT</v>
      </c>
      <c r="D2940" t="str">
        <f>_xlfn.CONCAT('4M'!$B$58, "-", '4M'!$B$88, "-", '4M'!$L$7, "-", '4M'!$K$6, "-", '4M'!$F$5)</f>
        <v>Other enhancement-Additional Line- Loughor-Sludge treatment-Bioresources-Expenditure in report year</v>
      </c>
      <c r="F2940" t="s">
        <v>17467</v>
      </c>
      <c r="G2940">
        <f>'4M'!$L$88</f>
        <v>-6.0000000000000001E-3</v>
      </c>
    </row>
    <row r="2941" spans="1:7">
      <c r="A2941" t="s">
        <v>4189</v>
      </c>
      <c r="C2941" t="str">
        <f>'4M'!$BO$88</f>
        <v>B0362ADC_SD</v>
      </c>
      <c r="D2941" t="str">
        <f>_xlfn.CONCAT('4M'!$B$58, "-", '4M'!$B$88, "-", '4M'!$M$7, "-", '4M'!$K$6, "-", '4M'!$F$5)</f>
        <v>Other enhancement-Additional Line- Loughor-Sludge disposal-Bioresources-Expenditure in report year</v>
      </c>
      <c r="F2941" t="s">
        <v>17467</v>
      </c>
      <c r="G2941">
        <f>'4M'!$M$88</f>
        <v>0</v>
      </c>
    </row>
    <row r="2942" spans="1:7">
      <c r="A2942" t="s">
        <v>4189</v>
      </c>
      <c r="C2942" t="str">
        <f>'4M'!$BP$88</f>
        <v>B0362ADC_TOT</v>
      </c>
      <c r="D2942" t="str">
        <f>_xlfn.CONCAT('4M'!$B$58, "-", '4M'!$B$88, "-", '4M'!$N$6, "-", '4M'!$N$6, "-", '4M'!$F$5)</f>
        <v>Other enhancement-Additional Line- Loughor-Total-Total-Expenditure in report year</v>
      </c>
      <c r="F2942" t="s">
        <v>17467</v>
      </c>
      <c r="G2942">
        <f>'4M'!$N$88</f>
        <v>1.986</v>
      </c>
    </row>
    <row r="2943" spans="1:7">
      <c r="A2943" t="s">
        <v>4189</v>
      </c>
      <c r="C2943" t="str">
        <f>'4M'!$BZ$88</f>
        <v>B0403AL2C_TE</v>
      </c>
      <c r="D2943" t="str">
        <f>_xlfn.CONCAT('4M'!$B$58, "-", '4M'!$B$88, "-", '4M'!$X$7, "-", '4M'!$X$5, "-", '4M'!$X$5)</f>
        <v>Other enhancement-Additional Line- Loughor-Total-Cumulative expenditure on all schemes to reporting year end-Cumulative expenditure on all schemes to reporting year end</v>
      </c>
      <c r="F2943" t="s">
        <v>17467</v>
      </c>
      <c r="G2943">
        <f>'4M'!$X$88</f>
        <v>21.550999999999998</v>
      </c>
    </row>
    <row r="2944" spans="1:7">
      <c r="A2944" t="s">
        <v>4189</v>
      </c>
      <c r="C2944" t="str">
        <f>'4M'!$CA$88</f>
        <v>B0403AL2C_TA</v>
      </c>
      <c r="D2944" t="str">
        <f>_xlfn.CONCAT('4M'!$B$58, "-", '4M'!$B$88, "-", '4M'!$Y$7, "-", '4M'!$Y$5, "-", '4M'!$Y$5)</f>
        <v>Other enhancement-Additional Line- Loughor-Total-Cumulative allowed expenditure on all schemes to reporting year end-Cumulative allowed expenditure on all schemes to reporting year end</v>
      </c>
      <c r="F2944" t="s">
        <v>17467</v>
      </c>
      <c r="G2944">
        <f>'4M'!$Y$88</f>
        <v>24.896000000000001</v>
      </c>
    </row>
    <row r="2945" spans="1:7">
      <c r="A2945" t="s">
        <v>4189</v>
      </c>
      <c r="C2945" t="str">
        <f>'4M'!$CB$88</f>
        <v>B0403AL2C_TC</v>
      </c>
      <c r="D2945" t="str">
        <f>_xlfn.CONCAT('4M'!$B$58, "-", '4M'!$B$88, "-", '4M'!$Z$7, "-", '4M'!$Z$5, "-", '4M'!$Z$5)</f>
        <v>Other enhancement-Additional Line- Loughor-Total-Cumulative allowed expenditure on all schemes 2020-25-Cumulative allowed expenditure on all schemes 2020-25</v>
      </c>
      <c r="F2945" t="s">
        <v>17467</v>
      </c>
      <c r="G2945">
        <f>'4M'!$Z$88</f>
        <v>38.799999999999997</v>
      </c>
    </row>
    <row r="2946" spans="1:7">
      <c r="A2946" t="s">
        <v>4189</v>
      </c>
      <c r="C2946" t="str">
        <f>'4M'!$BH$89</f>
        <v>B0363ADO_F</v>
      </c>
      <c r="D2946" t="str">
        <f>_xlfn.CONCAT('4M'!$B$58, "-", '4M'!$B$89, "-", '4M'!$F$7, "-", '4M'!$F$6, "-", '4M'!$F$5)</f>
        <v>Other enhancement-Additional Line- Loughor-Foul-Wastewater network+ -Expenditure in report year</v>
      </c>
      <c r="F2946" t="s">
        <v>17467</v>
      </c>
      <c r="G2946">
        <f>'4M'!$F$89</f>
        <v>0</v>
      </c>
    </row>
    <row r="2947" spans="1:7">
      <c r="A2947" t="s">
        <v>4189</v>
      </c>
      <c r="C2947" t="str">
        <f>'4M'!$BI$89</f>
        <v>B0363ADO_SWD</v>
      </c>
      <c r="D2947" t="str">
        <f>_xlfn.CONCAT('4M'!$B$58, "-", '4M'!$B$89, "-", '4M'!$G$7, "-", '4M'!$F$6, "-", '4M'!$F$5)</f>
        <v>Other enhancement-Additional Line- Loughor-Surface water drainage-Wastewater network+ -Expenditure in report year</v>
      </c>
      <c r="F2947" t="s">
        <v>17467</v>
      </c>
      <c r="G2947">
        <f>'4M'!$G$89</f>
        <v>0</v>
      </c>
    </row>
    <row r="2948" spans="1:7">
      <c r="A2948" t="s">
        <v>4189</v>
      </c>
      <c r="C2948" t="str">
        <f>'4M'!$BJ$89</f>
        <v>B0363ADO_HD</v>
      </c>
      <c r="D2948" t="str">
        <f>_xlfn.CONCAT('4M'!$B$58, "-", '4M'!$B$89, "-", '4M'!$H$7, "-", '4M'!$F$6, "-", '4M'!$F$5)</f>
        <v>Other enhancement-Additional Line- Loughor-Highway drainage-Wastewater network+ -Expenditure in report year</v>
      </c>
      <c r="F2948" t="s">
        <v>17467</v>
      </c>
      <c r="G2948">
        <f>'4M'!$H$89</f>
        <v>0</v>
      </c>
    </row>
    <row r="2949" spans="1:7">
      <c r="A2949" t="s">
        <v>4189</v>
      </c>
      <c r="C2949" t="str">
        <f>'4M'!$BK$89</f>
        <v>B0363ADO_STD</v>
      </c>
      <c r="D2949" t="str">
        <f>_xlfn.CONCAT('4M'!$B$58, "-", '4M'!$B$89, "-", '4M'!$I$7, "-", '4M'!$F$6, "-", '4M'!$F$5)</f>
        <v>Other enhancement-Additional Line- Loughor-Sewage treatment and disposal-Wastewater network+ -Expenditure in report year</v>
      </c>
      <c r="F2949" t="s">
        <v>17467</v>
      </c>
      <c r="G2949">
        <f>'4M'!$I$89</f>
        <v>0</v>
      </c>
    </row>
    <row r="2950" spans="1:7">
      <c r="A2950" t="s">
        <v>4189</v>
      </c>
      <c r="C2950" t="str">
        <f>'4M'!$BL$89</f>
        <v>B0363ADO_SLT</v>
      </c>
      <c r="D2950" t="str">
        <f>_xlfn.CONCAT('4M'!$B$58, "-", '4M'!$B$89, "-", '4M'!$J$7, "-", '4M'!$F$6, "-", '4M'!$F$5)</f>
        <v>Other enhancement-Additional Line- Loughor-Sludge liquor treatment-Wastewater network+ -Expenditure in report year</v>
      </c>
      <c r="F2950" t="s">
        <v>17467</v>
      </c>
      <c r="G2950">
        <f>'4M'!$J$89</f>
        <v>0</v>
      </c>
    </row>
    <row r="2951" spans="1:7">
      <c r="A2951" t="s">
        <v>4189</v>
      </c>
      <c r="C2951" t="str">
        <f>'4M'!$BM$89</f>
        <v>B0363ADO_STP</v>
      </c>
      <c r="D2951" t="str">
        <f>_xlfn.CONCAT('4M'!$B$58, "-", '4M'!$B$89, "-", '4M'!$K$7, "-", '4M'!$K$6, "-", '4M'!$F$5)</f>
        <v>Other enhancement-Additional Line- Loughor-Sludge transport-Bioresources-Expenditure in report year</v>
      </c>
      <c r="F2951" t="s">
        <v>17467</v>
      </c>
      <c r="G2951">
        <f>'4M'!$K$89</f>
        <v>0</v>
      </c>
    </row>
    <row r="2952" spans="1:7">
      <c r="A2952" t="s">
        <v>4189</v>
      </c>
      <c r="C2952" t="str">
        <f>'4M'!$BN$89</f>
        <v>B0363ADO_SDT</v>
      </c>
      <c r="D2952" t="str">
        <f>_xlfn.CONCAT('4M'!$B$58, "-", '4M'!$B$89, "-", '4M'!$L$7, "-", '4M'!$K$6, "-", '4M'!$F$5)</f>
        <v>Other enhancement-Additional Line- Loughor-Sludge treatment-Bioresources-Expenditure in report year</v>
      </c>
      <c r="F2952" t="s">
        <v>17467</v>
      </c>
      <c r="G2952">
        <f>'4M'!$L$89</f>
        <v>0</v>
      </c>
    </row>
    <row r="2953" spans="1:7">
      <c r="A2953" t="s">
        <v>4189</v>
      </c>
      <c r="C2953" t="str">
        <f>'4M'!$BO$89</f>
        <v>B0363ADO_SD</v>
      </c>
      <c r="D2953" t="str">
        <f>_xlfn.CONCAT('4M'!$B$58, "-", '4M'!$B$89, "-", '4M'!$M$7, "-", '4M'!$K$6, "-", '4M'!$F$5)</f>
        <v>Other enhancement-Additional Line- Loughor-Sludge disposal-Bioresources-Expenditure in report year</v>
      </c>
      <c r="F2953" t="s">
        <v>17467</v>
      </c>
      <c r="G2953">
        <f>'4M'!$M$89</f>
        <v>0</v>
      </c>
    </row>
    <row r="2954" spans="1:7">
      <c r="A2954" t="s">
        <v>4189</v>
      </c>
      <c r="C2954" t="str">
        <f>'4M'!$BP$89</f>
        <v>B0363ADO_TOT</v>
      </c>
      <c r="D2954" t="str">
        <f>_xlfn.CONCAT('4M'!$B$58, "-", '4M'!$B$89, "-", '4M'!$N$6, "-", '4M'!$N$6, "-", '4M'!$F$5)</f>
        <v>Other enhancement-Additional Line- Loughor-Total-Total-Expenditure in report year</v>
      </c>
      <c r="F2954" t="s">
        <v>17467</v>
      </c>
      <c r="G2954">
        <f>'4M'!$N$89</f>
        <v>0</v>
      </c>
    </row>
    <row r="2955" spans="1:7">
      <c r="A2955" t="s">
        <v>4189</v>
      </c>
      <c r="C2955" t="str">
        <f>'4M'!$BZ$89</f>
        <v>B0404AL2O_TE</v>
      </c>
      <c r="D2955" t="str">
        <f>_xlfn.CONCAT('4M'!$B$58, "-", '4M'!$B$89, "-", '4M'!$X$7, "-", '4M'!$X$5, "-", '4M'!$X$5)</f>
        <v>Other enhancement-Additional Line- Loughor-Total-Cumulative expenditure on all schemes to reporting year end-Cumulative expenditure on all schemes to reporting year end</v>
      </c>
      <c r="F2955" t="s">
        <v>17467</v>
      </c>
      <c r="G2955">
        <f>'4M'!$X$89</f>
        <v>0</v>
      </c>
    </row>
    <row r="2956" spans="1:7">
      <c r="A2956" t="s">
        <v>4189</v>
      </c>
      <c r="C2956" t="str">
        <f>'4M'!$CA$89</f>
        <v>B0404AL2O_TA</v>
      </c>
      <c r="D2956" t="str">
        <f>_xlfn.CONCAT('4M'!$B$58, "-", '4M'!$B$89, "-", '4M'!$Y$7, "-", '4M'!$Y$5, "-", '4M'!$Y$5)</f>
        <v>Other enhancement-Additional Line- Loughor-Total-Cumulative allowed expenditure on all schemes to reporting year end-Cumulative allowed expenditure on all schemes to reporting year end</v>
      </c>
      <c r="F2956" t="s">
        <v>17467</v>
      </c>
      <c r="G2956">
        <f>'4M'!$Y$89</f>
        <v>0</v>
      </c>
    </row>
    <row r="2957" spans="1:7">
      <c r="A2957" t="s">
        <v>4189</v>
      </c>
      <c r="C2957" t="str">
        <f>'4M'!$CB$89</f>
        <v>B0404AL2O_TC</v>
      </c>
      <c r="D2957" t="str">
        <f>_xlfn.CONCAT('4M'!$B$58, "-", '4M'!$B$89, "-", '4M'!$Z$7, "-", '4M'!$Z$5, "-", '4M'!$Z$5)</f>
        <v>Other enhancement-Additional Line- Loughor-Total-Cumulative allowed expenditure on all schemes 2020-25-Cumulative allowed expenditure on all schemes 2020-25</v>
      </c>
      <c r="F2957" t="s">
        <v>17467</v>
      </c>
      <c r="G2957">
        <f>'4M'!$Z$89</f>
        <v>0</v>
      </c>
    </row>
    <row r="2958" spans="1:7">
      <c r="A2958" t="s">
        <v>4189</v>
      </c>
      <c r="C2958" t="str">
        <f>'4M'!$BH$90</f>
        <v>B0364ADC_F</v>
      </c>
      <c r="D2958" t="str">
        <f>_xlfn.CONCAT('4M'!$B$58, "-", '4M'!$B$90, "-", '4M'!$F$7, "-", '4M'!$F$6, "-", '4M'!$F$5)</f>
        <v>Other enhancement-Additional line- Gowerton /Llanelli UWWTD-Foul-Wastewater network+ -Expenditure in report year</v>
      </c>
      <c r="F2958" t="s">
        <v>17467</v>
      </c>
      <c r="G2958">
        <f>'4M'!$F$90</f>
        <v>2.8000000000000001E-2</v>
      </c>
    </row>
    <row r="2959" spans="1:7">
      <c r="A2959" t="s">
        <v>4189</v>
      </c>
      <c r="C2959" t="str">
        <f>'4M'!$BI$90</f>
        <v>B0364ADC_SWD</v>
      </c>
      <c r="D2959" t="str">
        <f>_xlfn.CONCAT('4M'!$B$58, "-", '4M'!$B$90, "-", '4M'!$G$7, "-", '4M'!$F$6, "-", '4M'!$F$5)</f>
        <v>Other enhancement-Additional line- Gowerton /Llanelli UWWTD-Surface water drainage-Wastewater network+ -Expenditure in report year</v>
      </c>
      <c r="F2959" t="s">
        <v>17467</v>
      </c>
      <c r="G2959">
        <f>'4M'!$G$90</f>
        <v>1.2E-2</v>
      </c>
    </row>
    <row r="2960" spans="1:7">
      <c r="A2960" t="s">
        <v>4189</v>
      </c>
      <c r="C2960" t="str">
        <f>'4M'!$BJ$90</f>
        <v>B0364ADC_HD</v>
      </c>
      <c r="D2960" t="str">
        <f>_xlfn.CONCAT('4M'!$B$58, "-", '4M'!$B$90, "-", '4M'!$H$7, "-", '4M'!$F$6, "-", '4M'!$F$5)</f>
        <v>Other enhancement-Additional line- Gowerton /Llanelli UWWTD-Highway drainage-Wastewater network+ -Expenditure in report year</v>
      </c>
      <c r="F2960" t="s">
        <v>17467</v>
      </c>
      <c r="G2960">
        <f>'4M'!$H$90</f>
        <v>6.0000000000000001E-3</v>
      </c>
    </row>
    <row r="2961" spans="1:7">
      <c r="A2961" t="s">
        <v>4189</v>
      </c>
      <c r="C2961" t="str">
        <f>'4M'!$BK$90</f>
        <v>B0364ADC_STD</v>
      </c>
      <c r="D2961" t="str">
        <f>_xlfn.CONCAT('4M'!$B$58, "-", '4M'!$B$90, "-", '4M'!$I$7, "-", '4M'!$F$6, "-", '4M'!$F$5)</f>
        <v>Other enhancement-Additional line- Gowerton /Llanelli UWWTD-Sewage treatment and disposal-Wastewater network+ -Expenditure in report year</v>
      </c>
      <c r="F2961" t="s">
        <v>17467</v>
      </c>
      <c r="G2961">
        <f>'4M'!$I$90</f>
        <v>0</v>
      </c>
    </row>
    <row r="2962" spans="1:7">
      <c r="A2962" t="s">
        <v>4189</v>
      </c>
      <c r="C2962" t="str">
        <f>'4M'!$BL$90</f>
        <v>B0364ADC_SLT</v>
      </c>
      <c r="D2962" t="str">
        <f>_xlfn.CONCAT('4M'!$B$58, "-", '4M'!$B$90, "-", '4M'!$J$7, "-", '4M'!$F$6, "-", '4M'!$F$5)</f>
        <v>Other enhancement-Additional line- Gowerton /Llanelli UWWTD-Sludge liquor treatment-Wastewater network+ -Expenditure in report year</v>
      </c>
      <c r="F2962" t="s">
        <v>17467</v>
      </c>
      <c r="G2962">
        <f>'4M'!$J$90</f>
        <v>0</v>
      </c>
    </row>
    <row r="2963" spans="1:7">
      <c r="A2963" t="s">
        <v>4189</v>
      </c>
      <c r="C2963" t="str">
        <f>'4M'!$BM$90</f>
        <v>B0364ADC_STP</v>
      </c>
      <c r="D2963" t="str">
        <f>_xlfn.CONCAT('4M'!$B$58, "-", '4M'!$B$90, "-", '4M'!$K$7, "-", '4M'!$K$6, "-", '4M'!$F$5)</f>
        <v>Other enhancement-Additional line- Gowerton /Llanelli UWWTD-Sludge transport-Bioresources-Expenditure in report year</v>
      </c>
      <c r="F2963" t="s">
        <v>17467</v>
      </c>
      <c r="G2963">
        <f>'4M'!$K$90</f>
        <v>0</v>
      </c>
    </row>
    <row r="2964" spans="1:7">
      <c r="A2964" t="s">
        <v>4189</v>
      </c>
      <c r="C2964" t="str">
        <f>'4M'!$BN$90</f>
        <v>B0364ADC_SDT</v>
      </c>
      <c r="D2964" t="str">
        <f>_xlfn.CONCAT('4M'!$B$58, "-", '4M'!$B$90, "-", '4M'!$L$7, "-", '4M'!$K$6, "-", '4M'!$F$5)</f>
        <v>Other enhancement-Additional line- Gowerton /Llanelli UWWTD-Sludge treatment-Bioresources-Expenditure in report year</v>
      </c>
      <c r="F2964" t="s">
        <v>17467</v>
      </c>
      <c r="G2964">
        <f>'4M'!$L$90</f>
        <v>0</v>
      </c>
    </row>
    <row r="2965" spans="1:7">
      <c r="A2965" t="s">
        <v>4189</v>
      </c>
      <c r="C2965" t="str">
        <f>'4M'!$BO$90</f>
        <v>B0364ADC_SD</v>
      </c>
      <c r="D2965" t="str">
        <f>_xlfn.CONCAT('4M'!$B$58, "-", '4M'!$B$90, "-", '4M'!$M$7, "-", '4M'!$K$6, "-", '4M'!$F$5)</f>
        <v>Other enhancement-Additional line- Gowerton /Llanelli UWWTD-Sludge disposal-Bioresources-Expenditure in report year</v>
      </c>
      <c r="F2965" t="s">
        <v>17467</v>
      </c>
      <c r="G2965">
        <f>'4M'!$M$90</f>
        <v>0</v>
      </c>
    </row>
    <row r="2966" spans="1:7">
      <c r="A2966" t="s">
        <v>4189</v>
      </c>
      <c r="C2966" t="str">
        <f>'4M'!$BP$90</f>
        <v>B0364ADC_TOT</v>
      </c>
      <c r="D2966" t="str">
        <f>_xlfn.CONCAT('4M'!$B$58, "-", '4M'!$B$90, "-", '4M'!$N$6, "-", '4M'!$N$6, "-", '4M'!$F$5)</f>
        <v>Other enhancement-Additional line- Gowerton /Llanelli UWWTD-Total-Total-Expenditure in report year</v>
      </c>
      <c r="F2966" t="s">
        <v>17467</v>
      </c>
      <c r="G2966">
        <f>'4M'!$N$90</f>
        <v>4.5999999999999999E-2</v>
      </c>
    </row>
    <row r="2967" spans="1:7">
      <c r="A2967" t="s">
        <v>4189</v>
      </c>
      <c r="C2967" t="str">
        <f>'4M'!$BZ$90</f>
        <v>B0405AL3C_TE</v>
      </c>
      <c r="D2967" t="str">
        <f>_xlfn.CONCAT('4M'!$B$58, "-", '4M'!$B$90, "-", '4M'!$X$7, "-", '4M'!$X$5, "-", '4M'!$X$5)</f>
        <v>Other enhancement-Additional line- Gowerton /Llanelli UWWTD-Total-Cumulative expenditure on all schemes to reporting year end-Cumulative expenditure on all schemes to reporting year end</v>
      </c>
      <c r="F2967" t="s">
        <v>17467</v>
      </c>
      <c r="G2967">
        <f>'4M'!$X$90</f>
        <v>2.2010000000000001</v>
      </c>
    </row>
    <row r="2968" spans="1:7">
      <c r="A2968" t="s">
        <v>4189</v>
      </c>
      <c r="C2968" t="str">
        <f>'4M'!$CA$90</f>
        <v>B0405AL3C_TA</v>
      </c>
      <c r="D2968" t="str">
        <f>_xlfn.CONCAT('4M'!$B$58, "-", '4M'!$B$90, "-", '4M'!$Y$7, "-", '4M'!$Y$5, "-", '4M'!$Y$5)</f>
        <v>Other enhancement-Additional line- Gowerton /Llanelli UWWTD-Total-Cumulative allowed expenditure on all schemes to reporting year end-Cumulative allowed expenditure on all schemes to reporting year end</v>
      </c>
      <c r="F2968" t="s">
        <v>17467</v>
      </c>
      <c r="G2968">
        <f>'4M'!$Y$90</f>
        <v>0</v>
      </c>
    </row>
    <row r="2969" spans="1:7">
      <c r="A2969" t="s">
        <v>4189</v>
      </c>
      <c r="C2969" t="str">
        <f>'4M'!$CB$90</f>
        <v>B0405AL3C_TC</v>
      </c>
      <c r="D2969" t="str">
        <f>_xlfn.CONCAT('4M'!$B$58, "-", '4M'!$B$90, "-", '4M'!$Z$7, "-", '4M'!$Z$5, "-", '4M'!$Z$5)</f>
        <v>Other enhancement-Additional line- Gowerton /Llanelli UWWTD-Total-Cumulative allowed expenditure on all schemes 2020-25-Cumulative allowed expenditure on all schemes 2020-25</v>
      </c>
      <c r="F2969" t="s">
        <v>17467</v>
      </c>
      <c r="G2969">
        <f>'4M'!$Z$90</f>
        <v>0</v>
      </c>
    </row>
    <row r="2970" spans="1:7">
      <c r="A2970" t="s">
        <v>4189</v>
      </c>
      <c r="C2970" t="str">
        <f>'4M'!$BH$91</f>
        <v>B0365ADO_F</v>
      </c>
      <c r="D2970" t="str">
        <f>_xlfn.CONCAT('4M'!$B$58, "-", '4M'!$B$91, "-", '4M'!$F$7, "-", '4M'!$F$6, "-", '4M'!$F$5)</f>
        <v>Other enhancement-Additional line- Gowerton /Llanelli UWWTD-Foul-Wastewater network+ -Expenditure in report year</v>
      </c>
      <c r="F2970" t="s">
        <v>17467</v>
      </c>
      <c r="G2970">
        <f>'4M'!$F$91</f>
        <v>0</v>
      </c>
    </row>
    <row r="2971" spans="1:7">
      <c r="A2971" t="s">
        <v>4189</v>
      </c>
      <c r="C2971" t="str">
        <f>'4M'!$BI$91</f>
        <v>B0365ADO_SWD</v>
      </c>
      <c r="D2971" t="str">
        <f>_xlfn.CONCAT('4M'!$B$58, "-", '4M'!$B$91, "-", '4M'!$G$7, "-", '4M'!$F$6, "-", '4M'!$F$5)</f>
        <v>Other enhancement-Additional line- Gowerton /Llanelli UWWTD-Surface water drainage-Wastewater network+ -Expenditure in report year</v>
      </c>
      <c r="F2971" t="s">
        <v>17467</v>
      </c>
      <c r="G2971">
        <f>'4M'!$G$91</f>
        <v>0</v>
      </c>
    </row>
    <row r="2972" spans="1:7">
      <c r="A2972" t="s">
        <v>4189</v>
      </c>
      <c r="C2972" t="str">
        <f>'4M'!$BJ$91</f>
        <v>B0365ADO_HD</v>
      </c>
      <c r="D2972" t="str">
        <f>_xlfn.CONCAT('4M'!$B$58, "-", '4M'!$B$91, "-", '4M'!$H$7, "-", '4M'!$F$6, "-", '4M'!$F$5)</f>
        <v>Other enhancement-Additional line- Gowerton /Llanelli UWWTD-Highway drainage-Wastewater network+ -Expenditure in report year</v>
      </c>
      <c r="F2972" t="s">
        <v>17467</v>
      </c>
      <c r="G2972">
        <f>'4M'!$H$91</f>
        <v>0</v>
      </c>
    </row>
    <row r="2973" spans="1:7">
      <c r="A2973" t="s">
        <v>4189</v>
      </c>
      <c r="C2973" t="str">
        <f>'4M'!$BK$91</f>
        <v>B0365ADO_STD</v>
      </c>
      <c r="D2973" t="str">
        <f>_xlfn.CONCAT('4M'!$B$58, "-", '4M'!$B$91, "-", '4M'!$I$7, "-", '4M'!$F$6, "-", '4M'!$F$5)</f>
        <v>Other enhancement-Additional line- Gowerton /Llanelli UWWTD-Sewage treatment and disposal-Wastewater network+ -Expenditure in report year</v>
      </c>
      <c r="F2973" t="s">
        <v>17467</v>
      </c>
      <c r="G2973">
        <f>'4M'!$I$91</f>
        <v>0</v>
      </c>
    </row>
    <row r="2974" spans="1:7">
      <c r="A2974" t="s">
        <v>4189</v>
      </c>
      <c r="C2974" t="str">
        <f>'4M'!$BL$91</f>
        <v>B0365ADO_SLT</v>
      </c>
      <c r="D2974" t="str">
        <f>_xlfn.CONCAT('4M'!$B$58, "-", '4M'!$B$91, "-", '4M'!$J$7, "-", '4M'!$F$6, "-", '4M'!$F$5)</f>
        <v>Other enhancement-Additional line- Gowerton /Llanelli UWWTD-Sludge liquor treatment-Wastewater network+ -Expenditure in report year</v>
      </c>
      <c r="F2974" t="s">
        <v>17467</v>
      </c>
      <c r="G2974">
        <f>'4M'!$J$91</f>
        <v>0</v>
      </c>
    </row>
    <row r="2975" spans="1:7">
      <c r="A2975" t="s">
        <v>4189</v>
      </c>
      <c r="C2975" t="str">
        <f>'4M'!$BM$91</f>
        <v>B0365ADO_STP</v>
      </c>
      <c r="D2975" t="str">
        <f>_xlfn.CONCAT('4M'!$B$58, "-", '4M'!$B$91, "-", '4M'!$K$7, "-", '4M'!$K$6, "-", '4M'!$F$5)</f>
        <v>Other enhancement-Additional line- Gowerton /Llanelli UWWTD-Sludge transport-Bioresources-Expenditure in report year</v>
      </c>
      <c r="F2975" t="s">
        <v>17467</v>
      </c>
      <c r="G2975">
        <f>'4M'!$K$91</f>
        <v>0</v>
      </c>
    </row>
    <row r="2976" spans="1:7">
      <c r="A2976" t="s">
        <v>4189</v>
      </c>
      <c r="C2976" t="str">
        <f>'4M'!$BN$91</f>
        <v>B0365ADO_SDT</v>
      </c>
      <c r="D2976" t="str">
        <f>_xlfn.CONCAT('4M'!$B$58, "-", '4M'!$B$91, "-", '4M'!$L$7, "-", '4M'!$K$6, "-", '4M'!$F$5)</f>
        <v>Other enhancement-Additional line- Gowerton /Llanelli UWWTD-Sludge treatment-Bioresources-Expenditure in report year</v>
      </c>
      <c r="F2976" t="s">
        <v>17467</v>
      </c>
      <c r="G2976">
        <f>'4M'!$L$91</f>
        <v>0</v>
      </c>
    </row>
    <row r="2977" spans="1:7">
      <c r="A2977" t="s">
        <v>4189</v>
      </c>
      <c r="C2977" t="str">
        <f>'4M'!$BO$91</f>
        <v>B0365ADO_SD</v>
      </c>
      <c r="D2977" t="str">
        <f>_xlfn.CONCAT('4M'!$B$58, "-", '4M'!$B$91, "-", '4M'!$M$7, "-", '4M'!$K$6, "-", '4M'!$F$5)</f>
        <v>Other enhancement-Additional line- Gowerton /Llanelli UWWTD-Sludge disposal-Bioresources-Expenditure in report year</v>
      </c>
      <c r="F2977" t="s">
        <v>17467</v>
      </c>
      <c r="G2977">
        <f>'4M'!$M$91</f>
        <v>0</v>
      </c>
    </row>
    <row r="2978" spans="1:7">
      <c r="A2978" t="s">
        <v>4189</v>
      </c>
      <c r="C2978" t="str">
        <f>'4M'!$BP$91</f>
        <v>B0365ADO_TOT</v>
      </c>
      <c r="D2978" t="str">
        <f>_xlfn.CONCAT('4M'!$B$58, "-", '4M'!$B$91, "-", '4M'!$N$6, "-", '4M'!$N$6, "-", '4M'!$F$5)</f>
        <v>Other enhancement-Additional line- Gowerton /Llanelli UWWTD-Total-Total-Expenditure in report year</v>
      </c>
      <c r="F2978" t="s">
        <v>17467</v>
      </c>
      <c r="G2978">
        <f>'4M'!$N$91</f>
        <v>0</v>
      </c>
    </row>
    <row r="2979" spans="1:7">
      <c r="A2979" t="s">
        <v>4189</v>
      </c>
      <c r="C2979" t="str">
        <f>'4M'!$BZ$91</f>
        <v>B0406AL3O_TE</v>
      </c>
      <c r="D2979" t="str">
        <f>_xlfn.CONCAT('4M'!$B$58, "-", '4M'!$B$91, "-", '4M'!$X$7, "-", '4M'!$X$5, "-", '4M'!$X$5)</f>
        <v>Other enhancement-Additional line- Gowerton /Llanelli UWWTD-Total-Cumulative expenditure on all schemes to reporting year end-Cumulative expenditure on all schemes to reporting year end</v>
      </c>
      <c r="F2979" t="s">
        <v>17467</v>
      </c>
      <c r="G2979">
        <f>'4M'!$X$91</f>
        <v>0</v>
      </c>
    </row>
    <row r="2980" spans="1:7">
      <c r="A2980" t="s">
        <v>4189</v>
      </c>
      <c r="C2980" t="str">
        <f>'4M'!$CA$91</f>
        <v>B0406AL3O_TA</v>
      </c>
      <c r="D2980" t="str">
        <f>_xlfn.CONCAT('4M'!$B$58, "-", '4M'!$B$91, "-", '4M'!$Y$7, "-", '4M'!$Y$5, "-", '4M'!$Y$5)</f>
        <v>Other enhancement-Additional line- Gowerton /Llanelli UWWTD-Total-Cumulative allowed expenditure on all schemes to reporting year end-Cumulative allowed expenditure on all schemes to reporting year end</v>
      </c>
      <c r="F2980" t="s">
        <v>17467</v>
      </c>
      <c r="G2980">
        <f>'4M'!$Y$91</f>
        <v>0</v>
      </c>
    </row>
    <row r="2981" spans="1:7">
      <c r="A2981" t="s">
        <v>4189</v>
      </c>
      <c r="C2981" t="str">
        <f>'4M'!$CB$91</f>
        <v>B0406AL3O_TC</v>
      </c>
      <c r="D2981" t="str">
        <f>_xlfn.CONCAT('4M'!$B$58, "-", '4M'!$B$91, "-", '4M'!$Z$7, "-", '4M'!$Z$5, "-", '4M'!$Z$5)</f>
        <v>Other enhancement-Additional line- Gowerton /Llanelli UWWTD-Total-Cumulative allowed expenditure on all schemes 2020-25-Cumulative allowed expenditure on all schemes 2020-25</v>
      </c>
      <c r="F2981" t="s">
        <v>17467</v>
      </c>
      <c r="G2981">
        <f>'4M'!$Z$91</f>
        <v>0</v>
      </c>
    </row>
    <row r="2982" spans="1:7">
      <c r="A2982" t="s">
        <v>4189</v>
      </c>
      <c r="C2982" t="str">
        <f>'4M'!$BH$92</f>
        <v>B0366ADC_F</v>
      </c>
      <c r="D2982" t="str">
        <f>_xlfn.CONCAT('4M'!$B$58, "-", '4M'!$B$92, "-", '4M'!$F$7, "-", '4M'!$F$6, "-", '4M'!$F$5)</f>
        <v>Other enhancement-Additional line 4-Foul-Wastewater network+ -Expenditure in report year</v>
      </c>
      <c r="F2982" t="s">
        <v>17467</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17467</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17467</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17467</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17467</v>
      </c>
      <c r="G2986">
        <f>'4M'!$J$92</f>
        <v>0</v>
      </c>
    </row>
    <row r="2987" spans="1:7">
      <c r="A2987" t="s">
        <v>4189</v>
      </c>
      <c r="C2987" t="str">
        <f>'4M'!$BM$92</f>
        <v>B0366ADC_STP</v>
      </c>
      <c r="D2987" t="str">
        <f>_xlfn.CONCAT('4M'!$B$58, "-", '4M'!$B$92, "-", '4M'!$K$7, "-", '4M'!$K$6, "-", '4M'!$F$5)</f>
        <v>Other enhancement-Additional line 4-Sludge transport-Bioresources-Expenditure in report year</v>
      </c>
      <c r="F2987" t="s">
        <v>17467</v>
      </c>
      <c r="G2987">
        <f>'4M'!$K$92</f>
        <v>0</v>
      </c>
    </row>
    <row r="2988" spans="1:7">
      <c r="A2988" t="s">
        <v>4189</v>
      </c>
      <c r="C2988" t="str">
        <f>'4M'!$BN$92</f>
        <v>B0366ADC_SDT</v>
      </c>
      <c r="D2988" t="str">
        <f>_xlfn.CONCAT('4M'!$B$58, "-", '4M'!$B$92, "-", '4M'!$L$7, "-", '4M'!$K$6, "-", '4M'!$F$5)</f>
        <v>Other enhancement-Additional line 4-Sludge treatment-Bioresources-Expenditure in report year</v>
      </c>
      <c r="F2988" t="s">
        <v>17467</v>
      </c>
      <c r="G2988">
        <f>'4M'!$L$92</f>
        <v>0</v>
      </c>
    </row>
    <row r="2989" spans="1:7">
      <c r="A2989" t="s">
        <v>4189</v>
      </c>
      <c r="C2989" t="str">
        <f>'4M'!$BO$92</f>
        <v>B0366ADC_SD</v>
      </c>
      <c r="D2989" t="str">
        <f>_xlfn.CONCAT('4M'!$B$58, "-", '4M'!$B$92, "-", '4M'!$M$7, "-", '4M'!$K$6, "-", '4M'!$F$5)</f>
        <v>Other enhancement-Additional line 4-Sludge disposal-Bioresources-Expenditure in report year</v>
      </c>
      <c r="F2989" t="s">
        <v>17467</v>
      </c>
      <c r="G2989">
        <f>'4M'!$M$92</f>
        <v>0</v>
      </c>
    </row>
    <row r="2990" spans="1:7">
      <c r="A2990" t="s">
        <v>4189</v>
      </c>
      <c r="C2990" t="str">
        <f>'4M'!$BP$92</f>
        <v>B0366ADC_TOT</v>
      </c>
      <c r="D2990" t="str">
        <f>_xlfn.CONCAT('4M'!$B$58, "-", '4M'!$B$92, "-", '4M'!$N$6, "-", '4M'!$N$6, "-", '4M'!$F$5)</f>
        <v>Other enhancement-Additional line 4-Total-Total-Expenditure in report year</v>
      </c>
      <c r="F2990" t="s">
        <v>17467</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17467</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17467</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17467</v>
      </c>
      <c r="G2993">
        <f>'4M'!$Z$92</f>
        <v>0</v>
      </c>
    </row>
    <row r="2994" spans="1:7">
      <c r="A2994" t="s">
        <v>4189</v>
      </c>
      <c r="C2994" t="str">
        <f>'4M'!$BH$93</f>
        <v>B0367ADO_F</v>
      </c>
      <c r="D2994" t="str">
        <f>_xlfn.CONCAT('4M'!$B$58, "-", '4M'!$B$93, "-", '4M'!$F$7, "-", '4M'!$F$6, "-", '4M'!$F$5)</f>
        <v>Other enhancement-Additional line 4-Foul-Wastewater network+ -Expenditure in report year</v>
      </c>
      <c r="F2994" t="s">
        <v>17467</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17467</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17467</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17467</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17467</v>
      </c>
      <c r="G2998">
        <f>'4M'!$J$93</f>
        <v>0</v>
      </c>
    </row>
    <row r="2999" spans="1:7">
      <c r="A2999" t="s">
        <v>4189</v>
      </c>
      <c r="C2999" t="str">
        <f>'4M'!$BM$93</f>
        <v>B0367ADO_STP</v>
      </c>
      <c r="D2999" t="str">
        <f>_xlfn.CONCAT('4M'!$B$58, "-", '4M'!$B$93, "-", '4M'!$K$7, "-", '4M'!$K$6, "-", '4M'!$F$5)</f>
        <v>Other enhancement-Additional line 4-Sludge transport-Bioresources-Expenditure in report year</v>
      </c>
      <c r="F2999" t="s">
        <v>17467</v>
      </c>
      <c r="G2999">
        <f>'4M'!$K$93</f>
        <v>0</v>
      </c>
    </row>
    <row r="3000" spans="1:7">
      <c r="A3000" t="s">
        <v>4189</v>
      </c>
      <c r="C3000" t="str">
        <f>'4M'!$BN$93</f>
        <v>B0367ADO_SDT</v>
      </c>
      <c r="D3000" t="str">
        <f>_xlfn.CONCAT('4M'!$B$58, "-", '4M'!$B$93, "-", '4M'!$L$7, "-", '4M'!$K$6, "-", '4M'!$F$5)</f>
        <v>Other enhancement-Additional line 4-Sludge treatment-Bioresources-Expenditure in report year</v>
      </c>
      <c r="F3000" t="s">
        <v>17467</v>
      </c>
      <c r="G3000">
        <f>'4M'!$L$93</f>
        <v>0</v>
      </c>
    </row>
    <row r="3001" spans="1:7">
      <c r="A3001" t="s">
        <v>4189</v>
      </c>
      <c r="C3001" t="str">
        <f>'4M'!$BO$93</f>
        <v>B0367ADO_SD</v>
      </c>
      <c r="D3001" t="str">
        <f>_xlfn.CONCAT('4M'!$B$58, "-", '4M'!$B$93, "-", '4M'!$M$7, "-", '4M'!$K$6, "-", '4M'!$F$5)</f>
        <v>Other enhancement-Additional line 4-Sludge disposal-Bioresources-Expenditure in report year</v>
      </c>
      <c r="F3001" t="s">
        <v>17467</v>
      </c>
      <c r="G3001">
        <f>'4M'!$M$93</f>
        <v>0</v>
      </c>
    </row>
    <row r="3002" spans="1:7">
      <c r="A3002" t="s">
        <v>4189</v>
      </c>
      <c r="C3002" t="str">
        <f>'4M'!$BP$93</f>
        <v>B0367ADO_TOT</v>
      </c>
      <c r="D3002" t="str">
        <f>_xlfn.CONCAT('4M'!$B$58, "-", '4M'!$B$93, "-", '4M'!$N$6, "-", '4M'!$N$6, "-", '4M'!$F$5)</f>
        <v>Other enhancement-Additional line 4-Total-Total-Expenditure in report year</v>
      </c>
      <c r="F3002" t="s">
        <v>17467</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17467</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17467</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17467</v>
      </c>
      <c r="G3005">
        <f>'4M'!$Z$93</f>
        <v>0</v>
      </c>
    </row>
    <row r="3006" spans="1:7">
      <c r="A3006" t="s">
        <v>4189</v>
      </c>
      <c r="C3006" t="str">
        <f>'4M'!$BH$94</f>
        <v>B0368ADC_F</v>
      </c>
      <c r="D3006" t="str">
        <f>_xlfn.CONCAT('4M'!$B$58, "-", '4M'!$B$94, "-", '4M'!$F$7, "-", '4M'!$F$6, "-", '4M'!$F$5)</f>
        <v>Other enhancement-Additional line 5-Foul-Wastewater network+ -Expenditure in report year</v>
      </c>
      <c r="F3006" t="s">
        <v>17467</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17467</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17467</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17467</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17467</v>
      </c>
      <c r="G3010">
        <f>'4M'!$J$94</f>
        <v>0</v>
      </c>
    </row>
    <row r="3011" spans="1:7">
      <c r="A3011" t="s">
        <v>4189</v>
      </c>
      <c r="C3011" t="str">
        <f>'4M'!$BM$94</f>
        <v>B0368ADC_STP</v>
      </c>
      <c r="D3011" t="str">
        <f>_xlfn.CONCAT('4M'!$B$58, "-", '4M'!$B$94, "-", '4M'!$K$7, "-", '4M'!$K$6, "-", '4M'!$F$5)</f>
        <v>Other enhancement-Additional line 5-Sludge transport-Bioresources-Expenditure in report year</v>
      </c>
      <c r="F3011" t="s">
        <v>17467</v>
      </c>
      <c r="G3011">
        <f>'4M'!$K$94</f>
        <v>0</v>
      </c>
    </row>
    <row r="3012" spans="1:7">
      <c r="A3012" t="s">
        <v>4189</v>
      </c>
      <c r="C3012" t="str">
        <f>'4M'!$BN$94</f>
        <v>B0368ADC_SDT</v>
      </c>
      <c r="D3012" t="str">
        <f>_xlfn.CONCAT('4M'!$B$58, "-", '4M'!$B$94, "-", '4M'!$L$7, "-", '4M'!$K$6, "-", '4M'!$F$5)</f>
        <v>Other enhancement-Additional line 5-Sludge treatment-Bioresources-Expenditure in report year</v>
      </c>
      <c r="F3012" t="s">
        <v>17467</v>
      </c>
      <c r="G3012">
        <f>'4M'!$L$94</f>
        <v>0</v>
      </c>
    </row>
    <row r="3013" spans="1:7">
      <c r="A3013" t="s">
        <v>4189</v>
      </c>
      <c r="C3013" t="str">
        <f>'4M'!$BO$94</f>
        <v>B0368ADC_SD</v>
      </c>
      <c r="D3013" t="str">
        <f>_xlfn.CONCAT('4M'!$B$58, "-", '4M'!$B$94, "-", '4M'!$M$7, "-", '4M'!$K$6, "-", '4M'!$F$5)</f>
        <v>Other enhancement-Additional line 5-Sludge disposal-Bioresources-Expenditure in report year</v>
      </c>
      <c r="F3013" t="s">
        <v>17467</v>
      </c>
      <c r="G3013">
        <f>'4M'!$M$94</f>
        <v>0</v>
      </c>
    </row>
    <row r="3014" spans="1:7">
      <c r="A3014" t="s">
        <v>4189</v>
      </c>
      <c r="C3014" t="str">
        <f>'4M'!$BP$94</f>
        <v>B0368ADC_TOT</v>
      </c>
      <c r="D3014" t="str">
        <f>_xlfn.CONCAT('4M'!$B$58, "-", '4M'!$B$94, "-", '4M'!$N$6, "-", '4M'!$N$6, "-", '4M'!$F$5)</f>
        <v>Other enhancement-Additional line 5-Total-Total-Expenditure in report year</v>
      </c>
      <c r="F3014" t="s">
        <v>17467</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17467</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17467</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17467</v>
      </c>
      <c r="G3017">
        <f>'4M'!$Z$94</f>
        <v>0</v>
      </c>
    </row>
    <row r="3018" spans="1:7">
      <c r="A3018" t="s">
        <v>4189</v>
      </c>
      <c r="C3018" t="str">
        <f>'4M'!$BH$95</f>
        <v>B0369ADO_F</v>
      </c>
      <c r="D3018" t="str">
        <f>_xlfn.CONCAT('4M'!$B$58, "-", '4M'!$B$95, "-", '4M'!$F$7, "-", '4M'!$F$6, "-", '4M'!$F$5)</f>
        <v>Other enhancement-Additional line 5-Foul-Wastewater network+ -Expenditure in report year</v>
      </c>
      <c r="F3018" t="s">
        <v>17467</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17467</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17467</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17467</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17467</v>
      </c>
      <c r="G3022">
        <f>'4M'!$J$95</f>
        <v>0</v>
      </c>
    </row>
    <row r="3023" spans="1:7">
      <c r="A3023" t="s">
        <v>4189</v>
      </c>
      <c r="C3023" t="str">
        <f>'4M'!$BM$95</f>
        <v>B0369ADO_STP</v>
      </c>
      <c r="D3023" t="str">
        <f>_xlfn.CONCAT('4M'!$B$58, "-", '4M'!$B$95, "-", '4M'!$K$7, "-", '4M'!$K$6, "-", '4M'!$F$5)</f>
        <v>Other enhancement-Additional line 5-Sludge transport-Bioresources-Expenditure in report year</v>
      </c>
      <c r="F3023" t="s">
        <v>17467</v>
      </c>
      <c r="G3023">
        <f>'4M'!$K$95</f>
        <v>0</v>
      </c>
    </row>
    <row r="3024" spans="1:7">
      <c r="A3024" t="s">
        <v>4189</v>
      </c>
      <c r="C3024" t="str">
        <f>'4M'!$BN$95</f>
        <v>B0369ADO_SDT</v>
      </c>
      <c r="D3024" t="str">
        <f>_xlfn.CONCAT('4M'!$B$58, "-", '4M'!$B$95, "-", '4M'!$L$7, "-", '4M'!$K$6, "-", '4M'!$F$5)</f>
        <v>Other enhancement-Additional line 5-Sludge treatment-Bioresources-Expenditure in report year</v>
      </c>
      <c r="F3024" t="s">
        <v>17467</v>
      </c>
      <c r="G3024">
        <f>'4M'!$L$95</f>
        <v>0</v>
      </c>
    </row>
    <row r="3025" spans="1:7">
      <c r="A3025" t="s">
        <v>4189</v>
      </c>
      <c r="C3025" t="str">
        <f>'4M'!$BO$95</f>
        <v>B0369ADO_SD</v>
      </c>
      <c r="D3025" t="str">
        <f>_xlfn.CONCAT('4M'!$B$58, "-", '4M'!$B$95, "-", '4M'!$M$7, "-", '4M'!$K$6, "-", '4M'!$F$5)</f>
        <v>Other enhancement-Additional line 5-Sludge disposal-Bioresources-Expenditure in report year</v>
      </c>
      <c r="F3025" t="s">
        <v>17467</v>
      </c>
      <c r="G3025">
        <f>'4M'!$M$95</f>
        <v>0</v>
      </c>
    </row>
    <row r="3026" spans="1:7">
      <c r="A3026" t="s">
        <v>4189</v>
      </c>
      <c r="C3026" t="str">
        <f>'4M'!$BP$95</f>
        <v>B0369ADO_TOT</v>
      </c>
      <c r="D3026" t="str">
        <f>_xlfn.CONCAT('4M'!$B$58, "-", '4M'!$B$95, "-", '4M'!$N$6, "-", '4M'!$N$6, "-", '4M'!$F$5)</f>
        <v>Other enhancement-Additional line 5-Total-Total-Expenditure in report year</v>
      </c>
      <c r="F3026" t="s">
        <v>17467</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17467</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17467</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17467</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17467</v>
      </c>
      <c r="G3030">
        <f>'4M'!$F$96</f>
        <v>6.6459999999999999</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17467</v>
      </c>
      <c r="G3031">
        <f>'4M'!$G$96</f>
        <v>2.7230000000000003</v>
      </c>
    </row>
    <row r="3032" spans="1:7">
      <c r="A3032" t="s">
        <v>4189</v>
      </c>
      <c r="C3032" t="str">
        <f>'4M'!$BJ$96</f>
        <v>B0370TET_HD</v>
      </c>
      <c r="D3032" t="str">
        <f>_xlfn.CONCAT('4M'!$B$58, "-", '4M'!$B$96, "-", '4M'!$H$7, "-", '4M'!$F$6, "-", '4M'!$F$5)</f>
        <v>Other enhancement-Total other enhancement expenditure-Highway drainage-Wastewater network+ -Expenditure in report year</v>
      </c>
      <c r="F3032" t="s">
        <v>17467</v>
      </c>
      <c r="G3032">
        <f>'4M'!$H$96</f>
        <v>1.5249999999999999</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17467</v>
      </c>
      <c r="G3033">
        <f>'4M'!$I$96</f>
        <v>7.0579999999999998</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17467</v>
      </c>
      <c r="G3034">
        <f>'4M'!$J$96</f>
        <v>3.0000000000000001E-3</v>
      </c>
    </row>
    <row r="3035" spans="1:7">
      <c r="A3035" t="s">
        <v>4189</v>
      </c>
      <c r="C3035" t="str">
        <f>'4M'!$BM$96</f>
        <v>B0370TET_STP</v>
      </c>
      <c r="D3035" t="str">
        <f>_xlfn.CONCAT('4M'!$B$58, "-", '4M'!$B$96, "-", '4M'!$K$7, "-", '4M'!$K$6, "-", '4M'!$F$5)</f>
        <v>Other enhancement-Total other enhancement expenditure-Sludge transport-Bioresources-Expenditure in report year</v>
      </c>
      <c r="F3035" t="s">
        <v>17467</v>
      </c>
      <c r="G3035">
        <f>'4M'!$K$96</f>
        <v>1.6E-2</v>
      </c>
    </row>
    <row r="3036" spans="1:7">
      <c r="A3036" t="s">
        <v>4189</v>
      </c>
      <c r="C3036" t="str">
        <f>'4M'!$BN$96</f>
        <v>B0370TET_SDT</v>
      </c>
      <c r="D3036" t="str">
        <f>_xlfn.CONCAT('4M'!$B$58, "-", '4M'!$B$96, "-", '4M'!$L$7, "-", '4M'!$K$6, "-", '4M'!$F$5)</f>
        <v>Other enhancement-Total other enhancement expenditure-Sludge treatment-Bioresources-Expenditure in report year</v>
      </c>
      <c r="F3036" t="s">
        <v>17467</v>
      </c>
      <c r="G3036">
        <f>'4M'!$L$96</f>
        <v>3.472</v>
      </c>
    </row>
    <row r="3037" spans="1:7">
      <c r="A3037" t="s">
        <v>4189</v>
      </c>
      <c r="C3037" t="str">
        <f>'4M'!$BO$96</f>
        <v>B0370TET_SD</v>
      </c>
      <c r="D3037" t="str">
        <f>_xlfn.CONCAT('4M'!$B$58, "-", '4M'!$B$96, "-", '4M'!$M$7, "-", '4M'!$K$6, "-", '4M'!$F$5)</f>
        <v>Other enhancement-Total other enhancement expenditure-Sludge disposal-Bioresources-Expenditure in report year</v>
      </c>
      <c r="F3037" t="s">
        <v>17467</v>
      </c>
      <c r="G3037">
        <f>'4M'!$M$96</f>
        <v>0.01</v>
      </c>
    </row>
    <row r="3038" spans="1:7">
      <c r="A3038" t="s">
        <v>4189</v>
      </c>
      <c r="C3038" t="str">
        <f>'4M'!$BP$96</f>
        <v>B0370TET_TOT</v>
      </c>
      <c r="D3038" t="str">
        <f>_xlfn.CONCAT('4M'!$B$58, "-", '4M'!$B$96, "-", '4M'!$N$6, "-", '4M'!$N$6, "-", '4M'!$F$5)</f>
        <v>Other enhancement-Total other enhancement expenditure-Total-Total-Expenditure in report year</v>
      </c>
      <c r="F3038" t="s">
        <v>17467</v>
      </c>
      <c r="G3038">
        <f>'4M'!$N$96</f>
        <v>21.452999999999999</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17467</v>
      </c>
      <c r="G3039">
        <f>'4M'!$X$96</f>
        <v>43.677</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17467</v>
      </c>
      <c r="G3040">
        <f>'4M'!$Y$96</f>
        <v>43.612000000000002</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17467</v>
      </c>
      <c r="G3041">
        <f>'4M'!$Z$96</f>
        <v>68.960999999999999</v>
      </c>
    </row>
    <row r="3042" spans="1:7">
      <c r="A3042" t="s">
        <v>4189</v>
      </c>
      <c r="C3042" t="str">
        <f>'4M'!$BH$99</f>
        <v>B0371TEC_F</v>
      </c>
      <c r="D3042" t="str">
        <f>_xlfn.CONCAT('4M'!$B$98, "-", '4M'!$B$99, "-", '4M'!$F$7, "-", '4M'!$F$6, "-", '4M'!$F$5)</f>
        <v>Total enhancement-Total enhancement expenditure -Foul-Wastewater network+ -Expenditure in report year</v>
      </c>
      <c r="F3042" t="s">
        <v>17467</v>
      </c>
      <c r="G3042">
        <f>'4M'!$F$99</f>
        <v>11.825000000000001</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17467</v>
      </c>
      <c r="G3043">
        <f>'4M'!$G$99</f>
        <v>4.8469999999999978</v>
      </c>
    </row>
    <row r="3044" spans="1:7">
      <c r="A3044" t="s">
        <v>4189</v>
      </c>
      <c r="C3044" t="str">
        <f>'4M'!$BJ$99</f>
        <v>B0371TEC_HD</v>
      </c>
      <c r="D3044" t="str">
        <f>_xlfn.CONCAT('4M'!$B$98, "-", '4M'!$B$99, "-", '4M'!$H$7, "-", '4M'!$F$6, "-", '4M'!$F$5)</f>
        <v>Total enhancement-Total enhancement expenditure -Highway drainage-Wastewater network+ -Expenditure in report year</v>
      </c>
      <c r="F3044" t="s">
        <v>17467</v>
      </c>
      <c r="G3044">
        <f>'4M'!$H$99</f>
        <v>2.714</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17467</v>
      </c>
      <c r="G3045">
        <f>'4M'!$I$99</f>
        <v>42.716000000000001</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17467</v>
      </c>
      <c r="G3046">
        <f>'4M'!$J$99</f>
        <v>3.0000000000000001E-3</v>
      </c>
    </row>
    <row r="3047" spans="1:7">
      <c r="A3047" t="s">
        <v>4189</v>
      </c>
      <c r="C3047" t="str">
        <f>'4M'!$BM$99</f>
        <v>B0371TEC_STP</v>
      </c>
      <c r="D3047" t="str">
        <f>_xlfn.CONCAT('4M'!$B$98, "-", '4M'!$B$99, "-", '4M'!$K$7, "-", '4M'!$K$6, "-", '4M'!$F$5)</f>
        <v>Total enhancement-Total enhancement expenditure -Sludge transport-Bioresources-Expenditure in report year</v>
      </c>
      <c r="F3047" t="s">
        <v>17467</v>
      </c>
      <c r="G3047">
        <f>'4M'!$K$99</f>
        <v>1.6E-2</v>
      </c>
    </row>
    <row r="3048" spans="1:7">
      <c r="A3048" t="s">
        <v>4189</v>
      </c>
      <c r="C3048" t="str">
        <f>'4M'!$BN$99</f>
        <v>B0371TEC_SDT</v>
      </c>
      <c r="D3048" t="str">
        <f>_xlfn.CONCAT('4M'!$B$98, "-", '4M'!$B$99, "-", '4M'!$L$7, "-", '4M'!$K$6, "-", '4M'!$F$5)</f>
        <v>Total enhancement-Total enhancement expenditure -Sludge treatment-Bioresources-Expenditure in report year</v>
      </c>
      <c r="F3048" t="s">
        <v>17467</v>
      </c>
      <c r="G3048">
        <f>'4M'!$L$99</f>
        <v>3.472</v>
      </c>
    </row>
    <row r="3049" spans="1:7">
      <c r="A3049" t="s">
        <v>4189</v>
      </c>
      <c r="C3049" t="str">
        <f>'4M'!$BO$99</f>
        <v>B0371TEC_SD</v>
      </c>
      <c r="D3049" t="str">
        <f>_xlfn.CONCAT('4M'!$B$98, "-", '4M'!$B$99, "-", '4M'!$M$7, "-", '4M'!$K$6, "-", '4M'!$F$5)</f>
        <v>Total enhancement-Total enhancement expenditure -Sludge disposal-Bioresources-Expenditure in report year</v>
      </c>
      <c r="F3049" t="s">
        <v>17467</v>
      </c>
      <c r="G3049">
        <f>'4M'!$M$99</f>
        <v>0.01</v>
      </c>
    </row>
    <row r="3050" spans="1:7">
      <c r="A3050" t="s">
        <v>4189</v>
      </c>
      <c r="C3050" t="str">
        <f>'4M'!$BP$99</f>
        <v>B0371TEC_TOT</v>
      </c>
      <c r="D3050" t="str">
        <f>_xlfn.CONCAT('4M'!$B$98, "-", '4M'!$B$99, "-", '4M'!$N$6, "-", '4M'!$N$6, "-", '4M'!$F$5)</f>
        <v>Total enhancement-Total enhancement expenditure -Total-Total-Expenditure in report year</v>
      </c>
      <c r="F3050" t="s">
        <v>17467</v>
      </c>
      <c r="G3050">
        <f>'4M'!$N$99</f>
        <v>65.602999999999994</v>
      </c>
    </row>
    <row r="3051" spans="1:7">
      <c r="A3051" t="s">
        <v>4189</v>
      </c>
      <c r="C3051" t="str">
        <f>'4M'!$BH$100</f>
        <v>B0372TEO_F</v>
      </c>
      <c r="D3051" t="str">
        <f>_xlfn.CONCAT('4M'!$B$98, "-", '4M'!$B$100, "-", '4M'!$F$7, "-", '4M'!$F$6, "-", '4M'!$F$5)</f>
        <v>Total enhancement-Total enhancement expenditure -Foul-Wastewater network+ -Expenditure in report year</v>
      </c>
      <c r="F3051" t="s">
        <v>17467</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17467</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17467</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17467</v>
      </c>
      <c r="G3054">
        <f>'4M'!$I$100</f>
        <v>0.93800000000000006</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17467</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17467</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17467</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17467</v>
      </c>
      <c r="G3058">
        <f>'4M'!$M$100</f>
        <v>0</v>
      </c>
    </row>
    <row r="3059" spans="1:7">
      <c r="A3059" t="s">
        <v>4189</v>
      </c>
      <c r="C3059" t="str">
        <f>'4M'!$BP$100</f>
        <v>B0372TEO_TOT</v>
      </c>
      <c r="D3059" t="str">
        <f>_xlfn.CONCAT('4M'!$B$98, "-", '4M'!$B$100, "-", '4M'!$N$6, "-", '4M'!$N$6, "-", '4M'!$F$5)</f>
        <v>Total enhancement-Total enhancement expenditure -Total-Total-Expenditure in report year</v>
      </c>
      <c r="F3059" t="s">
        <v>17467</v>
      </c>
      <c r="G3059">
        <f>'4M'!$N$100</f>
        <v>0.93800000000000006</v>
      </c>
    </row>
    <row r="3060" spans="1:7">
      <c r="A3060" t="s">
        <v>4189</v>
      </c>
      <c r="C3060" t="str">
        <f>'4M'!$BH$101</f>
        <v>B0373TET_F</v>
      </c>
      <c r="D3060" t="str">
        <f>_xlfn.CONCAT('4M'!$B$98, "-", '4M'!$B$101, "-", '4M'!$F$7, "-", '4M'!$F$6, "-", '4M'!$F$5)</f>
        <v>Total enhancement-Total enhancement expenditure -Foul-Wastewater network+ -Expenditure in report year</v>
      </c>
      <c r="F3060" t="s">
        <v>17467</v>
      </c>
      <c r="G3060">
        <f>'4M'!$F$101</f>
        <v>11.825000000000001</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17467</v>
      </c>
      <c r="G3061">
        <f>'4M'!$G$101</f>
        <v>4.8469999999999978</v>
      </c>
    </row>
    <row r="3062" spans="1:7">
      <c r="A3062" t="s">
        <v>4189</v>
      </c>
      <c r="C3062" t="str">
        <f>'4M'!$BJ$101</f>
        <v>B0373TET_HD</v>
      </c>
      <c r="D3062" t="str">
        <f>_xlfn.CONCAT('4M'!$B$98, "-", '4M'!$B$101, "-", '4M'!$H$7, "-", '4M'!$F$6, "-", '4M'!$F$5)</f>
        <v>Total enhancement-Total enhancement expenditure -Highway drainage-Wastewater network+ -Expenditure in report year</v>
      </c>
      <c r="F3062" t="s">
        <v>17467</v>
      </c>
      <c r="G3062">
        <f>'4M'!$H$101</f>
        <v>2.714</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17467</v>
      </c>
      <c r="G3063">
        <f>'4M'!$I$101</f>
        <v>43.654000000000003</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17467</v>
      </c>
      <c r="G3064">
        <f>'4M'!$J$101</f>
        <v>3.0000000000000001E-3</v>
      </c>
    </row>
    <row r="3065" spans="1:7">
      <c r="A3065" t="s">
        <v>4189</v>
      </c>
      <c r="C3065" t="str">
        <f>'4M'!$BM$101</f>
        <v>B0373TET_STP</v>
      </c>
      <c r="D3065" t="str">
        <f>_xlfn.CONCAT('4M'!$B$98, "-", '4M'!$B$101, "-", '4M'!$K$7, "-", '4M'!$K$6, "-", '4M'!$F$5)</f>
        <v>Total enhancement-Total enhancement expenditure -Sludge transport-Bioresources-Expenditure in report year</v>
      </c>
      <c r="F3065" t="s">
        <v>17467</v>
      </c>
      <c r="G3065">
        <f>'4M'!$K$101</f>
        <v>1.6E-2</v>
      </c>
    </row>
    <row r="3066" spans="1:7">
      <c r="A3066" t="s">
        <v>4189</v>
      </c>
      <c r="C3066" t="str">
        <f>'4M'!$BN$101</f>
        <v>B0373TET_SDT</v>
      </c>
      <c r="D3066" t="str">
        <f>_xlfn.CONCAT('4M'!$B$98, "-", '4M'!$B$101, "-", '4M'!$L$7, "-", '4M'!$K$6, "-", '4M'!$F$5)</f>
        <v>Total enhancement-Total enhancement expenditure -Sludge treatment-Bioresources-Expenditure in report year</v>
      </c>
      <c r="F3066" t="s">
        <v>17467</v>
      </c>
      <c r="G3066">
        <f>'4M'!$L$101</f>
        <v>3.472</v>
      </c>
    </row>
    <row r="3067" spans="1:7">
      <c r="A3067" t="s">
        <v>4189</v>
      </c>
      <c r="C3067" t="str">
        <f>'4M'!$BO$101</f>
        <v>B0373TET_SD</v>
      </c>
      <c r="D3067" t="str">
        <f>_xlfn.CONCAT('4M'!$B$98, "-", '4M'!$B$101, "-", '4M'!$M$7, "-", '4M'!$K$6, "-", '4M'!$F$5)</f>
        <v>Total enhancement-Total enhancement expenditure -Sludge disposal-Bioresources-Expenditure in report year</v>
      </c>
      <c r="F3067" t="s">
        <v>17467</v>
      </c>
      <c r="G3067">
        <f>'4M'!$M$101</f>
        <v>0.01</v>
      </c>
    </row>
    <row r="3068" spans="1:7">
      <c r="A3068" t="s">
        <v>4189</v>
      </c>
      <c r="C3068" t="str">
        <f>'4M'!$BP$101</f>
        <v>B0373TET_TOT</v>
      </c>
      <c r="D3068" t="str">
        <f>_xlfn.CONCAT('4M'!$B$98, "-", '4M'!$B$101, "-", '4M'!$N$6, "-", '4M'!$N$6, "-", '4M'!$F$5)</f>
        <v>Total enhancement-Total enhancement expenditure -Total-Total-Expenditure in report year</v>
      </c>
      <c r="F3068" t="s">
        <v>17467</v>
      </c>
      <c r="G3068">
        <f>'4M'!$N$101</f>
        <v>66.540999999999997</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17467</v>
      </c>
      <c r="G3069">
        <f>'4M'!$X$101</f>
        <v>144.17000000000002</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17467</v>
      </c>
      <c r="G3070">
        <f>'4M'!$Y$101</f>
        <v>191.946</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17467</v>
      </c>
      <c r="G3071">
        <f>'4M'!$Z$101</f>
        <v>300.178</v>
      </c>
    </row>
    <row r="3072" spans="1:7">
      <c r="A3072" t="s">
        <v>17335</v>
      </c>
      <c r="C3072" t="str">
        <f>'4P'!$X$8</f>
        <v>BO_3565639</v>
      </c>
      <c r="D3072" t="str">
        <f>_xlfn.CONCAT('4P'!$B$7, "-", '4P'!$B$8, "-", '4P'!$E$5)</f>
        <v>Capex-Capex associated with NSWRA diversions-Water resources</v>
      </c>
      <c r="F3072" t="s">
        <v>17467</v>
      </c>
      <c r="G3072">
        <f>'4P'!$E$8</f>
        <v>0</v>
      </c>
    </row>
    <row r="3073" spans="1:7">
      <c r="A3073" t="s">
        <v>17335</v>
      </c>
      <c r="C3073" t="str">
        <f>'4P'!$Y$8</f>
        <v>BO_1264896</v>
      </c>
      <c r="D3073" t="str">
        <f>_xlfn.CONCAT('4P'!$B$7, "-", '4P'!$B$8, "-", '4P'!$F$5)</f>
        <v>Capex-Capex associated with NSWRA diversions-Water network+</v>
      </c>
      <c r="F3073" t="s">
        <v>17467</v>
      </c>
      <c r="G3073">
        <f>'4P'!$F$8</f>
        <v>2.6939999992592334E-5</v>
      </c>
    </row>
    <row r="3074" spans="1:7">
      <c r="A3074" t="s">
        <v>17335</v>
      </c>
      <c r="C3074" t="str">
        <f>'4P'!$Z$8</f>
        <v>BO_9629323</v>
      </c>
      <c r="D3074" t="str">
        <f>_xlfn.CONCAT('4P'!$B$7, "-", '4P'!$B$8, "-", '4P'!$G$5)</f>
        <v>Capex-Capex associated with NSWRA diversions-Wastewater network+</v>
      </c>
      <c r="F3074" t="s">
        <v>17467</v>
      </c>
      <c r="G3074">
        <f>'4P'!$G$8</f>
        <v>2.0471000000066297E-4</v>
      </c>
    </row>
    <row r="3075" spans="1:7">
      <c r="A3075" t="s">
        <v>17335</v>
      </c>
      <c r="C3075" t="str">
        <f>'4P'!$AA$8</f>
        <v>BO_3202505</v>
      </c>
      <c r="D3075" t="str">
        <f>_xlfn.CONCAT('4P'!$B$7, "-", '4P'!$B$8, "-", '4P'!$H$5)</f>
        <v>Capex-Capex associated with NSWRA diversions-Total</v>
      </c>
      <c r="F3075" t="s">
        <v>17467</v>
      </c>
      <c r="G3075">
        <f>'4P'!$H$8</f>
        <v>2.3164999999325531E-4</v>
      </c>
    </row>
    <row r="3076" spans="1:7">
      <c r="A3076" t="s">
        <v>17335</v>
      </c>
      <c r="C3076" t="str">
        <f>'4P'!$X$9</f>
        <v>BO_4147187</v>
      </c>
      <c r="D3076" t="str">
        <f>_xlfn.CONCAT('4P'!$B$7, "-", '4P'!$B$9, "-", '4P'!$E$5)</f>
        <v>Capex-Capex associated with other non-price control diversions-Water resources</v>
      </c>
      <c r="F3076" t="s">
        <v>17467</v>
      </c>
      <c r="G3076">
        <f>'4P'!$E$9</f>
        <v>0</v>
      </c>
    </row>
    <row r="3077" spans="1:7">
      <c r="A3077" t="s">
        <v>17335</v>
      </c>
      <c r="C3077" t="str">
        <f>'4P'!$Y$9</f>
        <v>BO_9918336</v>
      </c>
      <c r="D3077" t="str">
        <f>_xlfn.CONCAT('4P'!$B$7, "-", '4P'!$B$9, "-", '4P'!$F$5)</f>
        <v>Capex-Capex associated with other non-price control diversions-Water network+</v>
      </c>
      <c r="F3077" t="s">
        <v>17467</v>
      </c>
      <c r="G3077">
        <f>'4P'!$F$9</f>
        <v>0</v>
      </c>
    </row>
    <row r="3078" spans="1:7">
      <c r="A3078" t="s">
        <v>17335</v>
      </c>
      <c r="C3078" t="str">
        <f>'4P'!$Z$9</f>
        <v>BO_5414453</v>
      </c>
      <c r="D3078" t="str">
        <f>_xlfn.CONCAT('4P'!$B$7, "-", '4P'!$B$9, "-", '4P'!$G$5)</f>
        <v>Capex-Capex associated with other non-price control diversions-Wastewater network+</v>
      </c>
      <c r="F3078" t="s">
        <v>17467</v>
      </c>
      <c r="G3078">
        <f>'4P'!$G$9</f>
        <v>0</v>
      </c>
    </row>
    <row r="3079" spans="1:7">
      <c r="A3079" t="s">
        <v>17335</v>
      </c>
      <c r="C3079" t="str">
        <f>'4P'!$AA$9</f>
        <v>BO_6319722</v>
      </c>
      <c r="D3079" t="str">
        <f>_xlfn.CONCAT('4P'!$B$7, "-", '4P'!$B$9, "-", '4P'!$H$5)</f>
        <v>Capex-Capex associated with other non-price control diversions-Total</v>
      </c>
      <c r="F3079" t="s">
        <v>17467</v>
      </c>
      <c r="G3079">
        <f>'4P'!$H$9</f>
        <v>0</v>
      </c>
    </row>
    <row r="3080" spans="1:7">
      <c r="A3080" t="s">
        <v>17335</v>
      </c>
      <c r="C3080" t="str">
        <f>'4P'!$X$10</f>
        <v>BO_5387356</v>
      </c>
      <c r="D3080" t="str">
        <f>_xlfn.CONCAT('4P'!$B$7, "-", '4P'!$B$10, "-", '4P'!$E$5)</f>
        <v>Capex-Other developer services non-price control capex-Water resources</v>
      </c>
      <c r="F3080" t="s">
        <v>17467</v>
      </c>
      <c r="G3080">
        <f>'4P'!$E$10</f>
        <v>0</v>
      </c>
    </row>
    <row r="3081" spans="1:7">
      <c r="A3081" t="s">
        <v>17335</v>
      </c>
      <c r="C3081" t="str">
        <f>'4P'!$Y$10</f>
        <v>BO_7193647</v>
      </c>
      <c r="D3081" t="str">
        <f>_xlfn.CONCAT('4P'!$B$7, "-", '4P'!$B$10, "-", '4P'!$F$5)</f>
        <v>Capex-Other developer services non-price control capex-Water network+</v>
      </c>
      <c r="F3081" t="s">
        <v>17467</v>
      </c>
      <c r="G3081">
        <f>'4P'!$F$10</f>
        <v>0</v>
      </c>
    </row>
    <row r="3082" spans="1:7">
      <c r="A3082" t="s">
        <v>17335</v>
      </c>
      <c r="C3082" t="str">
        <f>'4P'!$Z$10</f>
        <v>BO_9830945</v>
      </c>
      <c r="D3082" t="str">
        <f>_xlfn.CONCAT('4P'!$B$7, "-", '4P'!$B$10, "-", '4P'!$G$5)</f>
        <v>Capex-Other developer services non-price control capex-Wastewater network+</v>
      </c>
      <c r="F3082" t="s">
        <v>17467</v>
      </c>
      <c r="G3082">
        <f>'4P'!$G$10</f>
        <v>0</v>
      </c>
    </row>
    <row r="3083" spans="1:7">
      <c r="A3083" t="s">
        <v>17335</v>
      </c>
      <c r="C3083" t="str">
        <f>'4P'!$AA$10</f>
        <v>BO_830009</v>
      </c>
      <c r="D3083" t="str">
        <f>_xlfn.CONCAT('4P'!$B$7, "-", '4P'!$B$10, "-", '4P'!$H$5)</f>
        <v>Capex-Other developer services non-price control capex-Total</v>
      </c>
      <c r="F3083" t="s">
        <v>17467</v>
      </c>
      <c r="G3083">
        <f>'4P'!$H$10</f>
        <v>0</v>
      </c>
    </row>
    <row r="3084" spans="1:7">
      <c r="A3084" t="s">
        <v>17335</v>
      </c>
      <c r="C3084" t="str">
        <f>'4P'!$X$11</f>
        <v>BO_2199994</v>
      </c>
      <c r="D3084" t="str">
        <f>_xlfn.CONCAT('4P'!$B$7, "-", '4P'!$B$11, "-", '4P'!$E$5)</f>
        <v>Capex-Developer services non-price control capex-Water resources</v>
      </c>
      <c r="F3084" t="s">
        <v>17467</v>
      </c>
      <c r="G3084">
        <f>'4P'!$E$11</f>
        <v>0</v>
      </c>
    </row>
    <row r="3085" spans="1:7">
      <c r="A3085" t="s">
        <v>17335</v>
      </c>
      <c r="C3085" t="str">
        <f>'4P'!$Y$11</f>
        <v>BO_1427238</v>
      </c>
      <c r="D3085" t="str">
        <f>_xlfn.CONCAT('4P'!$B$7, "-", '4P'!$B$11, "-", '4P'!$F$5)</f>
        <v>Capex-Developer services non-price control capex-Water network+</v>
      </c>
      <c r="F3085" t="s">
        <v>17467</v>
      </c>
      <c r="G3085">
        <f>'4P'!$F$11</f>
        <v>2.6939999992592334E-5</v>
      </c>
    </row>
    <row r="3086" spans="1:7">
      <c r="A3086" t="s">
        <v>17335</v>
      </c>
      <c r="C3086" t="str">
        <f>'4P'!$Z$11</f>
        <v>BO_6224245</v>
      </c>
      <c r="D3086" t="str">
        <f>_xlfn.CONCAT('4P'!$B$7, "-", '4P'!$B$11, "-", '4P'!$G$5)</f>
        <v>Capex-Developer services non-price control capex-Wastewater network+</v>
      </c>
      <c r="F3086" t="s">
        <v>17467</v>
      </c>
      <c r="G3086">
        <f>'4P'!$G$11</f>
        <v>2.0471000000066297E-4</v>
      </c>
    </row>
    <row r="3087" spans="1:7">
      <c r="A3087" t="s">
        <v>17335</v>
      </c>
      <c r="C3087" t="str">
        <f>'4P'!$AA$11</f>
        <v>BO_7667899</v>
      </c>
      <c r="D3087" t="str">
        <f>_xlfn.CONCAT('4P'!$B$7, "-", '4P'!$B$11, "-", '4P'!$H$5)</f>
        <v>Capex-Developer services non-price control capex-Total</v>
      </c>
      <c r="F3087" t="s">
        <v>17467</v>
      </c>
      <c r="G3087">
        <f>'4P'!$H$11</f>
        <v>2.3164999999325531E-4</v>
      </c>
    </row>
    <row r="3088" spans="1:7">
      <c r="A3088" t="s">
        <v>17335</v>
      </c>
      <c r="C3088" t="str">
        <f>'4P'!$X$15</f>
        <v>BO_9585852</v>
      </c>
      <c r="D3088" t="str">
        <f>_xlfn.CONCAT('4P'!$B$14, "-", '4P'!$B$15, "-", '4P'!$E$5)</f>
        <v>Opex-Opex associated with NSWRA diversions-Water resources</v>
      </c>
      <c r="F3088" t="s">
        <v>17467</v>
      </c>
      <c r="G3088">
        <f>'4P'!$E$15</f>
        <v>0</v>
      </c>
    </row>
    <row r="3089" spans="1:7">
      <c r="A3089" t="s">
        <v>17335</v>
      </c>
      <c r="C3089" t="str">
        <f>'4P'!$Y$15</f>
        <v>BO_7281714</v>
      </c>
      <c r="D3089" t="str">
        <f>_xlfn.CONCAT('4P'!$B$14, "-", '4P'!$B$15, "-", '4P'!$F$5)</f>
        <v>Opex-Opex associated with NSWRA diversions-Water network+</v>
      </c>
      <c r="F3089" t="s">
        <v>17467</v>
      </c>
      <c r="G3089">
        <f>'4P'!$F$15</f>
        <v>10.962973060000007</v>
      </c>
    </row>
    <row r="3090" spans="1:7">
      <c r="A3090" t="s">
        <v>17335</v>
      </c>
      <c r="C3090" t="str">
        <f>'4P'!$Z$15</f>
        <v>BO_4536763</v>
      </c>
      <c r="D3090" t="str">
        <f>_xlfn.CONCAT('4P'!$B$14, "-", '4P'!$B$15, "-", '4P'!$G$5)</f>
        <v>Opex-Opex associated with NSWRA diversions-Wastewater network+</v>
      </c>
      <c r="F3090" t="s">
        <v>17467</v>
      </c>
      <c r="G3090">
        <f>'4P'!$G$15</f>
        <v>3.7157952899999995</v>
      </c>
    </row>
    <row r="3091" spans="1:7">
      <c r="A3091" t="s">
        <v>17335</v>
      </c>
      <c r="C3091" t="str">
        <f>'4P'!$AA$15</f>
        <v>BO_2093268</v>
      </c>
      <c r="D3091" t="str">
        <f>_xlfn.CONCAT('4P'!$B$14, "-", '4P'!$B$15, "-", '4P'!$H$5)</f>
        <v>Opex-Opex associated with NSWRA diversions-Total</v>
      </c>
      <c r="F3091" t="s">
        <v>17467</v>
      </c>
      <c r="G3091">
        <f>'4P'!$H$15</f>
        <v>14.678768350000006</v>
      </c>
    </row>
    <row r="3092" spans="1:7">
      <c r="A3092" t="s">
        <v>17335</v>
      </c>
      <c r="C3092" t="str">
        <f>'4P'!$X$16</f>
        <v>BO_6179285</v>
      </c>
      <c r="D3092" t="str">
        <f>_xlfn.CONCAT('4P'!$B$14, "-", '4P'!$B$16, "-", '4P'!$E$5)</f>
        <v>Opex-Opex associated with other non-price control diversions-Water resources</v>
      </c>
      <c r="F3092" t="s">
        <v>17467</v>
      </c>
      <c r="G3092">
        <f>'4P'!$E$16</f>
        <v>0</v>
      </c>
    </row>
    <row r="3093" spans="1:7">
      <c r="A3093" t="s">
        <v>17335</v>
      </c>
      <c r="C3093" t="str">
        <f>'4P'!$Y$16</f>
        <v>BO_9498252</v>
      </c>
      <c r="D3093" t="str">
        <f>_xlfn.CONCAT('4P'!$B$14, "-", '4P'!$B$16, "-", '4P'!$F$5)</f>
        <v>Opex-Opex associated with other non-price control diversions-Water network+</v>
      </c>
      <c r="F3093" t="s">
        <v>17467</v>
      </c>
      <c r="G3093">
        <f>'4P'!$F$16</f>
        <v>0</v>
      </c>
    </row>
    <row r="3094" spans="1:7">
      <c r="A3094" t="s">
        <v>17335</v>
      </c>
      <c r="C3094" t="str">
        <f>'4P'!$Z$16</f>
        <v>BO_1871478</v>
      </c>
      <c r="D3094" t="str">
        <f>_xlfn.CONCAT('4P'!$B$14, "-", '4P'!$B$16, "-", '4P'!$G$5)</f>
        <v>Opex-Opex associated with other non-price control diversions-Wastewater network+</v>
      </c>
      <c r="F3094" t="s">
        <v>17467</v>
      </c>
      <c r="G3094">
        <f>'4P'!$G$16</f>
        <v>0</v>
      </c>
    </row>
    <row r="3095" spans="1:7">
      <c r="A3095" t="s">
        <v>17335</v>
      </c>
      <c r="C3095" t="str">
        <f>'4P'!$AA$16</f>
        <v>BO_6277603</v>
      </c>
      <c r="D3095" t="str">
        <f>_xlfn.CONCAT('4P'!$B$14, "-", '4P'!$B$16, "-", '4P'!$H$5)</f>
        <v>Opex-Opex associated with other non-price control diversions-Total</v>
      </c>
      <c r="F3095" t="s">
        <v>17467</v>
      </c>
      <c r="G3095">
        <f>'4P'!$H$16</f>
        <v>0</v>
      </c>
    </row>
    <row r="3096" spans="1:7">
      <c r="A3096" t="s">
        <v>17335</v>
      </c>
      <c r="C3096" t="str">
        <f>'4P'!$X$17</f>
        <v>BO_9184483</v>
      </c>
      <c r="D3096" t="str">
        <f>_xlfn.CONCAT('4P'!$B$14, "-", '4P'!$B$17, "-", '4P'!$E$5)</f>
        <v>Opex-Other developer services non-price control opex-Water resources</v>
      </c>
      <c r="F3096" t="s">
        <v>17467</v>
      </c>
      <c r="G3096">
        <f>'4P'!$E$17</f>
        <v>0</v>
      </c>
    </row>
    <row r="3097" spans="1:7">
      <c r="A3097" t="s">
        <v>17335</v>
      </c>
      <c r="C3097" t="str">
        <f>'4P'!$Y$17</f>
        <v>BO_5755710</v>
      </c>
      <c r="D3097" t="str">
        <f>_xlfn.CONCAT('4P'!$B$14, "-", '4P'!$B$17, "-", '4P'!$F$5)</f>
        <v>Opex-Other developer services non-price control opex-Water network+</v>
      </c>
      <c r="F3097" t="s">
        <v>17467</v>
      </c>
      <c r="G3097">
        <f>'4P'!$F$17</f>
        <v>0</v>
      </c>
    </row>
    <row r="3098" spans="1:7">
      <c r="A3098" t="s">
        <v>17335</v>
      </c>
      <c r="C3098" t="str">
        <f>'4P'!$Z$17</f>
        <v>BO_5212384</v>
      </c>
      <c r="D3098" t="str">
        <f>_xlfn.CONCAT('4P'!$B$14, "-", '4P'!$B$17, "-", '4P'!$G$5)</f>
        <v>Opex-Other developer services non-price control opex-Wastewater network+</v>
      </c>
      <c r="F3098" t="s">
        <v>17467</v>
      </c>
      <c r="G3098">
        <f>'4P'!$G$17</f>
        <v>0</v>
      </c>
    </row>
    <row r="3099" spans="1:7">
      <c r="A3099" t="s">
        <v>17335</v>
      </c>
      <c r="C3099" t="str">
        <f>'4P'!$AA$17</f>
        <v>BO_7452980</v>
      </c>
      <c r="D3099" t="str">
        <f>_xlfn.CONCAT('4P'!$B$14, "-", '4P'!$B$17, "-", '4P'!$H$5)</f>
        <v>Opex-Other developer services non-price control opex-Total</v>
      </c>
      <c r="F3099" t="s">
        <v>17467</v>
      </c>
      <c r="G3099">
        <f>'4P'!$H$17</f>
        <v>0</v>
      </c>
    </row>
    <row r="3100" spans="1:7">
      <c r="A3100" t="s">
        <v>17335</v>
      </c>
      <c r="C3100" t="str">
        <f>'4P'!$X$18</f>
        <v>BO_4598752</v>
      </c>
      <c r="D3100" t="str">
        <f>_xlfn.CONCAT('4P'!$B$14, "-", '4P'!$B$18, "-", '4P'!$E$5)</f>
        <v>Opex-Developer services non-price control opex-Water resources</v>
      </c>
      <c r="F3100" t="s">
        <v>17467</v>
      </c>
      <c r="G3100">
        <f>'4P'!$E$18</f>
        <v>0</v>
      </c>
    </row>
    <row r="3101" spans="1:7">
      <c r="A3101" t="s">
        <v>17335</v>
      </c>
      <c r="C3101" t="str">
        <f>'4P'!$Y$18</f>
        <v>BO_7036083</v>
      </c>
      <c r="D3101" t="str">
        <f>_xlfn.CONCAT('4P'!$B$14, "-", '4P'!$B$18, "-", '4P'!$F$5)</f>
        <v>Opex-Developer services non-price control opex-Water network+</v>
      </c>
      <c r="F3101" t="s">
        <v>17467</v>
      </c>
      <c r="G3101">
        <f>'4P'!$F$18</f>
        <v>10.962973060000007</v>
      </c>
    </row>
    <row r="3102" spans="1:7">
      <c r="A3102" t="s">
        <v>17335</v>
      </c>
      <c r="C3102" t="str">
        <f>'4P'!$Z$18</f>
        <v>BO_2352475</v>
      </c>
      <c r="D3102" t="str">
        <f>_xlfn.CONCAT('4P'!$B$14, "-", '4P'!$B$18, "-", '4P'!$G$5)</f>
        <v>Opex-Developer services non-price control opex-Wastewater network+</v>
      </c>
      <c r="F3102" t="s">
        <v>17467</v>
      </c>
      <c r="G3102">
        <f>'4P'!$G$18</f>
        <v>3.7157952899999995</v>
      </c>
    </row>
    <row r="3103" spans="1:7">
      <c r="A3103" t="s">
        <v>17335</v>
      </c>
      <c r="C3103" t="str">
        <f>'4P'!$AA$18</f>
        <v>BO_1332078</v>
      </c>
      <c r="D3103" t="str">
        <f>_xlfn.CONCAT('4P'!$B$14, "-", '4P'!$B$18, "-", '4P'!$H$5)</f>
        <v>Opex-Developer services non-price control opex-Total</v>
      </c>
      <c r="F3103" t="s">
        <v>17467</v>
      </c>
      <c r="G3103">
        <f>'4P'!$H$18</f>
        <v>14.678768350000006</v>
      </c>
    </row>
    <row r="3104" spans="1:7">
      <c r="A3104" t="s">
        <v>17335</v>
      </c>
      <c r="C3104" t="str">
        <f>'4P'!$X$21</f>
        <v>B0008CDNWR</v>
      </c>
      <c r="D3104" t="str">
        <f>_xlfn.CONCAT('4P'!$B$20, "-", '4P'!$B$21, "-", '4P'!$E$5)</f>
        <v>Totex-Costs associated with NSWRA diversions-Water resources</v>
      </c>
      <c r="F3104" t="s">
        <v>17467</v>
      </c>
      <c r="G3104">
        <f>'4P'!$E$21</f>
        <v>0</v>
      </c>
    </row>
    <row r="3105" spans="1:7">
      <c r="A3105" t="s">
        <v>17335</v>
      </c>
      <c r="C3105" t="str">
        <f>'4P'!$Y$21</f>
        <v>B0008CDNWNP</v>
      </c>
      <c r="D3105" t="str">
        <f>_xlfn.CONCAT('4P'!$B$20, "-", '4P'!$B$21, "-", '4P'!$F$5)</f>
        <v>Totex-Costs associated with NSWRA diversions-Water network+</v>
      </c>
      <c r="F3105" t="s">
        <v>17467</v>
      </c>
      <c r="G3105">
        <f>'4P'!$F$21</f>
        <v>10.962999999999999</v>
      </c>
    </row>
    <row r="3106" spans="1:7">
      <c r="A3106" t="s">
        <v>17335</v>
      </c>
      <c r="C3106" t="str">
        <f>'4P'!$Z$21</f>
        <v>B0008CDNWWNP</v>
      </c>
      <c r="D3106" t="str">
        <f>_xlfn.CONCAT('4P'!$B$20, "-", '4P'!$B$21, "-", '4P'!$G$5)</f>
        <v>Totex-Costs associated with NSWRA diversions-Wastewater network+</v>
      </c>
      <c r="F3106" t="s">
        <v>17467</v>
      </c>
      <c r="G3106">
        <f>'4P'!$G$21</f>
        <v>3.7160000000000002</v>
      </c>
    </row>
    <row r="3107" spans="1:7">
      <c r="A3107" t="s">
        <v>17335</v>
      </c>
      <c r="C3107" t="str">
        <f>'4P'!$AA$21</f>
        <v>B0008CDNT</v>
      </c>
      <c r="D3107" t="str">
        <f>_xlfn.CONCAT('4P'!$B$20, "-", '4P'!$B$21, "-", '4P'!$H$5)</f>
        <v>Totex-Costs associated with NSWRA diversions-Total</v>
      </c>
      <c r="F3107" t="s">
        <v>17467</v>
      </c>
      <c r="G3107">
        <f>'4P'!$H$21</f>
        <v>14.678999999999998</v>
      </c>
    </row>
    <row r="3108" spans="1:7">
      <c r="A3108" t="s">
        <v>17335</v>
      </c>
      <c r="C3108" t="str">
        <f>'4P'!$X$22</f>
        <v>B0008CDOWR</v>
      </c>
      <c r="D3108" t="str">
        <f>_xlfn.CONCAT('4P'!$B$20, "-", '4P'!$B$22, "-", '4P'!$E$5)</f>
        <v>Totex-Costs associated with other non-price control diversions-Water resources</v>
      </c>
      <c r="F3108" t="s">
        <v>17467</v>
      </c>
      <c r="G3108">
        <f>'4P'!$E$22</f>
        <v>0</v>
      </c>
    </row>
    <row r="3109" spans="1:7">
      <c r="A3109" t="s">
        <v>17335</v>
      </c>
      <c r="C3109" t="str">
        <f>'4P'!$Y$22</f>
        <v>B0008CDOWNP</v>
      </c>
      <c r="D3109" t="str">
        <f>_xlfn.CONCAT('4P'!$B$20, "-", '4P'!$B$22, "-", '4P'!$F$5)</f>
        <v>Totex-Costs associated with other non-price control diversions-Water network+</v>
      </c>
      <c r="F3109" t="s">
        <v>17467</v>
      </c>
      <c r="G3109">
        <f>'4P'!$F$22</f>
        <v>0</v>
      </c>
    </row>
    <row r="3110" spans="1:7">
      <c r="A3110" t="s">
        <v>17335</v>
      </c>
      <c r="C3110" t="str">
        <f>'4P'!$Z$22</f>
        <v>B0008CDOWWNP</v>
      </c>
      <c r="D3110" t="str">
        <f>_xlfn.CONCAT('4P'!$B$20, "-", '4P'!$B$22, "-", '4P'!$G$5)</f>
        <v>Totex-Costs associated with other non-price control diversions-Wastewater network+</v>
      </c>
      <c r="F3110" t="s">
        <v>17467</v>
      </c>
      <c r="G3110">
        <f>'4P'!$G$22</f>
        <v>0</v>
      </c>
    </row>
    <row r="3111" spans="1:7">
      <c r="A3111" t="s">
        <v>17335</v>
      </c>
      <c r="C3111" t="str">
        <f>'4P'!$AA$22</f>
        <v>B0008CDOT</v>
      </c>
      <c r="D3111" t="str">
        <f>_xlfn.CONCAT('4P'!$B$20, "-", '4P'!$B$22, "-", '4P'!$H$5)</f>
        <v>Totex-Costs associated with other non-price control diversions-Total</v>
      </c>
      <c r="F3111" t="s">
        <v>17467</v>
      </c>
      <c r="G3111">
        <f>'4P'!$H$22</f>
        <v>0</v>
      </c>
    </row>
    <row r="3112" spans="1:7">
      <c r="A3112" t="s">
        <v>17335</v>
      </c>
      <c r="C3112" t="str">
        <f>'4P'!$X$23</f>
        <v>B0008ODNWR</v>
      </c>
      <c r="D3112" t="str">
        <f>_xlfn.CONCAT('4P'!$B$20, "-", '4P'!$B$23, "-", '4P'!$E$5)</f>
        <v>Totex-Other developer services non-price control totex-Water resources</v>
      </c>
      <c r="F3112" t="s">
        <v>17467</v>
      </c>
      <c r="G3112">
        <f>'4P'!$E$23</f>
        <v>0</v>
      </c>
    </row>
    <row r="3113" spans="1:7">
      <c r="A3113" t="s">
        <v>17335</v>
      </c>
      <c r="C3113" t="str">
        <f>'4P'!$Y$23</f>
        <v>B0008ODNWNP</v>
      </c>
      <c r="D3113" t="str">
        <f>_xlfn.CONCAT('4P'!$B$20, "-", '4P'!$B$23, "-", '4P'!$F$5)</f>
        <v>Totex-Other developer services non-price control totex-Water network+</v>
      </c>
      <c r="F3113" t="s">
        <v>17467</v>
      </c>
      <c r="G3113">
        <f>'4P'!$F$23</f>
        <v>0</v>
      </c>
    </row>
    <row r="3114" spans="1:7">
      <c r="A3114" t="s">
        <v>17335</v>
      </c>
      <c r="C3114" t="str">
        <f>'4P'!$Z$23</f>
        <v>B0008ODNWWNP</v>
      </c>
      <c r="D3114" t="str">
        <f>_xlfn.CONCAT('4P'!$B$20, "-", '4P'!$B$23, "-", '4P'!$G$5)</f>
        <v>Totex-Other developer services non-price control totex-Wastewater network+</v>
      </c>
      <c r="F3114" t="s">
        <v>17467</v>
      </c>
      <c r="G3114">
        <f>'4P'!$G$23</f>
        <v>0</v>
      </c>
    </row>
    <row r="3115" spans="1:7">
      <c r="A3115" t="s">
        <v>17335</v>
      </c>
      <c r="C3115" t="str">
        <f>'4P'!$AA$23</f>
        <v>B0008ODNT</v>
      </c>
      <c r="D3115" t="str">
        <f>_xlfn.CONCAT('4P'!$B$20, "-", '4P'!$B$23, "-", '4P'!$H$5)</f>
        <v>Totex-Other developer services non-price control totex-Total</v>
      </c>
      <c r="F3115" t="s">
        <v>17467</v>
      </c>
      <c r="G3115">
        <f>'4P'!$H$23</f>
        <v>0</v>
      </c>
    </row>
    <row r="3116" spans="1:7">
      <c r="A3116" t="s">
        <v>17335</v>
      </c>
      <c r="C3116" t="str">
        <f>'4P'!$X$24</f>
        <v>B0008TENWR</v>
      </c>
      <c r="D3116" t="str">
        <f>_xlfn.CONCAT('4P'!$B$20, "-", '4P'!$B$24, "-", '4P'!$E$5)</f>
        <v>Totex-Developer services non-price control totex-Water resources</v>
      </c>
      <c r="F3116" t="s">
        <v>17467</v>
      </c>
      <c r="G3116">
        <f>'4P'!$E$24</f>
        <v>0</v>
      </c>
    </row>
    <row r="3117" spans="1:7">
      <c r="A3117" t="s">
        <v>17335</v>
      </c>
      <c r="C3117" t="str">
        <f>'4P'!$Y$24</f>
        <v>B0008TENWNP</v>
      </c>
      <c r="D3117" t="str">
        <f>_xlfn.CONCAT('4P'!$B$20, "-", '4P'!$B$24, "-", '4P'!$F$5)</f>
        <v>Totex-Developer services non-price control totex-Water network+</v>
      </c>
      <c r="F3117" t="s">
        <v>17467</v>
      </c>
      <c r="G3117">
        <f>'4P'!$F$24</f>
        <v>10.962999999999999</v>
      </c>
    </row>
    <row r="3118" spans="1:7">
      <c r="A3118" t="s">
        <v>17335</v>
      </c>
      <c r="C3118" t="str">
        <f>'4P'!$Z$24</f>
        <v>B0008TENWWNP</v>
      </c>
      <c r="D3118" t="str">
        <f>_xlfn.CONCAT('4P'!$B$20, "-", '4P'!$B$24, "-", '4P'!$G$5)</f>
        <v>Totex-Developer services non-price control totex-Wastewater network+</v>
      </c>
      <c r="F3118" t="s">
        <v>17467</v>
      </c>
      <c r="G3118">
        <f>'4P'!$G$24</f>
        <v>3.7160000000000002</v>
      </c>
    </row>
    <row r="3119" spans="1:7">
      <c r="A3119" t="s">
        <v>17335</v>
      </c>
      <c r="C3119" t="str">
        <f>'4P'!$AA$24</f>
        <v>B0008TENT</v>
      </c>
      <c r="D3119" t="str">
        <f>_xlfn.CONCAT('4P'!$B$20, "-", '4P'!$B$24, "-", '4P'!$H$5)</f>
        <v>Totex-Developer services non-price control totex-Total</v>
      </c>
      <c r="F3119" t="s">
        <v>17467</v>
      </c>
      <c r="G3119">
        <f>'4P'!$H$24</f>
        <v>14.678999999999998</v>
      </c>
    </row>
    <row r="3120" spans="1:7">
      <c r="A3120" t="s">
        <v>17339</v>
      </c>
      <c r="C3120" t="str">
        <f>'4V'!$AE$8</f>
        <v>BO_7701853</v>
      </c>
      <c r="D3120" t="str">
        <f>_xlfn.CONCAT('4V'!$B$8, "-", '4V'!$E$6, "-", '4V'!$E$5)</f>
        <v>Due within one year-Net settled-Derivatives - Analysed by earliest payment date</v>
      </c>
      <c r="F3120" t="s">
        <v>17467</v>
      </c>
      <c r="G3120">
        <f>'4V'!$E$8</f>
        <v>-4.6820000000000004</v>
      </c>
    </row>
    <row r="3121" spans="1:7">
      <c r="A3121" t="s">
        <v>17339</v>
      </c>
      <c r="C3121" t="str">
        <f>'4V'!$AF$8</f>
        <v>BO_3457161</v>
      </c>
      <c r="D3121" t="str">
        <f>_xlfn.CONCAT('4V'!$B$8, "-", '4V'!$F$6, "-", '4V'!$E$5)</f>
        <v>Due within one year-Gross Settled outflows-Derivatives - Analysed by earliest payment date</v>
      </c>
      <c r="F3121" t="s">
        <v>17467</v>
      </c>
      <c r="G3121">
        <f>'4V'!$F$8</f>
        <v>0</v>
      </c>
    </row>
    <row r="3122" spans="1:7">
      <c r="A3122" t="s">
        <v>17339</v>
      </c>
      <c r="C3122" t="str">
        <f>'4V'!$AG$8</f>
        <v>BO_8136324</v>
      </c>
      <c r="D3122" t="str">
        <f>_xlfn.CONCAT('4V'!$B$8, "-", '4V'!$G$6, "-", '4V'!$E$5)</f>
        <v>Due within one year-Gross Settled inflows-Derivatives - Analysed by earliest payment date</v>
      </c>
      <c r="F3122" t="s">
        <v>17467</v>
      </c>
      <c r="G3122">
        <f>'4V'!$G$8</f>
        <v>0</v>
      </c>
    </row>
    <row r="3123" spans="1:7">
      <c r="A3123" t="s">
        <v>17339</v>
      </c>
      <c r="C3123" t="str">
        <f>'4V'!$AH$8</f>
        <v>BO_3060820</v>
      </c>
      <c r="D3123" t="str">
        <f>_xlfn.CONCAT('4V'!$B$8, "-", '4V'!$H$6, "-", '4V'!$E$5)</f>
        <v>Due within one year-Total-Derivatives - Analysed by earliest payment date</v>
      </c>
      <c r="F3123" t="s">
        <v>17467</v>
      </c>
      <c r="G3123">
        <f>'4V'!$H$8</f>
        <v>-4.6820000000000004</v>
      </c>
    </row>
    <row r="3124" spans="1:7">
      <c r="A3124" t="s">
        <v>17339</v>
      </c>
      <c r="C3124" t="str">
        <f>'4V'!$AI$8</f>
        <v>BO_3547514</v>
      </c>
      <c r="D3124" t="str">
        <f>_xlfn.CONCAT('4V'!$B$8, "-", '4V'!$I$6, "-", '4V'!$I$5)</f>
        <v>Due within one year-Net settled-Derivatives - Analysed by expected maturity date</v>
      </c>
      <c r="F3124" t="s">
        <v>17467</v>
      </c>
      <c r="G3124">
        <f>'4V'!$I$8</f>
        <v>-4.6820000000000004</v>
      </c>
    </row>
    <row r="3125" spans="1:7">
      <c r="A3125" t="s">
        <v>17339</v>
      </c>
      <c r="C3125" t="str">
        <f>'4V'!$AJ$8</f>
        <v>BO_9997315</v>
      </c>
      <c r="D3125" t="str">
        <f>_xlfn.CONCAT('4V'!$B$8, "-", '4V'!$J$6, "-", '4V'!$I$5)</f>
        <v>Due within one year-Gross Settled outflows-Derivatives - Analysed by expected maturity date</v>
      </c>
      <c r="F3125" t="s">
        <v>17467</v>
      </c>
      <c r="G3125">
        <f>'4V'!$J$8</f>
        <v>0</v>
      </c>
    </row>
    <row r="3126" spans="1:7">
      <c r="A3126" t="s">
        <v>17339</v>
      </c>
      <c r="C3126" t="str">
        <f>'4V'!$AK$8</f>
        <v>BO_7257873</v>
      </c>
      <c r="D3126" t="str">
        <f>_xlfn.CONCAT('4V'!$B$8, "-", '4V'!$K$6, "-", '4V'!$I$5)</f>
        <v>Due within one year-Gross Settled inflows-Derivatives - Analysed by expected maturity date</v>
      </c>
      <c r="F3126" t="s">
        <v>17467</v>
      </c>
      <c r="G3126">
        <f>'4V'!$K$8</f>
        <v>0</v>
      </c>
    </row>
    <row r="3127" spans="1:7">
      <c r="A3127" t="s">
        <v>17339</v>
      </c>
      <c r="C3127" t="str">
        <f>'4V'!$AL$8</f>
        <v>BO_2517472</v>
      </c>
      <c r="D3127" t="str">
        <f>_xlfn.CONCAT('4V'!$B$8, "-", '4V'!$L$6, "-", '4V'!$I$5)</f>
        <v>Due within one year-Total-Derivatives - Analysed by expected maturity date</v>
      </c>
      <c r="F3127" t="s">
        <v>17467</v>
      </c>
      <c r="G3127">
        <f>'4V'!$L$8</f>
        <v>-4.6820000000000004</v>
      </c>
    </row>
    <row r="3128" spans="1:7">
      <c r="A3128" t="s">
        <v>17339</v>
      </c>
      <c r="C3128" t="str">
        <f>'4V'!$AE$9</f>
        <v>BO_6297180</v>
      </c>
      <c r="D3128" t="str">
        <f>_xlfn.CONCAT('4V'!$B$9, "-", '4V'!$E$6, "-", '4V'!$E$5)</f>
        <v>Between one and two years-Net settled-Derivatives - Analysed by earliest payment date</v>
      </c>
      <c r="F3128" t="s">
        <v>17467</v>
      </c>
      <c r="G3128">
        <f>'4V'!$E$9</f>
        <v>-4.1310000000000002</v>
      </c>
    </row>
    <row r="3129" spans="1:7">
      <c r="A3129" t="s">
        <v>17339</v>
      </c>
      <c r="C3129" t="str">
        <f>'4V'!$AF$9</f>
        <v>BO_8373197</v>
      </c>
      <c r="D3129" t="str">
        <f>_xlfn.CONCAT('4V'!$B$9, "-", '4V'!$F$6, "-", '4V'!$E$5)</f>
        <v>Between one and two years-Gross Settled outflows-Derivatives - Analysed by earliest payment date</v>
      </c>
      <c r="F3129" t="s">
        <v>17467</v>
      </c>
      <c r="G3129">
        <f>'4V'!$F$9</f>
        <v>0</v>
      </c>
    </row>
    <row r="3130" spans="1:7">
      <c r="A3130" t="s">
        <v>17339</v>
      </c>
      <c r="C3130" t="str">
        <f>'4V'!$AG$9</f>
        <v>BO_8889688</v>
      </c>
      <c r="D3130" t="str">
        <f>_xlfn.CONCAT('4V'!$B$9, "-", '4V'!$G$6, "-", '4V'!$E$5)</f>
        <v>Between one and two years-Gross Settled inflows-Derivatives - Analysed by earliest payment date</v>
      </c>
      <c r="F3130" t="s">
        <v>17467</v>
      </c>
      <c r="G3130">
        <f>'4V'!$G$9</f>
        <v>0</v>
      </c>
    </row>
    <row r="3131" spans="1:7">
      <c r="A3131" t="s">
        <v>17339</v>
      </c>
      <c r="C3131" t="str">
        <f>'4V'!$AH$9</f>
        <v>BO_7043634</v>
      </c>
      <c r="D3131" t="str">
        <f>_xlfn.CONCAT('4V'!$B$9, "-", '4V'!$H$6, "-", '4V'!$E$5)</f>
        <v>Between one and two years-Total-Derivatives - Analysed by earliest payment date</v>
      </c>
      <c r="F3131" t="s">
        <v>17467</v>
      </c>
      <c r="G3131">
        <f>'4V'!$H$9</f>
        <v>-4.1310000000000002</v>
      </c>
    </row>
    <row r="3132" spans="1:7">
      <c r="A3132" t="s">
        <v>17339</v>
      </c>
      <c r="C3132" t="str">
        <f>'4V'!$AI$9</f>
        <v>BO_9541232</v>
      </c>
      <c r="D3132" t="str">
        <f>_xlfn.CONCAT('4V'!$B$9, "-", '4V'!$I$6, "-", '4V'!$I$5)</f>
        <v>Between one and two years-Net settled-Derivatives - Analysed by expected maturity date</v>
      </c>
      <c r="F3132" t="s">
        <v>17467</v>
      </c>
      <c r="G3132">
        <f>'4V'!$I$9</f>
        <v>-4.1310000000000002</v>
      </c>
    </row>
    <row r="3133" spans="1:7">
      <c r="A3133" t="s">
        <v>17339</v>
      </c>
      <c r="C3133" t="str">
        <f>'4V'!$AJ$9</f>
        <v>BO_7892308</v>
      </c>
      <c r="D3133" t="str">
        <f>_xlfn.CONCAT('4V'!$B$9, "-", '4V'!$J$6, "-", '4V'!$I$5)</f>
        <v>Between one and two years-Gross Settled outflows-Derivatives - Analysed by expected maturity date</v>
      </c>
      <c r="F3133" t="s">
        <v>17467</v>
      </c>
      <c r="G3133">
        <f>'4V'!$J$9</f>
        <v>0</v>
      </c>
    </row>
    <row r="3134" spans="1:7">
      <c r="A3134" t="s">
        <v>17339</v>
      </c>
      <c r="C3134" t="str">
        <f>'4V'!$AK$9</f>
        <v>BO_4439389</v>
      </c>
      <c r="D3134" t="str">
        <f>_xlfn.CONCAT('4V'!$B$9, "-", '4V'!$K$6, "-", '4V'!$I$5)</f>
        <v>Between one and two years-Gross Settled inflows-Derivatives - Analysed by expected maturity date</v>
      </c>
      <c r="F3134" t="s">
        <v>17467</v>
      </c>
      <c r="G3134">
        <f>'4V'!$K$9</f>
        <v>0</v>
      </c>
    </row>
    <row r="3135" spans="1:7">
      <c r="A3135" t="s">
        <v>17339</v>
      </c>
      <c r="C3135" t="str">
        <f>'4V'!$AL$9</f>
        <v>BO_6335870</v>
      </c>
      <c r="D3135" t="str">
        <f>_xlfn.CONCAT('4V'!$B$9, "-", '4V'!$L$6, "-", '4V'!$I$5)</f>
        <v>Between one and two years-Total-Derivatives - Analysed by expected maturity date</v>
      </c>
      <c r="F3135" t="s">
        <v>17467</v>
      </c>
      <c r="G3135">
        <f>'4V'!$L$9</f>
        <v>-4.1310000000000002</v>
      </c>
    </row>
    <row r="3136" spans="1:7">
      <c r="A3136" t="s">
        <v>17339</v>
      </c>
      <c r="C3136" t="str">
        <f>'4V'!$AE$10</f>
        <v>BO_7249875</v>
      </c>
      <c r="D3136" t="str">
        <f>_xlfn.CONCAT('4V'!$B$10, "-", '4V'!$E$6, "-", '4V'!$E$5)</f>
        <v>Between two and three years-Net settled-Derivatives - Analysed by earliest payment date</v>
      </c>
      <c r="F3136" t="s">
        <v>17467</v>
      </c>
      <c r="G3136">
        <f>'4V'!$E$10</f>
        <v>48.838000000000001</v>
      </c>
    </row>
    <row r="3137" spans="1:7">
      <c r="A3137" t="s">
        <v>17339</v>
      </c>
      <c r="C3137" t="str">
        <f>'4V'!$AF$10</f>
        <v>BO_5107146</v>
      </c>
      <c r="D3137" t="str">
        <f>_xlfn.CONCAT('4V'!$B$10, "-", '4V'!$F$6, "-", '4V'!$E$5)</f>
        <v>Between two and three years-Gross Settled outflows-Derivatives - Analysed by earliest payment date</v>
      </c>
      <c r="F3137" t="s">
        <v>17467</v>
      </c>
      <c r="G3137">
        <f>'4V'!$F$10</f>
        <v>0</v>
      </c>
    </row>
    <row r="3138" spans="1:7">
      <c r="A3138" t="s">
        <v>17339</v>
      </c>
      <c r="C3138" t="str">
        <f>'4V'!$AG$10</f>
        <v>BO_3477611</v>
      </c>
      <c r="D3138" t="str">
        <f>_xlfn.CONCAT('4V'!$B$10, "-", '4V'!$G$6, "-", '4V'!$E$5)</f>
        <v>Between two and three years-Gross Settled inflows-Derivatives - Analysed by earliest payment date</v>
      </c>
      <c r="F3138" t="s">
        <v>17467</v>
      </c>
      <c r="G3138">
        <f>'4V'!$G$10</f>
        <v>0</v>
      </c>
    </row>
    <row r="3139" spans="1:7">
      <c r="A3139" t="s">
        <v>17339</v>
      </c>
      <c r="C3139" t="str">
        <f>'4V'!$AH$10</f>
        <v>BO_910768</v>
      </c>
      <c r="D3139" t="str">
        <f>_xlfn.CONCAT('4V'!$B$10, "-", '4V'!$H$6, "-", '4V'!$E$5)</f>
        <v>Between two and three years-Total-Derivatives - Analysed by earliest payment date</v>
      </c>
      <c r="F3139" t="s">
        <v>17467</v>
      </c>
      <c r="G3139">
        <f>'4V'!$H$10</f>
        <v>48.838000000000001</v>
      </c>
    </row>
    <row r="3140" spans="1:7">
      <c r="A3140" t="s">
        <v>17339</v>
      </c>
      <c r="C3140" t="str">
        <f>'4V'!$AI$10</f>
        <v>BO_865612</v>
      </c>
      <c r="D3140" t="str">
        <f>_xlfn.CONCAT('4V'!$B$10, "-", '4V'!$I$6, "-", '4V'!$I$5)</f>
        <v>Between two and three years-Net settled-Derivatives - Analysed by expected maturity date</v>
      </c>
      <c r="F3140" t="s">
        <v>17467</v>
      </c>
      <c r="G3140">
        <f>'4V'!$I$10</f>
        <v>48.838000000000001</v>
      </c>
    </row>
    <row r="3141" spans="1:7">
      <c r="A3141" t="s">
        <v>17339</v>
      </c>
      <c r="C3141" t="str">
        <f>'4V'!$AJ$10</f>
        <v>BO_6170791</v>
      </c>
      <c r="D3141" t="str">
        <f>_xlfn.CONCAT('4V'!$B$10, "-", '4V'!$J$6, "-", '4V'!$I$5)</f>
        <v>Between two and three years-Gross Settled outflows-Derivatives - Analysed by expected maturity date</v>
      </c>
      <c r="F3141" t="s">
        <v>17467</v>
      </c>
      <c r="G3141">
        <f>'4V'!$J$10</f>
        <v>0</v>
      </c>
    </row>
    <row r="3142" spans="1:7">
      <c r="A3142" t="s">
        <v>17339</v>
      </c>
      <c r="C3142" t="str">
        <f>'4V'!$AK$10</f>
        <v>BO_4318504</v>
      </c>
      <c r="D3142" t="str">
        <f>_xlfn.CONCAT('4V'!$B$10, "-", '4V'!$K$6, "-", '4V'!$I$5)</f>
        <v>Between two and three years-Gross Settled inflows-Derivatives - Analysed by expected maturity date</v>
      </c>
      <c r="F3142" t="s">
        <v>17467</v>
      </c>
      <c r="G3142">
        <f>'4V'!$K$10</f>
        <v>0</v>
      </c>
    </row>
    <row r="3143" spans="1:7">
      <c r="A3143" t="s">
        <v>17339</v>
      </c>
      <c r="C3143" t="str">
        <f>'4V'!$AL$10</f>
        <v>BO_9629493</v>
      </c>
      <c r="D3143" t="str">
        <f>_xlfn.CONCAT('4V'!$B$10, "-", '4V'!$L$6, "-", '4V'!$I$5)</f>
        <v>Between two and three years-Total-Derivatives - Analysed by expected maturity date</v>
      </c>
      <c r="F3143" t="s">
        <v>17467</v>
      </c>
      <c r="G3143">
        <f>'4V'!$L$10</f>
        <v>48.838000000000001</v>
      </c>
    </row>
    <row r="3144" spans="1:7">
      <c r="A3144" t="s">
        <v>17339</v>
      </c>
      <c r="C3144" t="str">
        <f>'4V'!$AE$11</f>
        <v>BO_6972533</v>
      </c>
      <c r="D3144" t="str">
        <f>_xlfn.CONCAT('4V'!$B$11, "-", '4V'!$E$6, "-", '4V'!$E$5)</f>
        <v>Between three and four years-Net settled-Derivatives - Analysed by earliest payment date</v>
      </c>
      <c r="F3144" t="s">
        <v>17467</v>
      </c>
      <c r="G3144">
        <f>'4V'!$E$11</f>
        <v>0</v>
      </c>
    </row>
    <row r="3145" spans="1:7">
      <c r="A3145" t="s">
        <v>17339</v>
      </c>
      <c r="C3145" t="str">
        <f>'4V'!$AF$11</f>
        <v>BO_2143456</v>
      </c>
      <c r="D3145" t="str">
        <f>_xlfn.CONCAT('4V'!$B$11, "-", '4V'!$F$6, "-", '4V'!$E$5)</f>
        <v>Between three and four years-Gross Settled outflows-Derivatives - Analysed by earliest payment date</v>
      </c>
      <c r="F3145" t="s">
        <v>17467</v>
      </c>
      <c r="G3145">
        <f>'4V'!$F$11</f>
        <v>0</v>
      </c>
    </row>
    <row r="3146" spans="1:7">
      <c r="A3146" t="s">
        <v>17339</v>
      </c>
      <c r="C3146" t="str">
        <f>'4V'!$AG$11</f>
        <v>BO_5016582</v>
      </c>
      <c r="D3146" t="str">
        <f>_xlfn.CONCAT('4V'!$B$11, "-", '4V'!$G$6, "-", '4V'!$E$5)</f>
        <v>Between three and four years-Gross Settled inflows-Derivatives - Analysed by earliest payment date</v>
      </c>
      <c r="F3146" t="s">
        <v>17467</v>
      </c>
      <c r="G3146">
        <f>'4V'!$G$11</f>
        <v>0</v>
      </c>
    </row>
    <row r="3147" spans="1:7">
      <c r="A3147" t="s">
        <v>17339</v>
      </c>
      <c r="C3147" t="str">
        <f>'4V'!$AH$11</f>
        <v>BO_8368713</v>
      </c>
      <c r="D3147" t="str">
        <f>_xlfn.CONCAT('4V'!$B$11, "-", '4V'!$H$6, "-", '4V'!$E$5)</f>
        <v>Between three and four years-Total-Derivatives - Analysed by earliest payment date</v>
      </c>
      <c r="F3147" t="s">
        <v>17467</v>
      </c>
      <c r="G3147">
        <f>'4V'!$H$11</f>
        <v>0</v>
      </c>
    </row>
    <row r="3148" spans="1:7">
      <c r="A3148" t="s">
        <v>17339</v>
      </c>
      <c r="C3148" t="str">
        <f>'4V'!$AI$11</f>
        <v>BO_8051242</v>
      </c>
      <c r="D3148" t="str">
        <f>_xlfn.CONCAT('4V'!$B$11, "-", '4V'!$I$6, "-", '4V'!$I$5)</f>
        <v>Between three and four years-Net settled-Derivatives - Analysed by expected maturity date</v>
      </c>
      <c r="F3148" t="s">
        <v>17467</v>
      </c>
      <c r="G3148">
        <f>'4V'!$I$11</f>
        <v>0</v>
      </c>
    </row>
    <row r="3149" spans="1:7">
      <c r="A3149" t="s">
        <v>17339</v>
      </c>
      <c r="C3149" t="str">
        <f>'4V'!$AJ$11</f>
        <v>BO_9481553</v>
      </c>
      <c r="D3149" t="str">
        <f>_xlfn.CONCAT('4V'!$B$11, "-", '4V'!$J$6, "-", '4V'!$I$5)</f>
        <v>Between three and four years-Gross Settled outflows-Derivatives - Analysed by expected maturity date</v>
      </c>
      <c r="F3149" t="s">
        <v>17467</v>
      </c>
      <c r="G3149">
        <f>'4V'!$J$11</f>
        <v>0</v>
      </c>
    </row>
    <row r="3150" spans="1:7">
      <c r="A3150" t="s">
        <v>17339</v>
      </c>
      <c r="C3150" t="str">
        <f>'4V'!$AK$11</f>
        <v>BO_5400569</v>
      </c>
      <c r="D3150" t="str">
        <f>_xlfn.CONCAT('4V'!$B$11, "-", '4V'!$K$6, "-", '4V'!$I$5)</f>
        <v>Between three and four years-Gross Settled inflows-Derivatives - Analysed by expected maturity date</v>
      </c>
      <c r="F3150" t="s">
        <v>17467</v>
      </c>
      <c r="G3150">
        <f>'4V'!$K$11</f>
        <v>0</v>
      </c>
    </row>
    <row r="3151" spans="1:7">
      <c r="A3151" t="s">
        <v>17339</v>
      </c>
      <c r="C3151" t="str">
        <f>'4V'!$AL$11</f>
        <v>BO_5709998</v>
      </c>
      <c r="D3151" t="str">
        <f>_xlfn.CONCAT('4V'!$B$11, "-", '4V'!$L$6, "-", '4V'!$I$5)</f>
        <v>Between three and four years-Total-Derivatives - Analysed by expected maturity date</v>
      </c>
      <c r="F3151" t="s">
        <v>17467</v>
      </c>
      <c r="G3151">
        <f>'4V'!$L$11</f>
        <v>0</v>
      </c>
    </row>
    <row r="3152" spans="1:7">
      <c r="A3152" t="s">
        <v>17339</v>
      </c>
      <c r="C3152" t="str">
        <f>'4V'!$AE$12</f>
        <v>BO_6374768</v>
      </c>
      <c r="D3152" t="str">
        <f>_xlfn.CONCAT('4V'!$B$12, "-", '4V'!$E$6, "-", '4V'!$E$5)</f>
        <v>Between four and five years-Net settled-Derivatives - Analysed by earliest payment date</v>
      </c>
      <c r="F3152" t="s">
        <v>17467</v>
      </c>
      <c r="G3152">
        <f>'4V'!$E$12</f>
        <v>100.96899999999999</v>
      </c>
    </row>
    <row r="3153" spans="1:7">
      <c r="A3153" t="s">
        <v>17339</v>
      </c>
      <c r="C3153" t="str">
        <f>'4V'!$AF$12</f>
        <v>BO_9132033</v>
      </c>
      <c r="D3153" t="str">
        <f>_xlfn.CONCAT('4V'!$B$12, "-", '4V'!$F$6, "-", '4V'!$E$5)</f>
        <v>Between four and five years-Gross Settled outflows-Derivatives - Analysed by earliest payment date</v>
      </c>
      <c r="F3153" t="s">
        <v>17467</v>
      </c>
      <c r="G3153">
        <f>'4V'!$F$12</f>
        <v>0</v>
      </c>
    </row>
    <row r="3154" spans="1:7">
      <c r="A3154" t="s">
        <v>17339</v>
      </c>
      <c r="C3154" t="str">
        <f>'4V'!$AG$12</f>
        <v>BO_5567373</v>
      </c>
      <c r="D3154" t="str">
        <f>_xlfn.CONCAT('4V'!$B$12, "-", '4V'!$G$6, "-", '4V'!$E$5)</f>
        <v>Between four and five years-Gross Settled inflows-Derivatives - Analysed by earliest payment date</v>
      </c>
      <c r="F3154" t="s">
        <v>17467</v>
      </c>
      <c r="G3154">
        <f>'4V'!$G$12</f>
        <v>0</v>
      </c>
    </row>
    <row r="3155" spans="1:7">
      <c r="A3155" t="s">
        <v>17339</v>
      </c>
      <c r="C3155" t="str">
        <f>'4V'!$AH$12</f>
        <v>BO_9725122</v>
      </c>
      <c r="D3155" t="str">
        <f>_xlfn.CONCAT('4V'!$B$12, "-", '4V'!$H$6, "-", '4V'!$E$5)</f>
        <v>Between four and five years-Total-Derivatives - Analysed by earliest payment date</v>
      </c>
      <c r="F3155" t="s">
        <v>17467</v>
      </c>
      <c r="G3155">
        <f>'4V'!$H$12</f>
        <v>100.96899999999999</v>
      </c>
    </row>
    <row r="3156" spans="1:7">
      <c r="A3156" t="s">
        <v>17339</v>
      </c>
      <c r="C3156" t="str">
        <f>'4V'!$AI$12</f>
        <v>BO_629122</v>
      </c>
      <c r="D3156" t="str">
        <f>_xlfn.CONCAT('4V'!$B$12, "-", '4V'!$I$6, "-", '4V'!$I$5)</f>
        <v>Between four and five years-Net settled-Derivatives - Analysed by expected maturity date</v>
      </c>
      <c r="F3156" t="s">
        <v>17467</v>
      </c>
      <c r="G3156">
        <f>'4V'!$I$12</f>
        <v>100.96899999999999</v>
      </c>
    </row>
    <row r="3157" spans="1:7">
      <c r="A3157" t="s">
        <v>17339</v>
      </c>
      <c r="C3157" t="str">
        <f>'4V'!$AJ$12</f>
        <v>BO_6232387</v>
      </c>
      <c r="D3157" t="str">
        <f>_xlfn.CONCAT('4V'!$B$12, "-", '4V'!$J$6, "-", '4V'!$I$5)</f>
        <v>Between four and five years-Gross Settled outflows-Derivatives - Analysed by expected maturity date</v>
      </c>
      <c r="F3157" t="s">
        <v>17467</v>
      </c>
      <c r="G3157">
        <f>'4V'!$J$12</f>
        <v>0</v>
      </c>
    </row>
    <row r="3158" spans="1:7">
      <c r="A3158" t="s">
        <v>17339</v>
      </c>
      <c r="C3158" t="str">
        <f>'4V'!$AK$12</f>
        <v>BO_2644976</v>
      </c>
      <c r="D3158" t="str">
        <f>_xlfn.CONCAT('4V'!$B$12, "-", '4V'!$K$6, "-", '4V'!$I$5)</f>
        <v>Between four and five years-Gross Settled inflows-Derivatives - Analysed by expected maturity date</v>
      </c>
      <c r="F3158" t="s">
        <v>17467</v>
      </c>
      <c r="G3158">
        <f>'4V'!$K$12</f>
        <v>0</v>
      </c>
    </row>
    <row r="3159" spans="1:7">
      <c r="A3159" t="s">
        <v>17339</v>
      </c>
      <c r="C3159" t="str">
        <f>'4V'!$AL$12</f>
        <v>BO_915356</v>
      </c>
      <c r="D3159" t="str">
        <f>_xlfn.CONCAT('4V'!$B$12, "-", '4V'!$L$6, "-", '4V'!$I$5)</f>
        <v>Between four and five years-Total-Derivatives - Analysed by expected maturity date</v>
      </c>
      <c r="F3159" t="s">
        <v>17467</v>
      </c>
      <c r="G3159">
        <f>'4V'!$L$12</f>
        <v>100.96899999999999</v>
      </c>
    </row>
    <row r="3160" spans="1:7">
      <c r="A3160" t="s">
        <v>17339</v>
      </c>
      <c r="C3160" t="str">
        <f>'4V'!$AE$13</f>
        <v>BO_6348698</v>
      </c>
      <c r="D3160" t="str">
        <f>_xlfn.CONCAT('4V'!$B$13, "-", '4V'!$E$6, "-", '4V'!$E$5)</f>
        <v>After five years-Net settled-Derivatives - Analysed by earliest payment date</v>
      </c>
      <c r="F3160" t="s">
        <v>17467</v>
      </c>
      <c r="G3160">
        <f>'4V'!$E$13</f>
        <v>293.65499999999997</v>
      </c>
    </row>
    <row r="3161" spans="1:7">
      <c r="A3161" t="s">
        <v>17339</v>
      </c>
      <c r="C3161" t="str">
        <f>'4V'!$AF$13</f>
        <v>BO_7272747</v>
      </c>
      <c r="D3161" t="str">
        <f>_xlfn.CONCAT('4V'!$B$13, "-", '4V'!$F$6, "-", '4V'!$E$5)</f>
        <v>After five years-Gross Settled outflows-Derivatives - Analysed by earliest payment date</v>
      </c>
      <c r="F3161" t="s">
        <v>17467</v>
      </c>
      <c r="G3161">
        <f>'4V'!$F$13</f>
        <v>0</v>
      </c>
    </row>
    <row r="3162" spans="1:7">
      <c r="A3162" t="s">
        <v>17339</v>
      </c>
      <c r="C3162" t="str">
        <f>'4V'!$AG$13</f>
        <v>BO_9525934</v>
      </c>
      <c r="D3162" t="str">
        <f>_xlfn.CONCAT('4V'!$B$13, "-", '4V'!$G$6, "-", '4V'!$E$5)</f>
        <v>After five years-Gross Settled inflows-Derivatives - Analysed by earliest payment date</v>
      </c>
      <c r="F3162" t="s">
        <v>17467</v>
      </c>
      <c r="G3162">
        <f>'4V'!$G$13</f>
        <v>0</v>
      </c>
    </row>
    <row r="3163" spans="1:7">
      <c r="A3163" t="s">
        <v>17339</v>
      </c>
      <c r="C3163" t="str">
        <f>'4V'!$AH$13</f>
        <v>BO_2144670</v>
      </c>
      <c r="D3163" t="str">
        <f>_xlfn.CONCAT('4V'!$B$13, "-", '4V'!$H$6, "-", '4V'!$E$5)</f>
        <v>After five years-Total-Derivatives - Analysed by earliest payment date</v>
      </c>
      <c r="F3163" t="s">
        <v>17467</v>
      </c>
      <c r="G3163">
        <f>'4V'!$H$13</f>
        <v>293.65499999999997</v>
      </c>
    </row>
    <row r="3164" spans="1:7">
      <c r="A3164" t="s">
        <v>17339</v>
      </c>
      <c r="C3164" t="str">
        <f>'4V'!$AI$13</f>
        <v>BO_6309831</v>
      </c>
      <c r="D3164" t="str">
        <f>_xlfn.CONCAT('4V'!$B$13, "-", '4V'!$I$6, "-", '4V'!$I$5)</f>
        <v>After five years-Net settled-Derivatives - Analysed by expected maturity date</v>
      </c>
      <c r="F3164" t="s">
        <v>17467</v>
      </c>
      <c r="G3164">
        <f>'4V'!$I$13</f>
        <v>293.65499999999997</v>
      </c>
    </row>
    <row r="3165" spans="1:7">
      <c r="A3165" t="s">
        <v>17339</v>
      </c>
      <c r="C3165" t="str">
        <f>'4V'!$AJ$13</f>
        <v>BO_327706</v>
      </c>
      <c r="D3165" t="str">
        <f>_xlfn.CONCAT('4V'!$B$13, "-", '4V'!$J$6, "-", '4V'!$I$5)</f>
        <v>After five years-Gross Settled outflows-Derivatives - Analysed by expected maturity date</v>
      </c>
      <c r="F3165" t="s">
        <v>17467</v>
      </c>
      <c r="G3165">
        <f>'4V'!$J$13</f>
        <v>0</v>
      </c>
    </row>
    <row r="3166" spans="1:7">
      <c r="A3166" t="s">
        <v>17339</v>
      </c>
      <c r="C3166" t="str">
        <f>'4V'!$AK$13</f>
        <v>BO_5008757</v>
      </c>
      <c r="D3166" t="str">
        <f>_xlfn.CONCAT('4V'!$B$13, "-", '4V'!$K$6, "-", '4V'!$I$5)</f>
        <v>After five years-Gross Settled inflows-Derivatives - Analysed by expected maturity date</v>
      </c>
      <c r="F3166" t="s">
        <v>17467</v>
      </c>
      <c r="G3166">
        <f>'4V'!$K$13</f>
        <v>0</v>
      </c>
    </row>
    <row r="3167" spans="1:7">
      <c r="A3167" t="s">
        <v>17339</v>
      </c>
      <c r="C3167" t="str">
        <f>'4V'!$AL$13</f>
        <v>BO_541823</v>
      </c>
      <c r="D3167" t="str">
        <f>_xlfn.CONCAT('4V'!$B$13, "-", '4V'!$L$6, "-", '4V'!$I$5)</f>
        <v>After five years-Total-Derivatives - Analysed by expected maturity date</v>
      </c>
      <c r="F3167" t="s">
        <v>17467</v>
      </c>
      <c r="G3167">
        <f>'4V'!$L$13</f>
        <v>293.65499999999997</v>
      </c>
    </row>
    <row r="3168" spans="1:7">
      <c r="A3168" t="s">
        <v>17339</v>
      </c>
      <c r="C3168" t="str">
        <f>'4V'!$AE$14</f>
        <v>BO_8194445</v>
      </c>
      <c r="D3168" t="str">
        <f>_xlfn.CONCAT('4V'!$B$14, "-", '4V'!$E$6, "-", '4V'!$E$5)</f>
        <v>Total-Net settled-Derivatives - Analysed by earliest payment date</v>
      </c>
      <c r="F3168" t="s">
        <v>17467</v>
      </c>
      <c r="G3168">
        <f>'4V'!$E$14</f>
        <v>434.649</v>
      </c>
    </row>
    <row r="3169" spans="1:7">
      <c r="A3169" t="s">
        <v>17339</v>
      </c>
      <c r="C3169" t="str">
        <f>'4V'!$AF$14</f>
        <v>BO_9230060</v>
      </c>
      <c r="D3169" t="str">
        <f>_xlfn.CONCAT('4V'!$B$14, "-", '4V'!$F$6, "-", '4V'!$E$5)</f>
        <v>Total-Gross Settled outflows-Derivatives - Analysed by earliest payment date</v>
      </c>
      <c r="F3169" t="s">
        <v>17467</v>
      </c>
      <c r="G3169">
        <f>'4V'!$F$14</f>
        <v>0</v>
      </c>
    </row>
    <row r="3170" spans="1:7">
      <c r="A3170" t="s">
        <v>17339</v>
      </c>
      <c r="C3170" t="str">
        <f>'4V'!$AG$14</f>
        <v>BO_1729200</v>
      </c>
      <c r="D3170" t="str">
        <f>_xlfn.CONCAT('4V'!$B$14, "-", '4V'!$G$6, "-", '4V'!$E$5)</f>
        <v>Total-Gross Settled inflows-Derivatives - Analysed by earliest payment date</v>
      </c>
      <c r="F3170" t="s">
        <v>17467</v>
      </c>
      <c r="G3170">
        <f>'4V'!$G$14</f>
        <v>0</v>
      </c>
    </row>
    <row r="3171" spans="1:7">
      <c r="A3171" t="s">
        <v>17339</v>
      </c>
      <c r="C3171" t="str">
        <f>'4V'!$AH$14</f>
        <v>BO_1721411</v>
      </c>
      <c r="D3171" t="str">
        <f>_xlfn.CONCAT('4V'!$B$14, "-", '4V'!$H$6, "-", '4V'!$E$5)</f>
        <v>Total-Total-Derivatives - Analysed by earliest payment date</v>
      </c>
      <c r="F3171" t="s">
        <v>17467</v>
      </c>
      <c r="G3171">
        <f>'4V'!$H$14</f>
        <v>434.649</v>
      </c>
    </row>
    <row r="3172" spans="1:7">
      <c r="A3172" t="s">
        <v>17339</v>
      </c>
      <c r="C3172" t="str">
        <f>'4V'!$AI$14</f>
        <v>BO_2933867</v>
      </c>
      <c r="D3172" t="str">
        <f>_xlfn.CONCAT('4V'!$B$14, "-", '4V'!$I$6, "-", '4V'!$I$5)</f>
        <v>Total-Net settled-Derivatives - Analysed by expected maturity date</v>
      </c>
      <c r="F3172" t="s">
        <v>17467</v>
      </c>
      <c r="G3172">
        <f>'4V'!$I$14</f>
        <v>434.649</v>
      </c>
    </row>
    <row r="3173" spans="1:7">
      <c r="A3173" t="s">
        <v>17339</v>
      </c>
      <c r="C3173" t="str">
        <f>'4V'!$AJ$14</f>
        <v>BO_8926305</v>
      </c>
      <c r="D3173" t="str">
        <f>_xlfn.CONCAT('4V'!$B$14, "-", '4V'!$J$6, "-", '4V'!$I$5)</f>
        <v>Total-Gross Settled outflows-Derivatives - Analysed by expected maturity date</v>
      </c>
      <c r="F3173" t="s">
        <v>17467</v>
      </c>
      <c r="G3173">
        <f>'4V'!$J$14</f>
        <v>0</v>
      </c>
    </row>
    <row r="3174" spans="1:7">
      <c r="A3174" t="s">
        <v>17339</v>
      </c>
      <c r="C3174" t="str">
        <f>'4V'!$AK$14</f>
        <v>BO_5670064</v>
      </c>
      <c r="D3174" t="str">
        <f>_xlfn.CONCAT('4V'!$B$14, "-", '4V'!$K$6, "-", '4V'!$I$5)</f>
        <v>Total-Gross Settled inflows-Derivatives - Analysed by expected maturity date</v>
      </c>
      <c r="F3174" t="s">
        <v>17467</v>
      </c>
      <c r="G3174">
        <f>'4V'!$K$14</f>
        <v>0</v>
      </c>
    </row>
    <row r="3175" spans="1:7">
      <c r="A3175" t="s">
        <v>17339</v>
      </c>
      <c r="C3175" t="str">
        <f>'4V'!$AL$14</f>
        <v>BO_3634334</v>
      </c>
      <c r="D3175" t="str">
        <f>_xlfn.CONCAT('4V'!$B$14, "-", '4V'!$L$6, "-", '4V'!$I$5)</f>
        <v>Total-Total-Derivatives - Analysed by expected maturity date</v>
      </c>
      <c r="F3175" t="s">
        <v>17467</v>
      </c>
      <c r="G3175">
        <f>'4V'!$L$14</f>
        <v>434.649</v>
      </c>
    </row>
    <row r="3176" spans="1:7">
      <c r="A3176" t="s">
        <v>4181</v>
      </c>
      <c r="C3176" s="2602" t="str">
        <f>'6B'!$R$8</f>
        <v>B0006TWDTIPC</v>
      </c>
      <c r="D3176" t="str">
        <f>_xlfn.CONCAT('6B'!$B$7, "-", '6B'!$B$8, "-", '6B'!$E$5)</f>
        <v>Assets and operations-Total installed power capacity of potable water pumping stations-Input</v>
      </c>
      <c r="F3176" t="s">
        <v>17467</v>
      </c>
      <c r="G3176" s="2602">
        <f>'6B'!$E$8</f>
        <v>43281.17</v>
      </c>
    </row>
    <row r="3177" spans="1:7">
      <c r="A3177" t="s">
        <v>4181</v>
      </c>
      <c r="C3177" t="str">
        <f>'6B'!$R$9</f>
        <v>BN10900CAP</v>
      </c>
      <c r="D3177" t="str">
        <f>_xlfn.CONCAT('6B'!$B$7, "-", '6B'!$B$9, "-", '6B'!$E$5)</f>
        <v>Assets and operations-Total volumetric capacity of service reservoirs-Input</v>
      </c>
      <c r="F3177" t="s">
        <v>17467</v>
      </c>
      <c r="G3177">
        <f>'6B'!$E$9</f>
        <v>1982</v>
      </c>
    </row>
    <row r="3178" spans="1:7">
      <c r="A3178" t="s">
        <v>4181</v>
      </c>
      <c r="C3178" t="str">
        <f>'6B'!$R$10</f>
        <v>BN11030CAP</v>
      </c>
      <c r="D3178" t="str">
        <f>_xlfn.CONCAT('6B'!$B$7, "-", '6B'!$B$10, "-", '6B'!$E$5)</f>
        <v>Assets and operations-Total volumetric capacity of water towers-Input</v>
      </c>
      <c r="F3178" t="s">
        <v>17467</v>
      </c>
      <c r="G3178">
        <f>'6B'!$E$10</f>
        <v>2.1</v>
      </c>
    </row>
    <row r="3179" spans="1:7">
      <c r="A3179" t="s">
        <v>4181</v>
      </c>
      <c r="C3179" s="2590" t="str">
        <f>'6B'!$R$11</f>
        <v>BN2350</v>
      </c>
      <c r="D3179" t="str">
        <f>_xlfn.CONCAT('6B'!$B$7, "-", '6B'!$B$11, "-", '6B'!$E$5)</f>
        <v>Assets and operations-Water delivered (non-potable)-Input</v>
      </c>
      <c r="F3179" t="s">
        <v>17467</v>
      </c>
      <c r="G3179" s="2590">
        <f>'6B'!$E$11</f>
        <v>35.9</v>
      </c>
    </row>
    <row r="3180" spans="1:7">
      <c r="A3180" t="s">
        <v>4181</v>
      </c>
      <c r="C3180" s="2590" t="str">
        <f>'6B'!$R$12</f>
        <v>BN2330</v>
      </c>
      <c r="D3180" t="str">
        <f>_xlfn.CONCAT('6B'!$B$7, "-", '6B'!$B$12, "-", '6B'!$E$5)</f>
        <v>Assets and operations-Water delivered (potable)-Input</v>
      </c>
      <c r="F3180" t="s">
        <v>17467</v>
      </c>
      <c r="G3180" s="2590">
        <f>'6B'!$E$12</f>
        <v>685.52760931440696</v>
      </c>
    </row>
    <row r="3181" spans="1:7">
      <c r="A3181" t="s">
        <v>4181</v>
      </c>
      <c r="C3181" s="2590" t="str">
        <f>'6B'!$R$13</f>
        <v>BN2000</v>
      </c>
      <c r="D3181" t="str">
        <f>_xlfn.CONCAT('6B'!$B$7, "-", '6B'!$B$13, "-", '6B'!$E$5)</f>
        <v>Assets and operations-Water delivered (billed measured residential properties)-Input</v>
      </c>
      <c r="F3181" t="s">
        <v>17467</v>
      </c>
      <c r="G3181" s="2590">
        <f>'6B'!$E$13</f>
        <v>176.27524407407861</v>
      </c>
    </row>
    <row r="3182" spans="1:7">
      <c r="A3182" t="s">
        <v>4181</v>
      </c>
      <c r="C3182" s="2590" t="str">
        <f>'6B'!$R$14</f>
        <v>BN2010</v>
      </c>
      <c r="D3182" t="str">
        <f>_xlfn.CONCAT('6B'!$B$7, "-", '6B'!$B$14, "-", '6B'!$E$5)</f>
        <v>Assets and operations-Water delivered (billed measured businesses)-Input</v>
      </c>
      <c r="F3182" t="s">
        <v>17467</v>
      </c>
      <c r="G3182" s="2590">
        <f>'6B'!$E$14</f>
        <v>170.49755891736359</v>
      </c>
    </row>
    <row r="3183" spans="1:7">
      <c r="A3183" t="s">
        <v>4181</v>
      </c>
      <c r="C3183" t="str">
        <f>'6B'!$R$15</f>
        <v>BN4833</v>
      </c>
      <c r="D3183" t="str">
        <f>_xlfn.CONCAT('6B'!$B$7, "-", '6B'!$B$15, "-", '6B'!$E$5)</f>
        <v>Assets and operations-Proportion of distribution input derived from impounding reservoirs-Input</v>
      </c>
      <c r="F3183" t="s">
        <v>17467</v>
      </c>
      <c r="G3183">
        <f>'6B'!$E$15</f>
        <v>0.411232283759493</v>
      </c>
    </row>
    <row r="3184" spans="1:7">
      <c r="A3184" t="s">
        <v>4181</v>
      </c>
      <c r="C3184" t="str">
        <f>'6B'!$R$16</f>
        <v>BN4834</v>
      </c>
      <c r="D3184" t="str">
        <f>_xlfn.CONCAT('6B'!$B$7, "-", '6B'!$B$16, "-", '6B'!$E$5)</f>
        <v>Assets and operations-Proportion of distribution input derived from pumped storage reservoirs-Input</v>
      </c>
      <c r="F3184" t="s">
        <v>17467</v>
      </c>
      <c r="G3184">
        <f>'6B'!$E$16</f>
        <v>0.30483210239166414</v>
      </c>
    </row>
    <row r="3185" spans="1:7">
      <c r="A3185" t="s">
        <v>4181</v>
      </c>
      <c r="C3185" t="str">
        <f>'6B'!$R$17</f>
        <v>BN4838</v>
      </c>
      <c r="D3185" t="str">
        <f>_xlfn.CONCAT('6B'!$B$7, "-", '6B'!$B$17, "-", '6B'!$E$5)</f>
        <v>Assets and operations-Proportion of distribution input derived from river abstractions-Input</v>
      </c>
      <c r="F3185" t="s">
        <v>17467</v>
      </c>
      <c r="G3185">
        <f>'6B'!$E$17</f>
        <v>0.24922041208429574</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17467</v>
      </c>
      <c r="G3186">
        <f>'6B'!$E$18</f>
        <v>3.4715201764547156E-2</v>
      </c>
    </row>
    <row r="3187" spans="1:7">
      <c r="A3187" t="s">
        <v>4181</v>
      </c>
      <c r="C3187" t="str">
        <f>'6B'!$R$19</f>
        <v>BN4846</v>
      </c>
      <c r="D3187" t="str">
        <f>_xlfn.CONCAT('6B'!$B$7, "-", '6B'!$B$19, "-", '6B'!$E$5)</f>
        <v>Assets and operations-Proportion of distribution input derived from artificial recharge (AR) water supply schemes-Input</v>
      </c>
      <c r="F3187" t="s">
        <v>17467</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17467</v>
      </c>
      <c r="G3188">
        <f>'6B'!$E$20</f>
        <v>0</v>
      </c>
    </row>
    <row r="3189" spans="1:7">
      <c r="A3189" t="s">
        <v>4181</v>
      </c>
      <c r="C3189" t="str">
        <f>'6B'!$R$21</f>
        <v>BN4854</v>
      </c>
      <c r="D3189" t="str">
        <f>_xlfn.CONCAT('6B'!$B$7, "-", '6B'!$B$21, "-", '6B'!$E$5)</f>
        <v>Assets and operations-Proportion of distribution input derived from saline abstractions-Input</v>
      </c>
      <c r="F3189" t="s">
        <v>17467</v>
      </c>
      <c r="G3189">
        <f>'6B'!$E$21</f>
        <v>0</v>
      </c>
    </row>
    <row r="3190" spans="1:7">
      <c r="A3190" t="s">
        <v>4181</v>
      </c>
      <c r="C3190" t="str">
        <f>'6B'!$R$22</f>
        <v>BN4855</v>
      </c>
      <c r="D3190" t="str">
        <f>_xlfn.CONCAT('6B'!$B$7, "-", '6B'!$B$22, "-", '6B'!$E$5)</f>
        <v>Assets and operations-Proportion of distribution input derived from water reuse schemes-Input</v>
      </c>
      <c r="F3190" t="s">
        <v>17467</v>
      </c>
      <c r="G3190">
        <f>'6B'!$E$22</f>
        <v>0</v>
      </c>
    </row>
    <row r="3191" spans="1:7">
      <c r="A3191" t="s">
        <v>4181</v>
      </c>
      <c r="C3191" s="2602" t="str">
        <f>'6B'!$R$23</f>
        <v>B0006TWDPIAW</v>
      </c>
      <c r="D3191" t="str">
        <f>_xlfn.CONCAT('6B'!$B$7, "-", '6B'!$B$23, "-", '6B'!$E$5)</f>
        <v>Assets and operations-Total number of potable water pumping stations that pump into and within the treated water distribution system-Input</v>
      </c>
      <c r="F3191" t="s">
        <v>17467</v>
      </c>
      <c r="G3191" s="2602">
        <f>'6B'!$E$23</f>
        <v>577</v>
      </c>
    </row>
    <row r="3192" spans="1:7">
      <c r="A3192" t="s">
        <v>4181</v>
      </c>
      <c r="C3192" s="2602" t="str">
        <f>'6B'!$R$24</f>
        <v>B0006TWDDGW</v>
      </c>
      <c r="D3192" t="str">
        <f>_xlfn.CONCAT('6B'!$B$7, "-", '6B'!$B$24, "-", '6B'!$E$5)</f>
        <v>Assets and operations-Number of potable water pumping stations delivering treated groundwater into the treated water distribution system-Input</v>
      </c>
      <c r="F3192" t="s">
        <v>17467</v>
      </c>
      <c r="G3192" s="2602">
        <f>'6B'!$E$24</f>
        <v>6</v>
      </c>
    </row>
    <row r="3193" spans="1:7">
      <c r="A3193" t="s">
        <v>4181</v>
      </c>
      <c r="C3193" s="2602" t="str">
        <f>'6B'!$R$25</f>
        <v>B0006TWDDSW</v>
      </c>
      <c r="D3193" t="str">
        <f>_xlfn.CONCAT('6B'!$B$7, "-", '6B'!$B$25, "-", '6B'!$E$5)</f>
        <v>Assets and operations-Number of potable water pumping stations delivering surface water into the treated water distribution system-Input</v>
      </c>
      <c r="F3193" t="s">
        <v>17467</v>
      </c>
      <c r="G3193" s="2602">
        <f>'6B'!$E$25</f>
        <v>34</v>
      </c>
    </row>
    <row r="3194" spans="1:7">
      <c r="A3194" t="s">
        <v>4181</v>
      </c>
      <c r="C3194" s="2602" t="str">
        <f>'6B'!$R$26</f>
        <v>B0006TWDREP</v>
      </c>
      <c r="D3194" t="str">
        <f>_xlfn.CONCAT('6B'!$B$7, "-", '6B'!$B$26, "-", '6B'!$E$5)</f>
        <v>Assets and operations-Number of potable water pumping stations that re-pump water already within the treated water distribution system-Input</v>
      </c>
      <c r="F3194" t="s">
        <v>17467</v>
      </c>
      <c r="G3194" s="2602">
        <f>'6B'!$E$26</f>
        <v>537</v>
      </c>
    </row>
    <row r="3195" spans="1:7">
      <c r="A3195" t="s">
        <v>4181</v>
      </c>
      <c r="C3195" s="2602" t="str">
        <f>'6B'!$R$27</f>
        <v>B0006TWDPI3</v>
      </c>
      <c r="D3195" t="str">
        <f>_xlfn.CONCAT('6B'!$B$7, "-", '6B'!$B$27, "-", '6B'!$E$5)</f>
        <v>Assets and operations-Number of potable water pumping stations that pump water imported from a 3rd party supply into the treated water distribution system-Input</v>
      </c>
      <c r="F3195" t="s">
        <v>17467</v>
      </c>
      <c r="G3195" s="2602">
        <f>'6B'!$E$27</f>
        <v>0</v>
      </c>
    </row>
    <row r="3196" spans="1:7">
      <c r="A3196" t="s">
        <v>4181</v>
      </c>
      <c r="C3196" s="2602" t="str">
        <f>'6B'!$R$28</f>
        <v>BN10990</v>
      </c>
      <c r="D3196" t="str">
        <f>_xlfn.CONCAT('6B'!$B$7, "-", '6B'!$B$28, "-", '6B'!$E$5)</f>
        <v>Assets and operations-Total number of service reservoirs-Input</v>
      </c>
      <c r="F3196" t="s">
        <v>17467</v>
      </c>
      <c r="G3196" s="2602">
        <f>'6B'!$E$28</f>
        <v>439</v>
      </c>
    </row>
    <row r="3197" spans="1:7">
      <c r="A3197" t="s">
        <v>4181</v>
      </c>
      <c r="C3197" s="2602" t="str">
        <f>'6B'!$R$29</f>
        <v>BN11090</v>
      </c>
      <c r="D3197" t="str">
        <f>_xlfn.CONCAT('6B'!$B$7, "-", '6B'!$B$29, "-", '6B'!$E$5)</f>
        <v>Assets and operations-Number of water towers-Input</v>
      </c>
      <c r="F3197" t="s">
        <v>17467</v>
      </c>
      <c r="G3197" s="2602">
        <f>'6B'!$E$29</f>
        <v>4</v>
      </c>
    </row>
    <row r="3198" spans="1:7">
      <c r="A3198" t="s">
        <v>4181</v>
      </c>
      <c r="C3198" t="str">
        <f>'6B'!$R$30</f>
        <v>B0006TWDEC</v>
      </c>
      <c r="D3198" t="str">
        <f>_xlfn.CONCAT('6B'!$B$7, "-", '6B'!$B$30, "-", '6B'!$E$5)</f>
        <v>Assets and operations-Energy consumption – treated water distribution (MWh)-Input</v>
      </c>
      <c r="F3198" t="s">
        <v>17467</v>
      </c>
      <c r="G3198">
        <f>'6B'!$E$30</f>
        <v>102148.86500000001</v>
      </c>
    </row>
    <row r="3199" spans="1:7">
      <c r="A3199" t="s">
        <v>4181</v>
      </c>
      <c r="C3199" s="2590" t="str">
        <f>'6B'!$R$31</f>
        <v>BN4870</v>
      </c>
      <c r="D3199" t="str">
        <f>_xlfn.CONCAT('6B'!$B$7, "-", '6B'!$B$31, "-", '6B'!$E$5)</f>
        <v>Assets and operations-Average pumping head – treated water distribution-Input</v>
      </c>
      <c r="F3199" t="s">
        <v>17467</v>
      </c>
      <c r="G3199" s="2590">
        <f>'6B'!$E$31</f>
        <v>71.58</v>
      </c>
    </row>
    <row r="3200" spans="1:7">
      <c r="A3200" t="s">
        <v>4181</v>
      </c>
      <c r="C3200" s="2602" t="str">
        <f>'6B'!$R$32</f>
        <v>B0006TWDTNI</v>
      </c>
      <c r="D3200" t="str">
        <f>_xlfn.CONCAT('6B'!$B$7, "-", '6B'!$B$32, "-", '6B'!$E$5)</f>
        <v>Assets and operations-Total number of treated water distribution imports-Input</v>
      </c>
      <c r="F3200" t="s">
        <v>17467</v>
      </c>
      <c r="G3200" s="2602">
        <f>'6B'!$E$32</f>
        <v>7</v>
      </c>
    </row>
    <row r="3201" spans="1:7">
      <c r="A3201" t="s">
        <v>4181</v>
      </c>
      <c r="C3201" s="2590" t="str">
        <f>'6B'!$R$33</f>
        <v>B0006TWDWI3</v>
      </c>
      <c r="D3201" t="str">
        <f>_xlfn.CONCAT('6B'!$B$7, "-", '6B'!$B$33, "-", '6B'!$E$5)</f>
        <v>Assets and operations-Water imported from 3rd parties to treated water distribution systems-Input</v>
      </c>
      <c r="F3201" t="s">
        <v>17467</v>
      </c>
      <c r="G3201" s="2590">
        <f>'6B'!$E$33</f>
        <v>7.1087005687876745</v>
      </c>
    </row>
    <row r="3202" spans="1:7">
      <c r="A3202" t="s">
        <v>4181</v>
      </c>
      <c r="C3202" s="2590" t="str">
        <f>'6B'!$R$34</f>
        <v>B0006TWDTNE</v>
      </c>
      <c r="D3202" t="str">
        <f>_xlfn.CONCAT('6B'!$B$7, "-", '6B'!$B$34, "-", '6B'!$E$5)</f>
        <v>Assets and operations-Total number of treated water distribution exports-Input</v>
      </c>
      <c r="F3202" t="s">
        <v>17467</v>
      </c>
      <c r="G3202" s="2590">
        <f>'6B'!$E$34</f>
        <v>23</v>
      </c>
    </row>
    <row r="3203" spans="1:7">
      <c r="A3203" t="s">
        <v>4181</v>
      </c>
      <c r="C3203" s="2590" t="str">
        <f>'6B'!$R$35</f>
        <v>B0006TWDWE3</v>
      </c>
      <c r="D3203" t="str">
        <f>_xlfn.CONCAT('6B'!$B$7, "-", '6B'!$B$35, "-", '6B'!$E$5)</f>
        <v>Assets and operations-Water exported to 3rd parties from treated water distribution systems-Input</v>
      </c>
      <c r="F3203" t="s">
        <v>17467</v>
      </c>
      <c r="G3203" s="2590">
        <f>'6B'!$E$35</f>
        <v>0.2409676273972603</v>
      </c>
    </row>
    <row r="3204" spans="1:7">
      <c r="A3204" t="s">
        <v>4181</v>
      </c>
      <c r="C3204" s="2590" t="str">
        <f>'6B'!$R$36</f>
        <v>BO_6970353</v>
      </c>
      <c r="D3204" t="str">
        <f>_xlfn.CONCAT('6B'!$B$7, "-", '6B'!$B$36, "-", '6B'!$E$5)</f>
        <v>Assets and operations-Peak 7 day rolling average distribution input-Input</v>
      </c>
      <c r="F3204" t="s">
        <v>17467</v>
      </c>
      <c r="G3204" s="2590">
        <f>'6B'!$E$36</f>
        <v>1005.1018835078572</v>
      </c>
    </row>
    <row r="3205" spans="1:7">
      <c r="A3205" t="s">
        <v>4181</v>
      </c>
      <c r="C3205" s="2590" t="str">
        <f>'6B'!$R$37</f>
        <v>BO_894269</v>
      </c>
      <c r="D3205" t="str">
        <f>_xlfn.CONCAT('6B'!$B$7, "-", '6B'!$B$37, "-", '6B'!$E$5)</f>
        <v>Assets and operations-Peak 7 day rolling average distribution input / annual average distribution input-Input</v>
      </c>
      <c r="F3205" t="s">
        <v>17467</v>
      </c>
      <c r="G3205" s="2609">
        <f>'6B'!$E$37</f>
        <v>1.1430335772872273</v>
      </c>
    </row>
    <row r="3206" spans="1:7">
      <c r="A3206" t="s">
        <v>4181</v>
      </c>
      <c r="C3206" s="2602" t="str">
        <f>'6B'!$R$40</f>
        <v>BN2300_A</v>
      </c>
      <c r="D3206" t="str">
        <f>_xlfn.CONCAT('6B'!$B$39, "-", '6B'!$B$40, "-", '6B'!$E$5)</f>
        <v>Water balance - company level-Measured household consumption (excluding supply pipe leakage)-Input</v>
      </c>
      <c r="F3206" t="s">
        <v>17467</v>
      </c>
      <c r="G3206" s="2602">
        <f>'6B'!$E$40</f>
        <v>161.86197924067682</v>
      </c>
    </row>
    <row r="3207" spans="1:7">
      <c r="A3207" t="s">
        <v>4181</v>
      </c>
      <c r="C3207" t="str">
        <f>'6B'!$R$41</f>
        <v>BN2305_A</v>
      </c>
      <c r="D3207" t="str">
        <f>_xlfn.CONCAT('6B'!$B$39, "-", '6B'!$B$41, "-", '6B'!$E$5)</f>
        <v>Water balance - company level-Unmeasured household consumption (excluding supply pipe leakage)-Input</v>
      </c>
      <c r="F3207" t="s">
        <v>17467</v>
      </c>
      <c r="G3207">
        <f>'6B'!$E$41</f>
        <v>283.18257925888389</v>
      </c>
    </row>
    <row r="3208" spans="1:7">
      <c r="A3208" t="s">
        <v>4181</v>
      </c>
      <c r="C3208" t="str">
        <f>'6B'!$R$42</f>
        <v>BN2310_A</v>
      </c>
      <c r="D3208" t="str">
        <f>_xlfn.CONCAT('6B'!$B$39, "-", '6B'!$B$42, "-", '6B'!$E$5)</f>
        <v>Water balance - company level-Measured non-household consumption (excluding supply pipe leakage)-Input</v>
      </c>
      <c r="F3208" t="s">
        <v>17467</v>
      </c>
      <c r="G3208">
        <f>'6B'!$E$42</f>
        <v>168.17908250311893</v>
      </c>
    </row>
    <row r="3209" spans="1:7">
      <c r="A3209" t="s">
        <v>4181</v>
      </c>
      <c r="C3209" s="2590" t="str">
        <f>'6B'!$R$43</f>
        <v>BN2315_A</v>
      </c>
      <c r="D3209" t="str">
        <f>_xlfn.CONCAT('6B'!$B$39, "-", '6B'!$B$43, "-", '6B'!$E$5)</f>
        <v>Water balance - company level-Unmeasured non-household consumption (excluding supply pipe leakage)-Input</v>
      </c>
      <c r="F3209" t="s">
        <v>17467</v>
      </c>
      <c r="G3209" s="2590">
        <f>'6B'!$E$43</f>
        <v>4.6216309010639991</v>
      </c>
    </row>
    <row r="3210" spans="1:7">
      <c r="A3210" t="s">
        <v>4181</v>
      </c>
      <c r="C3210" s="2590" t="str">
        <f>'6B'!$R$44</f>
        <v>BN2345A</v>
      </c>
      <c r="D3210" t="str">
        <f>_xlfn.CONCAT('6B'!$B$39, "-", '6B'!$B$44, "-", '6B'!$E$5)</f>
        <v>Water balance - company level-Total annual leakage-Input</v>
      </c>
      <c r="F3210" t="s">
        <v>17467</v>
      </c>
      <c r="G3210" s="2590">
        <f>'6B'!$E$44</f>
        <v>253.21014545153778</v>
      </c>
    </row>
    <row r="3211" spans="1:7">
      <c r="A3211" t="s">
        <v>4181</v>
      </c>
      <c r="C3211" s="2590" t="str">
        <f>'6B'!$R$45</f>
        <v>BN2325_A</v>
      </c>
      <c r="D3211" t="str">
        <f>_xlfn.CONCAT('6B'!$B$39, "-", '6B'!$B$45, "-", '6B'!$E$5)</f>
        <v>Water balance - company level-Distribution system operational use-Input</v>
      </c>
      <c r="F3211" t="s">
        <v>17467</v>
      </c>
      <c r="G3211" s="2590">
        <f>'6B'!$E$45</f>
        <v>0.96819953179638696</v>
      </c>
    </row>
    <row r="3212" spans="1:7">
      <c r="A3212" t="s">
        <v>4181</v>
      </c>
      <c r="C3212" s="2590" t="str">
        <f>'6B'!$R$46</f>
        <v>BN2327A</v>
      </c>
      <c r="D3212" t="str">
        <f>_xlfn.CONCAT('6B'!$B$39, "-", '6B'!$B$46, "-", '6B'!$E$5)</f>
        <v>Water balance - company level-Water taken unbilled-Input</v>
      </c>
      <c r="F3212" t="s">
        <v>17467</v>
      </c>
      <c r="G3212" s="2590">
        <f>'6B'!$E$46</f>
        <v>5.7023112143898063</v>
      </c>
    </row>
    <row r="3213" spans="1:7">
      <c r="A3213" t="s">
        <v>4181</v>
      </c>
      <c r="C3213" t="str">
        <f>'6B'!$R$47</f>
        <v>BN1000A</v>
      </c>
      <c r="D3213" t="str">
        <f>_xlfn.CONCAT('6B'!$B$39, "-", '6B'!$B$47, "-", '6B'!$E$5)</f>
        <v>Water balance - company level-Distribution input-Input</v>
      </c>
      <c r="F3213" t="s">
        <v>17467</v>
      </c>
      <c r="G3213">
        <f>'6B'!$E$47</f>
        <v>877.7259281014675</v>
      </c>
    </row>
    <row r="3214" spans="1:7">
      <c r="A3214" t="s">
        <v>4181</v>
      </c>
      <c r="C3214" t="str">
        <f>'6B'!$R$48</f>
        <v>BN1000PRMA</v>
      </c>
      <c r="D3214" t="str">
        <f>_xlfn.CONCAT('6B'!$B$39, "-", '6B'!$B$48, "-", '6B'!$E$5)</f>
        <v>Water balance - company level-Distribution input (pre-MLE)-Input</v>
      </c>
      <c r="F3214" t="s">
        <v>17467</v>
      </c>
      <c r="G3214">
        <f>'6B'!$E$48</f>
        <v>879.32839724032885</v>
      </c>
    </row>
    <row r="3215" spans="1:7">
      <c r="A3215" t="s">
        <v>4181</v>
      </c>
      <c r="C3215" s="2602" t="str">
        <f>'6B'!$R$51</f>
        <v>BN2300_A1</v>
      </c>
      <c r="D3215" t="str">
        <f>_xlfn.CONCAT('6B'!$B$50, "-", '6B'!$B$51, "-", '6B'!$E$5)</f>
        <v>Water balance - region 1-Measured household consumption (excluding supply pipe leakage)-Input</v>
      </c>
      <c r="F3215" t="s">
        <v>17467</v>
      </c>
      <c r="G3215" s="2602">
        <f>'6B'!$E$51</f>
        <v>0</v>
      </c>
    </row>
    <row r="3216" spans="1:7">
      <c r="A3216" t="s">
        <v>4181</v>
      </c>
      <c r="C3216" t="str">
        <f>'6B'!$R$52</f>
        <v>BN2305_A1</v>
      </c>
      <c r="D3216" t="str">
        <f>_xlfn.CONCAT('6B'!$B$50, "-", '6B'!$B$52, "-", '6B'!$E$5)</f>
        <v>Water balance - region 1-Unmeasured household consumption (excluding supply pipe leakage)-Input</v>
      </c>
      <c r="F3216" t="s">
        <v>17467</v>
      </c>
      <c r="G3216">
        <f>'6B'!$E$52</f>
        <v>0</v>
      </c>
    </row>
    <row r="3217" spans="1:7">
      <c r="A3217" t="s">
        <v>4181</v>
      </c>
      <c r="C3217" t="str">
        <f>'6B'!$R$53</f>
        <v>BN2310_A1</v>
      </c>
      <c r="D3217" t="str">
        <f>_xlfn.CONCAT('6B'!$B$50, "-", '6B'!$B$53, "-", '6B'!$E$5)</f>
        <v>Water balance - region 1-Measured non-household consumption (excluding supply pipe leakage)-Input</v>
      </c>
      <c r="F3217" t="s">
        <v>17467</v>
      </c>
      <c r="G3217">
        <f>'6B'!$E$53</f>
        <v>0</v>
      </c>
    </row>
    <row r="3218" spans="1:7">
      <c r="A3218" t="s">
        <v>4181</v>
      </c>
      <c r="C3218" s="2590" t="str">
        <f>'6B'!$R$54</f>
        <v>BN2315_A1</v>
      </c>
      <c r="D3218" t="str">
        <f>_xlfn.CONCAT('6B'!$B$50, "-", '6B'!$B$54, "-", '6B'!$E$5)</f>
        <v>Water balance - region 1-Unmeasured non-household consumption (excluding supply pipe leakage)-Input</v>
      </c>
      <c r="F3218" t="s">
        <v>17467</v>
      </c>
      <c r="G3218" s="2590">
        <f>'6B'!$E$54</f>
        <v>0</v>
      </c>
    </row>
    <row r="3219" spans="1:7">
      <c r="A3219" t="s">
        <v>4181</v>
      </c>
      <c r="C3219" s="2590" t="str">
        <f>'6B'!$R$55</f>
        <v>BN2345A1</v>
      </c>
      <c r="D3219" t="str">
        <f>_xlfn.CONCAT('6B'!$B$50, "-", '6B'!$B$55, "-", '6B'!$E$5)</f>
        <v>Water balance - region 1-Total annual leakage-Input</v>
      </c>
      <c r="F3219" t="s">
        <v>17467</v>
      </c>
      <c r="G3219" s="2590">
        <f>'6B'!$E$55</f>
        <v>0</v>
      </c>
    </row>
    <row r="3220" spans="1:7">
      <c r="A3220" t="s">
        <v>4181</v>
      </c>
      <c r="C3220" s="2590" t="str">
        <f>'6B'!$R$56</f>
        <v>BN2325_A1</v>
      </c>
      <c r="D3220" t="str">
        <f>_xlfn.CONCAT('6B'!$B$50, "-", '6B'!$B$56, "-", '6B'!$E$5)</f>
        <v>Water balance - region 1-Distribution system operational use-Input</v>
      </c>
      <c r="F3220" t="s">
        <v>17467</v>
      </c>
      <c r="G3220" s="2590">
        <f>'6B'!$E$56</f>
        <v>0</v>
      </c>
    </row>
    <row r="3221" spans="1:7">
      <c r="A3221" t="s">
        <v>4181</v>
      </c>
      <c r="C3221" s="2590" t="str">
        <f>'6B'!$R$57</f>
        <v>BN2327A1</v>
      </c>
      <c r="D3221" t="str">
        <f>_xlfn.CONCAT('6B'!$B$50, "-", '6B'!$B$57, "-", '6B'!$E$5)</f>
        <v>Water balance - region 1-Water taken unbilled-Input</v>
      </c>
      <c r="F3221" t="s">
        <v>17467</v>
      </c>
      <c r="G3221" s="2590">
        <f>'6B'!$E$57</f>
        <v>0</v>
      </c>
    </row>
    <row r="3222" spans="1:7">
      <c r="A3222" t="s">
        <v>4181</v>
      </c>
      <c r="C3222" t="str">
        <f>'6B'!$R$58</f>
        <v>BN1000A1</v>
      </c>
      <c r="D3222" t="str">
        <f>_xlfn.CONCAT('6B'!$B$50, "-", '6B'!$B$58, "-", '6B'!$E$5)</f>
        <v>Water balance - region 1-Distribution input-Input</v>
      </c>
      <c r="F3222" t="s">
        <v>17467</v>
      </c>
      <c r="G3222">
        <f>'6B'!$E$58</f>
        <v>0</v>
      </c>
    </row>
    <row r="3223" spans="1:7">
      <c r="A3223" t="s">
        <v>4181</v>
      </c>
      <c r="C3223" t="str">
        <f>'6B'!$R$59</f>
        <v>BN1000PRM_A1</v>
      </c>
      <c r="D3223" t="str">
        <f>_xlfn.CONCAT('6B'!$B$50, "-", '6B'!$B$59, "-", '6B'!$E$5)</f>
        <v>Water balance - region 1-Distribution input (pre-MLE)-Input</v>
      </c>
      <c r="F3223" t="s">
        <v>17467</v>
      </c>
      <c r="G3223">
        <f>'6B'!$E$59</f>
        <v>0</v>
      </c>
    </row>
    <row r="3224" spans="1:7">
      <c r="A3224" t="s">
        <v>4181</v>
      </c>
      <c r="C3224" s="2602" t="str">
        <f>'6B'!$R$62</f>
        <v>BN2300_A2</v>
      </c>
      <c r="D3224" t="str">
        <f>_xlfn.CONCAT('6B'!$B$61, "-", '6B'!$B$62, "-", '6B'!$E$5)</f>
        <v>Water balance - region 2-Measured household consumption (excluding supply pipe leakage)-Input</v>
      </c>
      <c r="F3224" t="s">
        <v>17467</v>
      </c>
      <c r="G3224" s="2602">
        <f>'6B'!$E$62</f>
        <v>0</v>
      </c>
    </row>
    <row r="3225" spans="1:7">
      <c r="A3225" t="s">
        <v>4181</v>
      </c>
      <c r="C3225" t="str">
        <f>'6B'!$R$63</f>
        <v>BN2305_A2</v>
      </c>
      <c r="D3225" t="str">
        <f>_xlfn.CONCAT('6B'!$B$61, "-", '6B'!$B$63, "-", '6B'!$E$5)</f>
        <v>Water balance - region 2-Unmeasured household consumption (excluding supply pipe leakage)-Input</v>
      </c>
      <c r="F3225" t="s">
        <v>17467</v>
      </c>
      <c r="G3225">
        <f>'6B'!$E$63</f>
        <v>0</v>
      </c>
    </row>
    <row r="3226" spans="1:7">
      <c r="A3226" t="s">
        <v>4181</v>
      </c>
      <c r="C3226" t="str">
        <f>'6B'!$R$64</f>
        <v>BN2310_A2</v>
      </c>
      <c r="D3226" t="str">
        <f>_xlfn.CONCAT('6B'!$B$61, "-", '6B'!$B$64, "-", '6B'!$E$5)</f>
        <v>Water balance - region 2-Measured non-household consumption (excluding supply pipe leakage)-Input</v>
      </c>
      <c r="F3226" t="s">
        <v>17467</v>
      </c>
      <c r="G3226">
        <f>'6B'!$E$64</f>
        <v>0</v>
      </c>
    </row>
    <row r="3227" spans="1:7">
      <c r="A3227" t="s">
        <v>4181</v>
      </c>
      <c r="C3227" s="2590" t="str">
        <f>'6B'!$R$65</f>
        <v>BN2315_A2</v>
      </c>
      <c r="D3227" t="str">
        <f>_xlfn.CONCAT('6B'!$B$61, "-", '6B'!$B$65, "-", '6B'!$E$5)</f>
        <v>Water balance - region 2-Unmeasured non-household consumption (excluding supply pipe leakage)-Input</v>
      </c>
      <c r="F3227" t="s">
        <v>17467</v>
      </c>
      <c r="G3227" s="2590">
        <f>'6B'!$E$65</f>
        <v>0</v>
      </c>
    </row>
    <row r="3228" spans="1:7">
      <c r="A3228" t="s">
        <v>4181</v>
      </c>
      <c r="C3228" s="2590" t="str">
        <f>'6B'!$R$66</f>
        <v>BN2345A2</v>
      </c>
      <c r="D3228" t="str">
        <f>_xlfn.CONCAT('6B'!$B$61, "-", '6B'!$B$66, "-", '6B'!$E$5)</f>
        <v>Water balance - region 2-Total annual leakage-Input</v>
      </c>
      <c r="F3228" t="s">
        <v>17467</v>
      </c>
      <c r="G3228" s="2590">
        <f>'6B'!$E$66</f>
        <v>0</v>
      </c>
    </row>
    <row r="3229" spans="1:7">
      <c r="A3229" t="s">
        <v>4181</v>
      </c>
      <c r="C3229" s="2590" t="str">
        <f>'6B'!$R$67</f>
        <v>BN2325_A2</v>
      </c>
      <c r="D3229" t="str">
        <f>_xlfn.CONCAT('6B'!$B$61, "-", '6B'!$B$67, "-", '6B'!$E$5)</f>
        <v>Water balance - region 2-Distribution system operational use-Input</v>
      </c>
      <c r="F3229" t="s">
        <v>17467</v>
      </c>
      <c r="G3229" s="2590">
        <f>'6B'!$E$67</f>
        <v>0</v>
      </c>
    </row>
    <row r="3230" spans="1:7">
      <c r="A3230" t="s">
        <v>4181</v>
      </c>
      <c r="C3230" s="2590" t="str">
        <f>'6B'!$R$68</f>
        <v>BN2327A2</v>
      </c>
      <c r="D3230" t="str">
        <f>_xlfn.CONCAT('6B'!$B$61, "-", '6B'!$B$68, "-", '6B'!$E$5)</f>
        <v>Water balance - region 2-Water taken unbilled-Input</v>
      </c>
      <c r="F3230" t="s">
        <v>17467</v>
      </c>
      <c r="G3230" s="2590">
        <f>'6B'!$E$68</f>
        <v>0</v>
      </c>
    </row>
    <row r="3231" spans="1:7">
      <c r="A3231" t="s">
        <v>4181</v>
      </c>
      <c r="C3231" t="str">
        <f>'6B'!$R$69</f>
        <v>BN1000A2</v>
      </c>
      <c r="D3231" t="str">
        <f>_xlfn.CONCAT('6B'!$B$61, "-", '6B'!$B$69, "-", '6B'!$E$5)</f>
        <v>Water balance - region 2-Distribution input-Input</v>
      </c>
      <c r="F3231" t="s">
        <v>17467</v>
      </c>
      <c r="G3231">
        <f>'6B'!$E$69</f>
        <v>0</v>
      </c>
    </row>
    <row r="3232" spans="1:7">
      <c r="A3232" t="s">
        <v>4181</v>
      </c>
      <c r="C3232" t="str">
        <f>'6B'!$R$70</f>
        <v>BN1000PRM_A2</v>
      </c>
      <c r="D3232" t="str">
        <f>_xlfn.CONCAT('6B'!$B$61, "-", '6B'!$B$70, "-", '6B'!$E$5)</f>
        <v>Water balance - region 2-Distribution input (pre-MLE)-Input</v>
      </c>
      <c r="F3232" t="s">
        <v>17467</v>
      </c>
      <c r="G3232">
        <f>'6B'!$E$70</f>
        <v>0</v>
      </c>
    </row>
    <row r="3233" spans="1:7">
      <c r="A3233" t="s">
        <v>4181</v>
      </c>
      <c r="C3233" s="2602" t="str">
        <f>'6B'!$R$73</f>
        <v>BN20020</v>
      </c>
      <c r="D3233" t="str">
        <f>_xlfn.CONCAT('6B'!$B$72, "-", '6B'!$B$73, "-", '6B'!$E$5)</f>
        <v>Components of total leakage (post MLE) - company level-Leakage upstream of DMA-Input</v>
      </c>
      <c r="F3233" t="s">
        <v>17467</v>
      </c>
      <c r="G3233" s="2602">
        <f>'6B'!$E$73</f>
        <v>91.84966272841281</v>
      </c>
    </row>
    <row r="3234" spans="1:7">
      <c r="A3234" t="s">
        <v>4181</v>
      </c>
      <c r="C3234" t="str">
        <f>'6B'!$R$74</f>
        <v>BN20030</v>
      </c>
      <c r="D3234" t="str">
        <f>_xlfn.CONCAT('6B'!$B$72, "-", '6B'!$B$74, "-", '6B'!$E$5)</f>
        <v>Components of total leakage (post MLE) - company level-87 Distribution main losses-Input</v>
      </c>
      <c r="F3234" t="s">
        <v>17467</v>
      </c>
      <c r="G3234">
        <f>'6B'!$E$74</f>
        <v>99.380456526851447</v>
      </c>
    </row>
    <row r="3235" spans="1:7">
      <c r="A3235" t="s">
        <v>4181</v>
      </c>
      <c r="C3235" t="str">
        <f>'6B'!$R$75</f>
        <v>BN20040</v>
      </c>
      <c r="D3235" t="str">
        <f>_xlfn.CONCAT('6B'!$B$72, "-", '6B'!$B$75, "-", '6B'!$E$5)</f>
        <v>Components of total leakage (post MLE) - company level-Customer supply pipe losses – measured households excluding void properties-Input</v>
      </c>
      <c r="F3235" t="s">
        <v>17467</v>
      </c>
      <c r="G3235">
        <f>'6B'!$E$75</f>
        <v>14.413264833401792</v>
      </c>
    </row>
    <row r="3236" spans="1:7">
      <c r="A3236" t="s">
        <v>4181</v>
      </c>
      <c r="C3236" s="2590" t="str">
        <f>'6B'!$R$76</f>
        <v>BN20050</v>
      </c>
      <c r="D3236" t="str">
        <f>_xlfn.CONCAT('6B'!$B$72, "-", '6B'!$B$76, "-", '6B'!$E$5)</f>
        <v>Components of total leakage (post MLE) - company level-Customer supply pipe losses – unmeasured households excluding void properties-Input</v>
      </c>
      <c r="F3236" t="s">
        <v>17467</v>
      </c>
      <c r="G3236" s="2590">
        <f>'6B'!$E$76</f>
        <v>41.235536620382405</v>
      </c>
    </row>
    <row r="3237" spans="1:7">
      <c r="A3237" t="s">
        <v>4181</v>
      </c>
      <c r="C3237" s="2590" t="str">
        <f>'6B'!$R$77</f>
        <v>BN20060</v>
      </c>
      <c r="D3237" t="str">
        <f>_xlfn.CONCAT('6B'!$B$72, "-", '6B'!$B$77, "-", '6B'!$E$5)</f>
        <v>Components of total leakage (post MLE) - company level-Customer supply pipe losses – measured non-households excluding void properties-Input</v>
      </c>
      <c r="F3237" t="s">
        <v>17467</v>
      </c>
      <c r="G3237" s="2590">
        <f>'6B'!$E$77</f>
        <v>2.3184764142446506</v>
      </c>
    </row>
    <row r="3238" spans="1:7">
      <c r="A3238" t="s">
        <v>4181</v>
      </c>
      <c r="C3238" s="2590" t="str">
        <f>'6B'!$R$78</f>
        <v>BN20070</v>
      </c>
      <c r="D3238" t="str">
        <f>_xlfn.CONCAT('6B'!$B$72, "-", '6B'!$B$78, "-", '6B'!$E$5)</f>
        <v>Components of total leakage (post MLE) - company level-Customer supply pipe losses – unmeasured non-households excluding void properties-Input</v>
      </c>
      <c r="F3238" t="s">
        <v>17467</v>
      </c>
      <c r="G3238" s="2590">
        <f>'6B'!$E$78</f>
        <v>0.45387285505676134</v>
      </c>
    </row>
    <row r="3239" spans="1:7">
      <c r="A3239" t="s">
        <v>4181</v>
      </c>
      <c r="C3239" s="2590" t="str">
        <f>'6B'!$R$79</f>
        <v>BN20041</v>
      </c>
      <c r="D3239" t="str">
        <f>_xlfn.CONCAT('6B'!$B$72, "-", '6B'!$B$79, "-", '6B'!$E$5)</f>
        <v>Components of total leakage (post MLE) - company level-Customer supply pipe losses – void measured households-Input</v>
      </c>
      <c r="F3239" t="s">
        <v>17467</v>
      </c>
      <c r="G3239" s="2590">
        <f>'6B'!$E$79</f>
        <v>1.1418445538148694</v>
      </c>
    </row>
    <row r="3240" spans="1:7">
      <c r="A3240" t="s">
        <v>4181</v>
      </c>
      <c r="C3240" t="str">
        <f>'6B'!$R$80</f>
        <v>BN20051</v>
      </c>
      <c r="D3240" t="str">
        <f>_xlfn.CONCAT('6B'!$B$72, "-", '6B'!$B$80, "-", '6B'!$E$5)</f>
        <v>Components of total leakage (post MLE) - company level-Customer supply pipe losses – void unmeasured households-Input</v>
      </c>
      <c r="F3240" t="s">
        <v>17467</v>
      </c>
      <c r="G3240">
        <f>'6B'!$E$80</f>
        <v>1.6309022690668129</v>
      </c>
    </row>
    <row r="3241" spans="1:7">
      <c r="A3241" t="s">
        <v>4181</v>
      </c>
      <c r="C3241" t="str">
        <f>'6B'!$R$81</f>
        <v>BN20061</v>
      </c>
      <c r="D3241" t="str">
        <f>_xlfn.CONCAT('6B'!$B$72, "-", '6B'!$B$81, "-", '6B'!$E$5)</f>
        <v>Components of total leakage (post MLE) - company level-Customer supply pipe losses – void measured non-households-Input</v>
      </c>
      <c r="F3241" t="s">
        <v>17467</v>
      </c>
      <c r="G3241">
        <f>'6B'!$E$81</f>
        <v>0.66308546716955674</v>
      </c>
    </row>
    <row r="3242" spans="1:7">
      <c r="A3242" t="s">
        <v>4181</v>
      </c>
      <c r="C3242" s="2602" t="str">
        <f>'6B'!$R$82</f>
        <v>BN20071</v>
      </c>
      <c r="D3242" t="str">
        <f>_xlfn.CONCAT('6B'!$B$72, "-", '6B'!$B$82, "-", '6B'!$E$5)</f>
        <v>Components of total leakage (post MLE) - company level-Customer supply pipe losses – void unmeasured non-households-Input</v>
      </c>
      <c r="F3242" t="s">
        <v>17467</v>
      </c>
      <c r="G3242" s="2602">
        <f>'6B'!$E$82</f>
        <v>0.12304318313663555</v>
      </c>
    </row>
    <row r="3243" spans="1:7">
      <c r="A3243" t="s">
        <v>4181</v>
      </c>
      <c r="C3243" s="2602" t="str">
        <f>'6B'!$R$85</f>
        <v>BN20020_A</v>
      </c>
      <c r="D3243" t="str">
        <f>_xlfn.CONCAT('6B'!$B$84, "-", '6B'!$B$85, "-", '6B'!$E$5)</f>
        <v>Components of total leakage (post MLE) - region 1-Leakage upstream of DMA-Input</v>
      </c>
      <c r="F3243" t="s">
        <v>17467</v>
      </c>
      <c r="G3243" s="2602">
        <f>'6B'!$E$85</f>
        <v>0</v>
      </c>
    </row>
    <row r="3244" spans="1:7">
      <c r="A3244" t="s">
        <v>4181</v>
      </c>
      <c r="C3244" t="str">
        <f>'6B'!$R$86</f>
        <v>BN20030_A</v>
      </c>
      <c r="D3244" t="str">
        <f>_xlfn.CONCAT('6B'!$B$84, "-", '6B'!$B$86, "-", '6B'!$E$5)</f>
        <v>Components of total leakage (post MLE) - region 1-Distribution main losses-Input</v>
      </c>
      <c r="F3244" t="s">
        <v>17467</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17467</v>
      </c>
      <c r="G3245">
        <f>'6B'!$E$87</f>
        <v>0</v>
      </c>
    </row>
    <row r="3246" spans="1:7">
      <c r="A3246" t="s">
        <v>4181</v>
      </c>
      <c r="C3246" s="2590" t="str">
        <f>'6B'!$R$88</f>
        <v>BN20050_A</v>
      </c>
      <c r="D3246" t="str">
        <f>_xlfn.CONCAT('6B'!$B$84, "-", '6B'!$B$88, "-", '6B'!$E$5)</f>
        <v>Components of total leakage (post MLE) - region 1-Customer supply pipe losses – unmeasured households excluding void properties-Input</v>
      </c>
      <c r="F3246" t="s">
        <v>17467</v>
      </c>
      <c r="G3246" s="2590">
        <f>'6B'!$E$88</f>
        <v>0</v>
      </c>
    </row>
    <row r="3247" spans="1:7">
      <c r="A3247" t="s">
        <v>4181</v>
      </c>
      <c r="C3247" s="2590" t="str">
        <f>'6B'!$R$89</f>
        <v>BN20060_A</v>
      </c>
      <c r="D3247" t="str">
        <f>_xlfn.CONCAT('6B'!$B$84, "-", '6B'!$B$89, "-", '6B'!$E$5)</f>
        <v>Components of total leakage (post MLE) - region 1-Customer supply pipe losses – measured non-households excluding void properties-Input</v>
      </c>
      <c r="F3247" t="s">
        <v>17467</v>
      </c>
      <c r="G3247" s="2590">
        <f>'6B'!$E$89</f>
        <v>0</v>
      </c>
    </row>
    <row r="3248" spans="1:7">
      <c r="A3248" t="s">
        <v>4181</v>
      </c>
      <c r="C3248" s="2590" t="str">
        <f>'6B'!$R$90</f>
        <v>BN20070_A</v>
      </c>
      <c r="D3248" t="str">
        <f>_xlfn.CONCAT('6B'!$B$84, "-", '6B'!$B$90, "-", '6B'!$E$5)</f>
        <v>Components of total leakage (post MLE) - region 1-Customer supply pipe losses – unmeasured non-households excluding void properties-Input</v>
      </c>
      <c r="F3248" t="s">
        <v>17467</v>
      </c>
      <c r="G3248" s="2590">
        <f>'6B'!$E$90</f>
        <v>0</v>
      </c>
    </row>
    <row r="3249" spans="1:7">
      <c r="A3249" t="s">
        <v>4181</v>
      </c>
      <c r="C3249" s="2590" t="str">
        <f>'6B'!$R$91</f>
        <v>BN20041_A</v>
      </c>
      <c r="D3249" t="str">
        <f>_xlfn.CONCAT('6B'!$B$84, "-", '6B'!$B$91, "-", '6B'!$E$5)</f>
        <v>Components of total leakage (post MLE) - region 1-Customer supply pipe losses – void measured households-Input</v>
      </c>
      <c r="F3249" t="s">
        <v>17467</v>
      </c>
      <c r="G3249" s="2590">
        <f>'6B'!$E$91</f>
        <v>0</v>
      </c>
    </row>
    <row r="3250" spans="1:7">
      <c r="A3250" t="s">
        <v>4181</v>
      </c>
      <c r="C3250" t="str">
        <f>'6B'!$R$92</f>
        <v>BN20051_A</v>
      </c>
      <c r="D3250" t="str">
        <f>_xlfn.CONCAT('6B'!$B$84, "-", '6B'!$B$92, "-", '6B'!$E$5)</f>
        <v>Components of total leakage (post MLE) - region 1-Customer supply pipe losses – void unmeasured households-Input</v>
      </c>
      <c r="F3250" t="s">
        <v>17467</v>
      </c>
      <c r="G3250">
        <f>'6B'!$E$92</f>
        <v>0</v>
      </c>
    </row>
    <row r="3251" spans="1:7">
      <c r="A3251" t="s">
        <v>4181</v>
      </c>
      <c r="C3251" t="str">
        <f>'6B'!$R$93</f>
        <v>BN20061_A</v>
      </c>
      <c r="D3251" t="str">
        <f>_xlfn.CONCAT('6B'!$B$84, "-", '6B'!$B$93, "-", '6B'!$E$5)</f>
        <v>Components of total leakage (post MLE) - region 1-Customer supply pipe losses – void measured non-households-Input</v>
      </c>
      <c r="F3251" t="s">
        <v>17467</v>
      </c>
      <c r="G3251">
        <f>'6B'!$E$93</f>
        <v>0</v>
      </c>
    </row>
    <row r="3252" spans="1:7">
      <c r="A3252" t="s">
        <v>4181</v>
      </c>
      <c r="C3252" s="2602" t="str">
        <f>'6B'!$R$94</f>
        <v>BN20071_A</v>
      </c>
      <c r="D3252" t="str">
        <f>_xlfn.CONCAT('6B'!$B$84, "-", '6B'!$B$94, "-", '6B'!$E$5)</f>
        <v>Components of total leakage (post MLE) - region 1-Customer supply pipe losses – void unmeasured non-households-Input</v>
      </c>
      <c r="F3252" t="s">
        <v>17467</v>
      </c>
      <c r="G3252" s="2602">
        <f>'6B'!$E$94</f>
        <v>0</v>
      </c>
    </row>
    <row r="3253" spans="1:7">
      <c r="A3253" t="s">
        <v>4181</v>
      </c>
      <c r="C3253" s="2602" t="str">
        <f>'6B'!$R$97</f>
        <v>BN20020_B</v>
      </c>
      <c r="D3253" t="str">
        <f>_xlfn.CONCAT('6B'!$B$96, "-", '6B'!$B$97, "-", '6B'!$E$5)</f>
        <v>Components of total leakage (post MLE) - region 2-Leakage upstream of DMA-Input</v>
      </c>
      <c r="F3253" t="s">
        <v>17467</v>
      </c>
      <c r="G3253" s="2602">
        <f>'6B'!$E$97</f>
        <v>0</v>
      </c>
    </row>
    <row r="3254" spans="1:7">
      <c r="A3254" t="s">
        <v>4181</v>
      </c>
      <c r="C3254" t="str">
        <f>'6B'!$R$98</f>
        <v>BN20030_B</v>
      </c>
      <c r="D3254" t="str">
        <f>_xlfn.CONCAT('6B'!$B$96, "-", '6B'!$B$98, "-", '6B'!$E$5)</f>
        <v>Components of total leakage (post MLE) - region 2-Distribution main losses-Input</v>
      </c>
      <c r="F3254" t="s">
        <v>17467</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17467</v>
      </c>
      <c r="G3255">
        <f>'6B'!$E$99</f>
        <v>0</v>
      </c>
    </row>
    <row r="3256" spans="1:7">
      <c r="A3256" t="s">
        <v>4181</v>
      </c>
      <c r="C3256" s="2590" t="str">
        <f>'6B'!$R$100</f>
        <v>BN20050_B</v>
      </c>
      <c r="D3256" t="str">
        <f>_xlfn.CONCAT('6B'!$B$96, "-", '6B'!$B$100, "-", '6B'!$E$5)</f>
        <v>Components of total leakage (post MLE) - region 2-Customer supply pipe losses – unmeasured households excluding void properties-Input</v>
      </c>
      <c r="F3256" t="s">
        <v>17467</v>
      </c>
      <c r="G3256" s="2590">
        <f>'6B'!$E$100</f>
        <v>0</v>
      </c>
    </row>
    <row r="3257" spans="1:7">
      <c r="A3257" t="s">
        <v>4181</v>
      </c>
      <c r="C3257" s="2590" t="str">
        <f>'6B'!$R$101</f>
        <v>BN20060_B</v>
      </c>
      <c r="D3257" t="str">
        <f>_xlfn.CONCAT('6B'!$B$96, "-", '6B'!$B$101, "-", '6B'!$E$5)</f>
        <v>Components of total leakage (post MLE) - region 2-Customer supply pipe losses – measured non-households excluding void properties-Input</v>
      </c>
      <c r="F3257" t="s">
        <v>17467</v>
      </c>
      <c r="G3257" s="2590">
        <f>'6B'!$E$101</f>
        <v>0</v>
      </c>
    </row>
    <row r="3258" spans="1:7">
      <c r="A3258" t="s">
        <v>4181</v>
      </c>
      <c r="C3258" s="2590" t="str">
        <f>'6B'!$R$102</f>
        <v>BN20070_B</v>
      </c>
      <c r="D3258" t="str">
        <f>_xlfn.CONCAT('6B'!$B$96, "-", '6B'!$B$102, "-", '6B'!$E$5)</f>
        <v>Components of total leakage (post MLE) - region 2-Customer supply pipe losses – unmeasured non-households excluding void properties-Input</v>
      </c>
      <c r="F3258" t="s">
        <v>17467</v>
      </c>
      <c r="G3258" s="2590">
        <f>'6B'!$E$102</f>
        <v>0</v>
      </c>
    </row>
    <row r="3259" spans="1:7">
      <c r="A3259" t="s">
        <v>4181</v>
      </c>
      <c r="C3259" s="2590" t="str">
        <f>'6B'!$R$103</f>
        <v>BN20041_B</v>
      </c>
      <c r="D3259" t="str">
        <f>_xlfn.CONCAT('6B'!$B$96, "-", '6B'!$B$103, "-", '6B'!$E$5)</f>
        <v>Components of total leakage (post MLE) - region 2-Customer supply pipe losses – void measured households-Input</v>
      </c>
      <c r="F3259" t="s">
        <v>17467</v>
      </c>
      <c r="G3259" s="2590">
        <f>'6B'!$E$103</f>
        <v>0</v>
      </c>
    </row>
    <row r="3260" spans="1:7">
      <c r="A3260" t="s">
        <v>4181</v>
      </c>
      <c r="C3260" t="str">
        <f>'6B'!$R$104</f>
        <v>BN20051_B</v>
      </c>
      <c r="D3260" t="str">
        <f>_xlfn.CONCAT('6B'!$B$96, "-", '6B'!$B$104, "-", '6B'!$E$5)</f>
        <v>Components of total leakage (post MLE) - region 2-Customer supply pipe losses – void unmeasured households-Input</v>
      </c>
      <c r="F3260" t="s">
        <v>17467</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17467</v>
      </c>
      <c r="G3261">
        <f>'6B'!$E$105</f>
        <v>0</v>
      </c>
    </row>
    <row r="3262" spans="1:7">
      <c r="A3262" t="s">
        <v>4181</v>
      </c>
      <c r="C3262" s="2602" t="str">
        <f>'6B'!$R$106</f>
        <v>BN20071_B</v>
      </c>
      <c r="D3262" t="str">
        <f>_xlfn.CONCAT('6B'!$B$96, "-", '6B'!$B$106, "-", '6B'!$E$5)</f>
        <v>Components of total leakage (post MLE) - region 2-Customer supply pipe losses – void unmeasured non-households-Input</v>
      </c>
      <c r="F3262" t="s">
        <v>17467</v>
      </c>
      <c r="G3262" s="2602">
        <f>'6B'!$E$106</f>
        <v>0</v>
      </c>
    </row>
    <row r="3263" spans="1:7">
      <c r="A3263" t="s">
        <v>4184</v>
      </c>
      <c r="C3263" t="str">
        <f>'6C'!$R$8</f>
        <v>BN1100</v>
      </c>
      <c r="D3263" t="str">
        <f>_xlfn.CONCAT('6C'!$B$7, "-", '6C'!$B$8, "-", '6C'!$E$5)</f>
        <v>Treated water distribution - mains analysis-Total length of potable mains as at 31 March-Input</v>
      </c>
      <c r="F3263" t="s">
        <v>17467</v>
      </c>
      <c r="G3263">
        <f>'6C'!$E$8</f>
        <v>27875.3</v>
      </c>
    </row>
    <row r="3264" spans="1:7">
      <c r="A3264" t="s">
        <v>4184</v>
      </c>
      <c r="C3264" t="str">
        <f>'6C'!$R$9</f>
        <v>BN1204</v>
      </c>
      <c r="D3264" t="str">
        <f>_xlfn.CONCAT('6C'!$B$7, "-", '6C'!$B$9, "-", '6C'!$E$5)</f>
        <v>Treated water distribution - mains analysis-Total length of potable mains relined-Input</v>
      </c>
      <c r="F3264" t="s">
        <v>17467</v>
      </c>
      <c r="G3264">
        <f>'6C'!$E$9</f>
        <v>0</v>
      </c>
    </row>
    <row r="3265" spans="1:7">
      <c r="A3265" t="s">
        <v>4184</v>
      </c>
      <c r="C3265" t="str">
        <f>'6C'!$R$10</f>
        <v>BN1200</v>
      </c>
      <c r="D3265" t="str">
        <f>_xlfn.CONCAT('6C'!$B$7, "-", '6C'!$B$10, "-", '6C'!$E$5)</f>
        <v>Treated water distribution - mains analysis-Total length of potable mains renewed-Input</v>
      </c>
      <c r="F3265" t="s">
        <v>17467</v>
      </c>
      <c r="G3265">
        <f>'6C'!$E$10</f>
        <v>21</v>
      </c>
    </row>
    <row r="3266" spans="1:7">
      <c r="A3266" t="s">
        <v>4184</v>
      </c>
      <c r="C3266" t="str">
        <f>'6C'!$R$11</f>
        <v>BN1208</v>
      </c>
      <c r="D3266" t="str">
        <f>_xlfn.CONCAT('6C'!$B$7, "-", '6C'!$B$11, "-", '6C'!$E$5)</f>
        <v>Treated water distribution - mains analysis-Total length of new potable mains-Input</v>
      </c>
      <c r="F3266" t="s">
        <v>17467</v>
      </c>
      <c r="G3266">
        <f>'6C'!$E$11</f>
        <v>48.4</v>
      </c>
    </row>
    <row r="3267" spans="1:7">
      <c r="A3267" t="s">
        <v>4184</v>
      </c>
      <c r="C3267" t="str">
        <f>'6C'!$R$12</f>
        <v>BN14990</v>
      </c>
      <c r="D3267" t="str">
        <f>_xlfn.CONCAT('6C'!$B$7, "-", '6C'!$B$12, "-", '6C'!$E$5)</f>
        <v>Treated water distribution - mains analysis-Total length of potable water mains (≤320mm)-Input</v>
      </c>
      <c r="F3267" t="s">
        <v>17467</v>
      </c>
      <c r="G3267">
        <f>'6C'!$E$12</f>
        <v>25975</v>
      </c>
    </row>
    <row r="3268" spans="1:7">
      <c r="A3268" t="s">
        <v>4184</v>
      </c>
      <c r="C3268" t="str">
        <f>'6C'!$R$13</f>
        <v>BN14890</v>
      </c>
      <c r="D3268" t="str">
        <f>_xlfn.CONCAT('6C'!$B$7, "-", '6C'!$B$13, "-", '6C'!$E$5)</f>
        <v>Treated water distribution - mains analysis-Total length of potable water mains (&gt;320mm and ≤ 450mm)-Input</v>
      </c>
      <c r="F3268" t="s">
        <v>17467</v>
      </c>
      <c r="G3268">
        <f>'6C'!$E$13</f>
        <v>916.8</v>
      </c>
    </row>
    <row r="3269" spans="1:7">
      <c r="A3269" t="s">
        <v>4184</v>
      </c>
      <c r="C3269" t="str">
        <f>'6C'!$R$14</f>
        <v>BN14790</v>
      </c>
      <c r="D3269" t="str">
        <f>_xlfn.CONCAT('6C'!$B$7, "-", '6C'!$B$14, "-", '6C'!$E$5)</f>
        <v>Treated water distribution - mains analysis-Total length of potable water mains (&gt;450mm and ≤610mm)-Input</v>
      </c>
      <c r="F3269" t="s">
        <v>17467</v>
      </c>
      <c r="G3269">
        <f>'6C'!$E$14</f>
        <v>541.6</v>
      </c>
    </row>
    <row r="3270" spans="1:7">
      <c r="A3270" t="s">
        <v>4184</v>
      </c>
      <c r="C3270" t="str">
        <f>'6C'!$R$15</f>
        <v>BN14690</v>
      </c>
      <c r="D3270" t="str">
        <f>_xlfn.CONCAT('6C'!$B$7, "-", '6C'!$B$15, "-", '6C'!$E$5)</f>
        <v>Treated water distribution - mains analysis-Total length of potable water mains  (&gt; 610mm)-Input</v>
      </c>
      <c r="F3270" t="s">
        <v>17467</v>
      </c>
      <c r="G3270">
        <f>'6C'!$E$15</f>
        <v>441.8</v>
      </c>
    </row>
    <row r="3271" spans="1:7">
      <c r="A3271" t="s">
        <v>4184</v>
      </c>
      <c r="C3271" t="str">
        <f>'6C'!$R$18</f>
        <v>BB13000</v>
      </c>
      <c r="D3271" t="str">
        <f>_xlfn.CONCAT('6C'!$B$17, "-", '6C'!$B$18, "-", '6C'!$E$5)</f>
        <v>Treated water distribution - mains age profile-Total length of potable mains laid or structurally refurbished pre-1880-Input</v>
      </c>
      <c r="F3271" t="s">
        <v>17467</v>
      </c>
      <c r="G3271">
        <f>'6C'!$E$18</f>
        <v>128</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17467</v>
      </c>
      <c r="G3272">
        <f>'6C'!$E$19</f>
        <v>738.1</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17467</v>
      </c>
      <c r="G3273">
        <f>'6C'!$E$20</f>
        <v>2479.1999999999998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17467</v>
      </c>
      <c r="G3274">
        <f>'6C'!$E$21</f>
        <v>1918.3</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17467</v>
      </c>
      <c r="G3275">
        <f>'6C'!$E$22</f>
        <v>4490.8</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17467</v>
      </c>
      <c r="G3276">
        <f>'6C'!$E$23</f>
        <v>6100.3</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17467</v>
      </c>
      <c r="G3277">
        <f>'6C'!$E$24</f>
        <v>6684.8</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17467</v>
      </c>
      <c r="G3278">
        <f>'6C'!$E$25</f>
        <v>5192.8</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17467</v>
      </c>
      <c r="G3279">
        <f>'6C'!$E$26</f>
        <v>143</v>
      </c>
    </row>
    <row r="3280" spans="1:7">
      <c r="A3280" t="s">
        <v>4184</v>
      </c>
      <c r="C3280" t="str">
        <f>'6C'!$R$29</f>
        <v>BN11600</v>
      </c>
      <c r="D3280" t="str">
        <f>_xlfn.CONCAT('6C'!$B$28, "-", '6C'!$B$29, "-", '6C'!$E$5)</f>
        <v>Communication pipes-Number of lead communication pipes-Input</v>
      </c>
      <c r="F3280" t="s">
        <v>17467</v>
      </c>
      <c r="G3280" s="2602">
        <f>'6C'!$E$29</f>
        <v>151355</v>
      </c>
    </row>
    <row r="3281" spans="1:7">
      <c r="A3281" t="s">
        <v>4184</v>
      </c>
      <c r="C3281" t="str">
        <f>'6C'!$R$30</f>
        <v>BN11610</v>
      </c>
      <c r="D3281" t="str">
        <f>_xlfn.CONCAT('6C'!$B$28, "-", '6C'!$B$30, "-", '6C'!$E$5)</f>
        <v>Communication pipes-Number of galvanised iron communication pipes-Input</v>
      </c>
      <c r="F3281" t="s">
        <v>17467</v>
      </c>
      <c r="G3281" s="2602">
        <f>'6C'!$E$30</f>
        <v>48548</v>
      </c>
    </row>
    <row r="3282" spans="1:7">
      <c r="A3282" t="s">
        <v>4184</v>
      </c>
      <c r="C3282" t="str">
        <f>'6C'!$R$31</f>
        <v>BN11620</v>
      </c>
      <c r="D3282" t="str">
        <f>_xlfn.CONCAT('6C'!$B$28, "-", '6C'!$B$31, "-", '6C'!$E$5)</f>
        <v>Communication pipes-Number of other communication pipes-Input</v>
      </c>
      <c r="F3282" t="s">
        <v>17467</v>
      </c>
      <c r="G3282" s="2602">
        <f>'6C'!$E$31</f>
        <v>842990</v>
      </c>
    </row>
    <row r="3283" spans="1:7">
      <c r="A3283" t="s">
        <v>4184</v>
      </c>
      <c r="C3283" t="str">
        <f>'6C'!$R$32</f>
        <v>BN1231</v>
      </c>
      <c r="D3283" t="str">
        <f>_xlfn.CONCAT('6C'!$B$28, "-", '6C'!$B$32, "-", '6C'!$E$5)</f>
        <v>Communication pipes-Number of lead communication pipes replaced or relined for water quality-Input</v>
      </c>
      <c r="F3283" t="s">
        <v>17467</v>
      </c>
      <c r="G3283" s="2602">
        <f>'6C'!$E$32</f>
        <v>3</v>
      </c>
    </row>
    <row r="3284" spans="1:7">
      <c r="A3284" t="s">
        <v>4184</v>
      </c>
      <c r="C3284" t="str">
        <f>'6C'!$R$35</f>
        <v>SYS03</v>
      </c>
      <c r="D3284" t="str">
        <f>_xlfn.CONCAT('6C'!$B$34, "-", '6C'!$B$35, "-", '6C'!$E$5)</f>
        <v>Other-Company area-Input</v>
      </c>
      <c r="F3284" t="s">
        <v>17467</v>
      </c>
      <c r="G3284" s="2602">
        <f>'6C'!$E$35</f>
        <v>20084</v>
      </c>
    </row>
    <row r="3285" spans="1:7">
      <c r="A3285" t="s">
        <v>4184</v>
      </c>
      <c r="C3285" s="2590" t="str">
        <f>'6C'!$R$36</f>
        <v>QEBW0183</v>
      </c>
      <c r="D3285" t="str">
        <f>_xlfn.CONCAT('6C'!$B$34, "-", '6C'!$B$36, "-", '6C'!$E$5)</f>
        <v>Other-Compliance Risk Index-Input</v>
      </c>
      <c r="F3285" t="s">
        <v>17467</v>
      </c>
      <c r="G3285" s="2590">
        <f>'6C'!$E$36</f>
        <v>5.4</v>
      </c>
    </row>
    <row r="3286" spans="1:7">
      <c r="A3286" t="s">
        <v>4184</v>
      </c>
      <c r="C3286" t="str">
        <f>'6C'!$R$37</f>
        <v>QEBW0184</v>
      </c>
      <c r="D3286" t="str">
        <f>_xlfn.CONCAT('6C'!$B$34, "-", '6C'!$B$37, "-", '6C'!$E$5)</f>
        <v>Other-Event Risk Index-Input</v>
      </c>
      <c r="F3286" t="s">
        <v>17467</v>
      </c>
      <c r="G3286" s="2602">
        <f>'6C'!$E$37</f>
        <v>1313</v>
      </c>
    </row>
    <row r="3287" spans="1:7">
      <c r="A3287" t="s">
        <v>4184</v>
      </c>
      <c r="C3287" s="2590" t="str">
        <f>'6C'!$R$38</f>
        <v>BN1004</v>
      </c>
      <c r="D3287" t="str">
        <f>_xlfn.CONCAT('6C'!$B$34, "-", '6C'!$B$38, "-", '6C'!$E$5)</f>
        <v>Other-Properties below reference level at end of year-Input</v>
      </c>
      <c r="F3287" t="s">
        <v>17467</v>
      </c>
      <c r="G3287" s="2590">
        <f>'6C'!$E$38</f>
        <v>597</v>
      </c>
    </row>
    <row r="3288" spans="1:7">
      <c r="A3288" t="s">
        <v>4190</v>
      </c>
      <c r="C3288" t="str">
        <f>'6D'!$W$8</f>
        <v>B1250NMT_BM</v>
      </c>
      <c r="D3288" t="str">
        <f>_xlfn.CONCAT('6D'!$B$7, "-", '6D'!$B$8, "-", '6D'!$E$5)</f>
        <v>Metering activities - Totex expenditure-New optant meter installation for existing customers-Basic meter</v>
      </c>
      <c r="F3288" t="s">
        <v>17467</v>
      </c>
      <c r="G3288">
        <f>'6D'!$E$8</f>
        <v>4.8998431779559564</v>
      </c>
    </row>
    <row r="3289" spans="1:7">
      <c r="A3289" t="s">
        <v>4190</v>
      </c>
      <c r="C3289" t="str">
        <f>'6D'!$X$8</f>
        <v>B1250NMT_AMR</v>
      </c>
      <c r="D3289" t="str">
        <f>_xlfn.CONCAT('6D'!$B$7, "-", '6D'!$B$8, "-", '6D'!$F$5)</f>
        <v>Metering activities - Totex expenditure-New optant meter installation for existing customers-AMR meter</v>
      </c>
      <c r="F3289" t="s">
        <v>17467</v>
      </c>
      <c r="G3289">
        <f>'6D'!$F$8</f>
        <v>0.15157942962890075</v>
      </c>
    </row>
    <row r="3290" spans="1:7">
      <c r="A3290" t="s">
        <v>4190</v>
      </c>
      <c r="C3290" t="str">
        <f>'6D'!$Y$8</f>
        <v>B1250NMT_AMI</v>
      </c>
      <c r="D3290" t="str">
        <f>_xlfn.CONCAT('6D'!$B$7, "-", '6D'!$B$8, "-", '6D'!$G$5)</f>
        <v>Metering activities - Totex expenditure-New optant meter installation for existing customers-AMI meter</v>
      </c>
      <c r="F3290" t="s">
        <v>17467</v>
      </c>
      <c r="G3290">
        <f>'6D'!$G$8</f>
        <v>9.1512415143143753E-5</v>
      </c>
    </row>
    <row r="3291" spans="1:7">
      <c r="A3291" t="s">
        <v>4190</v>
      </c>
      <c r="C3291" t="str">
        <f>'6D'!$W$9</f>
        <v>B1253NMT_BM</v>
      </c>
      <c r="D3291" t="str">
        <f>_xlfn.CONCAT('6D'!$B$7, "-", '6D'!$B$9, "-", '6D'!$E$5)</f>
        <v>Metering activities - Totex expenditure-New selective meter installation for existing customers-Basic meter</v>
      </c>
      <c r="F3291" t="s">
        <v>17467</v>
      </c>
      <c r="G3291">
        <f>'6D'!$E$9</f>
        <v>0</v>
      </c>
    </row>
    <row r="3292" spans="1:7">
      <c r="A3292" t="s">
        <v>4190</v>
      </c>
      <c r="C3292" t="str">
        <f>'6D'!$X$9</f>
        <v>B1253NMT_AMR</v>
      </c>
      <c r="D3292" t="str">
        <f>_xlfn.CONCAT('6D'!$B$7, "-", '6D'!$B$9, "-", '6D'!$F$5)</f>
        <v>Metering activities - Totex expenditure-New selective meter installation for existing customers-AMR meter</v>
      </c>
      <c r="F3292" t="s">
        <v>17467</v>
      </c>
      <c r="G3292">
        <f>'6D'!$F$9</f>
        <v>0</v>
      </c>
    </row>
    <row r="3293" spans="1:7">
      <c r="A3293" t="s">
        <v>4190</v>
      </c>
      <c r="C3293" t="str">
        <f>'6D'!$Y$9</f>
        <v>B1253NMT_AMI</v>
      </c>
      <c r="D3293" t="str">
        <f>_xlfn.CONCAT('6D'!$B$7, "-", '6D'!$B$9, "-", '6D'!$G$5)</f>
        <v>Metering activities - Totex expenditure-New selective meter installation for existing customers-AMI meter</v>
      </c>
      <c r="F3293" t="s">
        <v>17467</v>
      </c>
      <c r="G3293">
        <f>'6D'!$G$9</f>
        <v>0</v>
      </c>
    </row>
    <row r="3294" spans="1:7">
      <c r="A3294" t="s">
        <v>4190</v>
      </c>
      <c r="C3294" t="str">
        <f>'6D'!$W$10</f>
        <v>B1256NMT_BM</v>
      </c>
      <c r="D3294" t="str">
        <f>_xlfn.CONCAT('6D'!$B$7, "-", '6D'!$B$10, "-", '6D'!$E$5)</f>
        <v>Metering activities - Totex expenditure-New business meter installation for existing customers-Basic meter</v>
      </c>
      <c r="F3294" t="s">
        <v>17467</v>
      </c>
      <c r="G3294">
        <f>'6D'!$E$10</f>
        <v>1.6864169650522835E-2</v>
      </c>
    </row>
    <row r="3295" spans="1:7">
      <c r="A3295" t="s">
        <v>4190</v>
      </c>
      <c r="C3295" t="str">
        <f>'6D'!$X$10</f>
        <v>B1256NMT_AMR</v>
      </c>
      <c r="D3295" t="str">
        <f>_xlfn.CONCAT('6D'!$B$7, "-", '6D'!$B$10, "-", '6D'!$F$5)</f>
        <v>Metering activities - Totex expenditure-New business meter installation for existing customers-AMR meter</v>
      </c>
      <c r="F3295" t="s">
        <v>17467</v>
      </c>
      <c r="G3295">
        <f>'6D'!$F$10</f>
        <v>4.5303103494771643E-3</v>
      </c>
    </row>
    <row r="3296" spans="1:7">
      <c r="A3296" t="s">
        <v>4190</v>
      </c>
      <c r="C3296" t="str">
        <f>'6D'!$Y$10</f>
        <v>B1256NMT_AMI</v>
      </c>
      <c r="D3296" t="str">
        <f>_xlfn.CONCAT('6D'!$B$7, "-", '6D'!$B$10, "-", '6D'!$G$5)</f>
        <v>Metering activities - Totex expenditure-New business meter installation for existing customers-AMI meter</v>
      </c>
      <c r="F3296" t="s">
        <v>17467</v>
      </c>
      <c r="G3296">
        <f>'6D'!$G$10</f>
        <v>0</v>
      </c>
    </row>
    <row r="3297" spans="1:7">
      <c r="A3297" t="s">
        <v>4190</v>
      </c>
      <c r="C3297" t="str">
        <f>'6D'!$W$11</f>
        <v>B0257NMT_BM</v>
      </c>
      <c r="D3297" t="str">
        <f>_xlfn.CONCAT('6D'!$B$7, "-", '6D'!$B$11, "-", '6D'!$E$5)</f>
        <v>Metering activities - Totex expenditure-Residential meters renewed-Basic meter</v>
      </c>
      <c r="F3297" t="s">
        <v>17467</v>
      </c>
      <c r="G3297">
        <f>'6D'!$E$11</f>
        <v>2.2700433723540123</v>
      </c>
    </row>
    <row r="3298" spans="1:7">
      <c r="A3298" t="s">
        <v>4190</v>
      </c>
      <c r="C3298" t="str">
        <f>'6D'!$X$11</f>
        <v>B0257NMT_AMR</v>
      </c>
      <c r="D3298" t="str">
        <f>_xlfn.CONCAT('6D'!$B$7, "-", '6D'!$B$11, "-", '6D'!$F$5)</f>
        <v>Metering activities - Totex expenditure-Residential meters renewed-AMR meter</v>
      </c>
      <c r="F3298" t="s">
        <v>17467</v>
      </c>
      <c r="G3298">
        <f>'6D'!$F$11</f>
        <v>0.17791389721225004</v>
      </c>
    </row>
    <row r="3299" spans="1:7">
      <c r="A3299" t="s">
        <v>4190</v>
      </c>
      <c r="C3299" t="str">
        <f>'6D'!$Y$11</f>
        <v>B0257NMT_AMI</v>
      </c>
      <c r="D3299" t="str">
        <f>_xlfn.CONCAT('6D'!$B$7, "-", '6D'!$B$11, "-", '6D'!$G$5)</f>
        <v>Metering activities - Totex expenditure-Residential meters renewed-AMI meter</v>
      </c>
      <c r="F3299" t="s">
        <v>17467</v>
      </c>
      <c r="G3299">
        <f>'6D'!$G$11</f>
        <v>0.10006610958991166</v>
      </c>
    </row>
    <row r="3300" spans="1:7">
      <c r="A3300" t="s">
        <v>4190</v>
      </c>
      <c r="C3300" t="str">
        <f>'6D'!$W$12</f>
        <v>B0258NMT_BM</v>
      </c>
      <c r="D3300" t="str">
        <f>_xlfn.CONCAT('6D'!$B$7, "-", '6D'!$B$12, "-", '6D'!$E$5)</f>
        <v>Metering activities - Totex expenditure-Business meters renewed-Basic meter</v>
      </c>
      <c r="F3300" t="s">
        <v>17467</v>
      </c>
      <c r="G3300">
        <f>'6D'!$E$12</f>
        <v>1.7172632782848638</v>
      </c>
    </row>
    <row r="3301" spans="1:7">
      <c r="A3301" t="s">
        <v>4190</v>
      </c>
      <c r="C3301" t="str">
        <f>'6D'!$X$12</f>
        <v>B0258NMT_AMR</v>
      </c>
      <c r="D3301" t="str">
        <f>_xlfn.CONCAT('6D'!$B$7, "-", '6D'!$B$12, "-", '6D'!$F$5)</f>
        <v>Metering activities - Totex expenditure-Business meters renewed-AMR meter</v>
      </c>
      <c r="F3301" t="s">
        <v>17467</v>
      </c>
      <c r="G3301">
        <f>'6D'!$F$12</f>
        <v>8.1999827265465855E-2</v>
      </c>
    </row>
    <row r="3302" spans="1:7">
      <c r="A3302" t="s">
        <v>4190</v>
      </c>
      <c r="C3302" t="str">
        <f>'6D'!$Y$12</f>
        <v>B0258NMT_AMI</v>
      </c>
      <c r="D3302" t="str">
        <f>_xlfn.CONCAT('6D'!$B$7, "-", '6D'!$B$12, "-", '6D'!$G$5)</f>
        <v>Metering activities - Totex expenditure-Business meters renewed-AMI meter</v>
      </c>
      <c r="F3302" t="s">
        <v>17467</v>
      </c>
      <c r="G3302">
        <f>'6D'!$G$12</f>
        <v>1.5834652934957605E-3</v>
      </c>
    </row>
    <row r="3303" spans="1:7">
      <c r="A3303" t="s">
        <v>4190</v>
      </c>
      <c r="C3303" t="str">
        <f>'6D'!$W$15</f>
        <v>BN11715_BM</v>
      </c>
      <c r="D3303" t="str">
        <f>_xlfn.CONCAT('6D'!$B$14, "-", '6D'!$B$15, "-", '6D'!$E$5)</f>
        <v>Metering activities - Explanatory variables-New optant meters installed for existing customers-Basic meter</v>
      </c>
      <c r="F3303" t="s">
        <v>17467</v>
      </c>
      <c r="G3303">
        <f>'6D'!$E$15</f>
        <v>13.413</v>
      </c>
    </row>
    <row r="3304" spans="1:7">
      <c r="A3304" t="s">
        <v>4190</v>
      </c>
      <c r="C3304" t="str">
        <f>'6D'!$X$15</f>
        <v>BN11715_AMR</v>
      </c>
      <c r="D3304" t="str">
        <f>_xlfn.CONCAT('6D'!$B$14, "-", '6D'!$B$15, "-", '6D'!$F$5)</f>
        <v>Metering activities - Explanatory variables-New optant meters installed for existing customers-AMR meter</v>
      </c>
      <c r="F3304" t="s">
        <v>17467</v>
      </c>
      <c r="G3304">
        <f>'6D'!$F$15</f>
        <v>0.501</v>
      </c>
    </row>
    <row r="3305" spans="1:7">
      <c r="A3305" t="s">
        <v>4190</v>
      </c>
      <c r="C3305" t="str">
        <f>'6D'!$Y$15</f>
        <v>BN11715_AMI</v>
      </c>
      <c r="D3305" t="str">
        <f>_xlfn.CONCAT('6D'!$B$14, "-", '6D'!$B$15, "-", '6D'!$G$5)</f>
        <v>Metering activities - Explanatory variables-New optant meters installed for existing customers-AMI meter</v>
      </c>
      <c r="F3305" t="s">
        <v>17467</v>
      </c>
      <c r="G3305">
        <f>'6D'!$G$15</f>
        <v>1E-3</v>
      </c>
    </row>
    <row r="3306" spans="1:7">
      <c r="A3306" t="s">
        <v>4190</v>
      </c>
      <c r="C3306" t="str">
        <f>'6D'!$W$16</f>
        <v>BN11711_BM</v>
      </c>
      <c r="D3306" t="str">
        <f>_xlfn.CONCAT('6D'!$B$14, "-", '6D'!$B$16, "-", '6D'!$E$5)</f>
        <v>Metering activities - Explanatory variables-New selective meters installed for existing customers-Basic meter</v>
      </c>
      <c r="F3306" t="s">
        <v>17467</v>
      </c>
      <c r="G3306">
        <f>'6D'!$E$16</f>
        <v>0</v>
      </c>
    </row>
    <row r="3307" spans="1:7">
      <c r="A3307" t="s">
        <v>4190</v>
      </c>
      <c r="C3307" t="str">
        <f>'6D'!$X$16</f>
        <v>BN11711_AMR</v>
      </c>
      <c r="D3307" t="str">
        <f>_xlfn.CONCAT('6D'!$B$14, "-", '6D'!$B$16, "-", '6D'!$F$5)</f>
        <v>Metering activities - Explanatory variables-New selective meters installed for existing customers-AMR meter</v>
      </c>
      <c r="F3307" t="s">
        <v>17467</v>
      </c>
      <c r="G3307">
        <f>'6D'!$F$16</f>
        <v>0</v>
      </c>
    </row>
    <row r="3308" spans="1:7">
      <c r="A3308" t="s">
        <v>4190</v>
      </c>
      <c r="C3308" t="str">
        <f>'6D'!$Y$16</f>
        <v>BN11711_AMI</v>
      </c>
      <c r="D3308" t="str">
        <f>_xlfn.CONCAT('6D'!$B$14, "-", '6D'!$B$16, "-", '6D'!$G$5)</f>
        <v>Metering activities - Explanatory variables-New selective meters installed for existing customers-AMI meter</v>
      </c>
      <c r="F3308" t="s">
        <v>17467</v>
      </c>
      <c r="G3308">
        <f>'6D'!$G$16</f>
        <v>0</v>
      </c>
    </row>
    <row r="3309" spans="1:7">
      <c r="A3309" t="s">
        <v>4190</v>
      </c>
      <c r="C3309" t="str">
        <f>'6D'!$W$17</f>
        <v>BN10102_BM</v>
      </c>
      <c r="D3309" t="str">
        <f>_xlfn.CONCAT('6D'!$B$14, "-", '6D'!$B$17, "-", '6D'!$E$5)</f>
        <v>Metering activities - Explanatory variables-New business meters installed for existing customers-Basic meter</v>
      </c>
      <c r="F3309" t="s">
        <v>17467</v>
      </c>
      <c r="G3309">
        <f>'6D'!$E$17</f>
        <v>6.5000000000000002E-2</v>
      </c>
    </row>
    <row r="3310" spans="1:7">
      <c r="A3310" t="s">
        <v>4190</v>
      </c>
      <c r="C3310" t="str">
        <f>'6D'!$X$17</f>
        <v>BN10102_AMR</v>
      </c>
      <c r="D3310" t="str">
        <f>_xlfn.CONCAT('6D'!$B$14, "-", '6D'!$B$17, "-", '6D'!$F$5)</f>
        <v>Metering activities - Explanatory variables-New business meters installed for existing customers-AMR meter</v>
      </c>
      <c r="F3310" t="s">
        <v>17467</v>
      </c>
      <c r="G3310">
        <f>'6D'!$F$17</f>
        <v>2.5000000000000001E-2</v>
      </c>
    </row>
    <row r="3311" spans="1:7">
      <c r="A3311" t="s">
        <v>4190</v>
      </c>
      <c r="C3311" t="str">
        <f>'6D'!$Y$17</f>
        <v>BN10102_AMI</v>
      </c>
      <c r="D3311" t="str">
        <f>_xlfn.CONCAT('6D'!$B$14, "-", '6D'!$B$17, "-", '6D'!$G$5)</f>
        <v>Metering activities - Explanatory variables-New business meters installed for existing customers-AMI meter</v>
      </c>
      <c r="F3311" t="s">
        <v>17467</v>
      </c>
      <c r="G3311">
        <f>'6D'!$G$17</f>
        <v>0</v>
      </c>
    </row>
    <row r="3312" spans="1:7">
      <c r="A3312" t="s">
        <v>4190</v>
      </c>
      <c r="C3312" t="str">
        <f>'6D'!$W$18</f>
        <v>BN01004_BM</v>
      </c>
      <c r="D3312" t="str">
        <f>_xlfn.CONCAT('6D'!$B$14, "-", '6D'!$B$18, "-", '6D'!$E$5)</f>
        <v>Metering activities - Explanatory variables-Residential meters renewed -Basic meter</v>
      </c>
      <c r="F3312" t="s">
        <v>17467</v>
      </c>
      <c r="G3312">
        <f>'6D'!$E$18</f>
        <v>4.5919999999999996</v>
      </c>
    </row>
    <row r="3313" spans="1:7">
      <c r="A3313" t="s">
        <v>4190</v>
      </c>
      <c r="C3313" t="str">
        <f>'6D'!$X$18</f>
        <v>BN01004_AMR</v>
      </c>
      <c r="D3313" t="str">
        <f>_xlfn.CONCAT('6D'!$B$14, "-", '6D'!$B$18, "-", '6D'!$F$5)</f>
        <v>Metering activities - Explanatory variables-Residential meters renewed -AMR meter</v>
      </c>
      <c r="F3313" t="s">
        <v>17467</v>
      </c>
      <c r="G3313">
        <f>'6D'!$F$18</f>
        <v>0.36199999999999999</v>
      </c>
    </row>
    <row r="3314" spans="1:7">
      <c r="A3314" t="s">
        <v>4190</v>
      </c>
      <c r="C3314" t="str">
        <f>'6D'!$Y$18</f>
        <v>BN01004_AMI</v>
      </c>
      <c r="D3314" t="str">
        <f>_xlfn.CONCAT('6D'!$B$14, "-", '6D'!$B$18, "-", '6D'!$G$5)</f>
        <v>Metering activities - Explanatory variables-Residential meters renewed -AMI meter</v>
      </c>
      <c r="F3314" t="s">
        <v>17467</v>
      </c>
      <c r="G3314">
        <f>'6D'!$G$18</f>
        <v>9.0999999999999998E-2</v>
      </c>
    </row>
    <row r="3315" spans="1:7">
      <c r="A3315" t="s">
        <v>4190</v>
      </c>
      <c r="C3315" t="str">
        <f>'6D'!$W$19</f>
        <v>BN01005_BM</v>
      </c>
      <c r="D3315" t="str">
        <f>_xlfn.CONCAT('6D'!$B$14, "-", '6D'!$B$19, "-", '6D'!$E$5)</f>
        <v>Metering activities - Explanatory variables-Business meters renewed -Basic meter</v>
      </c>
      <c r="F3315" t="s">
        <v>17467</v>
      </c>
      <c r="G3315">
        <f>'6D'!$E$19</f>
        <v>1.2669999999999999</v>
      </c>
    </row>
    <row r="3316" spans="1:7">
      <c r="A3316" t="s">
        <v>4190</v>
      </c>
      <c r="C3316" t="str">
        <f>'6D'!$X$19</f>
        <v>BN01005_AMR</v>
      </c>
      <c r="D3316" t="str">
        <f>_xlfn.CONCAT('6D'!$B$14, "-", '6D'!$B$19, "-", '6D'!$F$5)</f>
        <v>Metering activities - Explanatory variables-Business meters renewed -AMR meter</v>
      </c>
      <c r="F3316" t="s">
        <v>17467</v>
      </c>
      <c r="G3316">
        <f>'6D'!$F$19</f>
        <v>0.12</v>
      </c>
    </row>
    <row r="3317" spans="1:7">
      <c r="A3317" t="s">
        <v>4190</v>
      </c>
      <c r="C3317" t="str">
        <f>'6D'!$Y$19</f>
        <v>BN01005_AMI</v>
      </c>
      <c r="D3317" t="str">
        <f>_xlfn.CONCAT('6D'!$B$14, "-", '6D'!$B$19, "-", '6D'!$G$5)</f>
        <v>Metering activities - Explanatory variables-Business meters renewed -AMI meter</v>
      </c>
      <c r="F3317" t="s">
        <v>17467</v>
      </c>
      <c r="G3317">
        <f>'6D'!$G$19</f>
        <v>1E-3</v>
      </c>
    </row>
    <row r="3318" spans="1:7">
      <c r="A3318" t="s">
        <v>4190</v>
      </c>
      <c r="C3318" t="str">
        <f>'6D'!$X$20</f>
        <v>BO_8328485</v>
      </c>
      <c r="D3318" t="str">
        <f>_xlfn.CONCAT('6D'!$B$14, "-", '6D'!$B$20, "-", '6D'!$F$5)</f>
        <v>Metering activities - Explanatory variables-Replacement of basic meters with smart meters for residential customers-AMR meter</v>
      </c>
      <c r="F3318" t="s">
        <v>17467</v>
      </c>
      <c r="G3318">
        <f>'6D'!$F$20</f>
        <v>0.33300000000000002</v>
      </c>
    </row>
    <row r="3319" spans="1:7">
      <c r="A3319" t="s">
        <v>4190</v>
      </c>
      <c r="C3319" t="str">
        <f>'6D'!$Y$20</f>
        <v>BO_2369032</v>
      </c>
      <c r="D3319" t="str">
        <f>_xlfn.CONCAT('6D'!$B$14, "-", '6D'!$B$20, "-", '6D'!$G$5)</f>
        <v>Metering activities - Explanatory variables-Replacement of basic meters with smart meters for residential customers-AMI meter</v>
      </c>
      <c r="F3319" t="s">
        <v>17467</v>
      </c>
      <c r="G3319">
        <f>'6D'!$G$20</f>
        <v>4.7E-2</v>
      </c>
    </row>
    <row r="3320" spans="1:7">
      <c r="A3320" t="s">
        <v>4190</v>
      </c>
      <c r="C3320" t="str">
        <f>'6D'!$Y$21</f>
        <v>BO_2740287</v>
      </c>
      <c r="D3320" t="str">
        <f>_xlfn.CONCAT('6D'!$B$14, "-", '6D'!$B$21, "-", '6D'!$G$5)</f>
        <v>Metering activities - Explanatory variables-Replacement of AMR meter with AMI meters for residential customers-AMI meter</v>
      </c>
      <c r="F3320" t="s">
        <v>17467</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17467</v>
      </c>
      <c r="G3321">
        <f>'6D'!$F$22</f>
        <v>0.109</v>
      </c>
    </row>
    <row r="3322" spans="1:7">
      <c r="A3322" t="s">
        <v>4190</v>
      </c>
      <c r="C3322" t="str">
        <f>'6D'!$Y$22</f>
        <v>BO_6841858</v>
      </c>
      <c r="D3322" t="str">
        <f>_xlfn.CONCAT('6D'!$B$14, "-", '6D'!$B$22, "-", '6D'!$G$5)</f>
        <v>Metering activities - Explanatory variables-Replacement of basic meters with smart meters for business customers-AMI meter</v>
      </c>
      <c r="F3322" t="s">
        <v>17467</v>
      </c>
      <c r="G3322">
        <f>'6D'!$G$22</f>
        <v>1E-3</v>
      </c>
    </row>
    <row r="3323" spans="1:7">
      <c r="A3323" t="s">
        <v>4190</v>
      </c>
      <c r="C3323" t="str">
        <f>'6D'!$Y$23</f>
        <v>BO_3766463</v>
      </c>
      <c r="D3323" t="str">
        <f>_xlfn.CONCAT('6D'!$B$14, "-", '6D'!$B$23, "-", '6D'!$G$5)</f>
        <v>Metering activities - Explanatory variables-Replacement of AMR meter with AMI meters for business customers-AMI meter</v>
      </c>
      <c r="F3323" t="s">
        <v>17467</v>
      </c>
      <c r="G3323">
        <f>'6D'!$G$23</f>
        <v>0</v>
      </c>
    </row>
    <row r="3324" spans="1:7">
      <c r="A3324" t="s">
        <v>4190</v>
      </c>
      <c r="C3324" s="2590" t="str">
        <f>'6D'!$W$24</f>
        <v>BN12001_BM</v>
      </c>
      <c r="D3324" t="str">
        <f>_xlfn.CONCAT('6D'!$B$14, "-", '6D'!$B$24, "-", '6D'!$E$5)</f>
        <v>Metering activities - Explanatory variables-New residential meters installed for existing customers – supply-demand balance benefit-Basic meter</v>
      </c>
      <c r="F3324" t="s">
        <v>17467</v>
      </c>
      <c r="G3324" s="2590">
        <f>'6D'!$E$24</f>
        <v>0.58215522154316324</v>
      </c>
    </row>
    <row r="3325" spans="1:7">
      <c r="A3325" t="s">
        <v>4190</v>
      </c>
      <c r="C3325" s="2590" t="str">
        <f>'6D'!$X$24</f>
        <v>BN12001_AMR</v>
      </c>
      <c r="D3325" t="str">
        <f>_xlfn.CONCAT('6D'!$B$14, "-", '6D'!$B$24, "-", '6D'!$F$5)</f>
        <v>Metering activities - Explanatory variables-New residential meters installed for existing customers – supply-demand balance benefit-AMR meter</v>
      </c>
      <c r="F3325" t="s">
        <v>17467</v>
      </c>
      <c r="G3325" s="2590">
        <f>'6D'!$F$24</f>
        <v>2.1744558711185028E-2</v>
      </c>
    </row>
    <row r="3326" spans="1:7">
      <c r="A3326" t="s">
        <v>4190</v>
      </c>
      <c r="C3326" s="2590" t="str">
        <f>'6D'!$Y$24</f>
        <v>BN12001_AMI</v>
      </c>
      <c r="D3326" t="str">
        <f>_xlfn.CONCAT('6D'!$B$14, "-", '6D'!$B$24, "-", '6D'!$G$5)</f>
        <v>Metering activities - Explanatory variables-New residential meters installed for existing customers – supply-demand balance benefit-AMI meter</v>
      </c>
      <c r="F3326" t="s">
        <v>17467</v>
      </c>
      <c r="G3326" s="2590">
        <f>'6D'!$G$24</f>
        <v>4.3402312796776506E-5</v>
      </c>
    </row>
    <row r="3327" spans="1:7">
      <c r="A3327" t="s">
        <v>4190</v>
      </c>
      <c r="C3327" s="2590" t="str">
        <f>'6D'!$W$25</f>
        <v>BN12002_BM</v>
      </c>
      <c r="D3327" t="str">
        <f>_xlfn.CONCAT('6D'!$B$14, "-", '6D'!$B$25, "-", '6D'!$E$5)</f>
        <v>Metering activities - Explanatory variables-New business meters install ed for existing customers – supply-demand balance benefit-Basic meter</v>
      </c>
      <c r="F3327" t="s">
        <v>17467</v>
      </c>
      <c r="G3327" s="2590">
        <f>'6D'!$E$25</f>
        <v>2.1477368421052617E-3</v>
      </c>
    </row>
    <row r="3328" spans="1:7">
      <c r="A3328" t="s">
        <v>4190</v>
      </c>
      <c r="C3328" s="2590" t="str">
        <f>'6D'!$X$25</f>
        <v>BN12002_AMR</v>
      </c>
      <c r="D3328" t="str">
        <f>_xlfn.CONCAT('6D'!$B$14, "-", '6D'!$B$25, "-", '6D'!$F$5)</f>
        <v>Metering activities - Explanatory variables-New business meters install ed for existing customers – supply-demand balance benefit-AMR meter</v>
      </c>
      <c r="F3328" t="s">
        <v>17467</v>
      </c>
      <c r="G3328" s="2590">
        <f>'6D'!$F$25</f>
        <v>8.2605263157894688E-4</v>
      </c>
    </row>
    <row r="3329" spans="1:7">
      <c r="A3329" t="s">
        <v>4190</v>
      </c>
      <c r="C3329" s="2590" t="str">
        <f>'6D'!$Y$25</f>
        <v>BN12002_AMI</v>
      </c>
      <c r="D3329" t="str">
        <f>_xlfn.CONCAT('6D'!$B$14, "-", '6D'!$B$25, "-", '6D'!$G$5)</f>
        <v>Metering activities - Explanatory variables-New business meters install ed for existing customers – supply-demand balance benefit-AMI meter</v>
      </c>
      <c r="F3329" t="s">
        <v>17467</v>
      </c>
      <c r="G3329" s="2590">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17467</v>
      </c>
      <c r="G3330">
        <f>'6D'!$F$26</f>
        <v>0</v>
      </c>
    </row>
    <row r="3331" spans="1:7">
      <c r="A3331" t="s">
        <v>4190</v>
      </c>
      <c r="C3331" s="2590" t="str">
        <f>'6D'!$Y$26</f>
        <v>BO_3649481</v>
      </c>
      <c r="D3331" t="str">
        <f>_xlfn.CONCAT('6D'!$B$14, "-", '6D'!$B$26, "-", '6D'!$G$5)</f>
        <v>Metering activities - Explanatory variables-Replacement of basic meter with smart meters for residential customers – supply-demand balance benefit-AMI meter</v>
      </c>
      <c r="F3331" t="s">
        <v>17467</v>
      </c>
      <c r="G3331" s="2590">
        <f>'6D'!$G$26</f>
        <v>0</v>
      </c>
    </row>
    <row r="3332" spans="1:7">
      <c r="A3332" t="s">
        <v>4190</v>
      </c>
      <c r="C3332" s="2590" t="str">
        <f>'6D'!$Y$27</f>
        <v>BO_7507358</v>
      </c>
      <c r="D3332" t="str">
        <f>_xlfn.CONCAT('6D'!$B$14, "-", '6D'!$B$27, "-", '6D'!$G$5)</f>
        <v>Metering activities - Explanatory variables-Replacement of AMR meter with AMI meter for residential customers– supply-demand balance benefit-AMI meter</v>
      </c>
      <c r="F3332" t="s">
        <v>17467</v>
      </c>
      <c r="G3332" s="2590">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17467</v>
      </c>
      <c r="G3333">
        <f>'6D'!$F$28</f>
        <v>0</v>
      </c>
    </row>
    <row r="3334" spans="1:7">
      <c r="A3334" t="s">
        <v>4190</v>
      </c>
      <c r="C3334" s="2590" t="str">
        <f>'6D'!$Y$28</f>
        <v>BO_2091351</v>
      </c>
      <c r="D3334" t="str">
        <f>_xlfn.CONCAT('6D'!$B$14, "-", '6D'!$B$28, "-", '6D'!$G$5)</f>
        <v>Metering activities - Explanatory variables-Replacement of basic meter with smart meters for business customers – supply-demand balance benefit-AMI meter</v>
      </c>
      <c r="F3334" t="s">
        <v>17467</v>
      </c>
      <c r="G3334" s="2590">
        <f>'6D'!$G$28</f>
        <v>0</v>
      </c>
    </row>
    <row r="3335" spans="1:7">
      <c r="A3335" t="s">
        <v>4190</v>
      </c>
      <c r="C3335" s="2590" t="str">
        <f>'6D'!$Y$29</f>
        <v>BO_591138</v>
      </c>
      <c r="D3335" t="str">
        <f>_xlfn.CONCAT('6D'!$B$14, "-", '6D'!$B$29, "-", '6D'!$G$5)</f>
        <v>Metering activities - Explanatory variables-Replacement of AMR meter with AMI meter for business customers– supply-demand balance benefit-AMI meter</v>
      </c>
      <c r="F3335" t="s">
        <v>17467</v>
      </c>
      <c r="G3335" s="2590">
        <f>'6D'!$G$29</f>
        <v>0</v>
      </c>
    </row>
    <row r="3336" spans="1:7">
      <c r="A3336" t="s">
        <v>4190</v>
      </c>
      <c r="C3336" t="str">
        <f>'6D'!$W$30</f>
        <v>BN00101_BM</v>
      </c>
      <c r="D3336" t="str">
        <f>_xlfn.CONCAT('6D'!$B$14, "-", '6D'!$B$30, "-", '6D'!$E$5)</f>
        <v>Metering activities - Explanatory variables-Residential properties - meter penetration-Basic meter</v>
      </c>
      <c r="F3336" t="s">
        <v>17467</v>
      </c>
      <c r="G3336">
        <f>'6D'!$E$30</f>
        <v>47.445999999999998</v>
      </c>
    </row>
    <row r="3337" spans="1:7">
      <c r="A3337" t="s">
        <v>4190</v>
      </c>
      <c r="C3337" t="str">
        <f>'6D'!$X$30</f>
        <v>BN00101_AMR</v>
      </c>
      <c r="D3337" t="str">
        <f>_xlfn.CONCAT('6D'!$B$14, "-", '6D'!$B$30, "-", '6D'!$F$5)</f>
        <v>Metering activities - Explanatory variables-Residential properties - meter penetration-AMR meter</v>
      </c>
      <c r="F3337" t="s">
        <v>17467</v>
      </c>
      <c r="G3337">
        <f>'6D'!$F$30</f>
        <v>0.187</v>
      </c>
    </row>
    <row r="3338" spans="1:7">
      <c r="A3338" t="s">
        <v>4190</v>
      </c>
      <c r="C3338" t="str">
        <f>'6D'!$Y$30</f>
        <v>BN00101_AMI</v>
      </c>
      <c r="D3338" t="str">
        <f>_xlfn.CONCAT('6D'!$B$14, "-", '6D'!$B$30, "-", '6D'!$G$5)</f>
        <v>Metering activities - Explanatory variables-Residential properties - meter penetration-AMI meter</v>
      </c>
      <c r="F3338" t="s">
        <v>17467</v>
      </c>
      <c r="G3338">
        <f>'6D'!$G$30</f>
        <v>0.81399999999999995</v>
      </c>
    </row>
    <row r="3339" spans="1:7">
      <c r="A3339" t="s">
        <v>4190</v>
      </c>
      <c r="C3339" t="str">
        <f>'6D'!$W$33</f>
        <v>BN15500_ML</v>
      </c>
      <c r="D3339" t="str">
        <f>_xlfn.CONCAT('6D'!$B$32, "-", '6D'!$B$33, "-", '6D'!$E$32)</f>
        <v>Leakage activities-Total leakage activity-Maintaining leakage</v>
      </c>
      <c r="F3339" t="s">
        <v>17467</v>
      </c>
      <c r="G3339">
        <f>'6D'!$E$33</f>
        <v>42.302</v>
      </c>
    </row>
    <row r="3340" spans="1:7">
      <c r="A3340" t="s">
        <v>4190</v>
      </c>
      <c r="C3340" t="str">
        <f>'6D'!$X$33</f>
        <v>BN15500_RL</v>
      </c>
      <c r="D3340" t="str">
        <f>_xlfn.CONCAT('6D'!$B$32, "-", '6D'!$B$33, "-", '6D'!$F$32)</f>
        <v>Leakage activities-Total leakage activity-Reducing leakage</v>
      </c>
      <c r="F3340" t="s">
        <v>17467</v>
      </c>
      <c r="G3340">
        <f>'6D'!$F$33</f>
        <v>4.7</v>
      </c>
    </row>
    <row r="3341" spans="1:7">
      <c r="A3341" t="s">
        <v>4190</v>
      </c>
      <c r="C3341" t="str">
        <f>'6D'!$Y$33</f>
        <v>BN15500_TOT</v>
      </c>
      <c r="D3341" t="str">
        <f>_xlfn.CONCAT('6D'!$B$32, "-", '6D'!$B$33, "-", '6D'!$G$32)</f>
        <v>Leakage activities-Total leakage activity-Total</v>
      </c>
      <c r="F3341" t="s">
        <v>17467</v>
      </c>
      <c r="G3341">
        <f>'6D'!$G$33</f>
        <v>47.002000000000002</v>
      </c>
    </row>
    <row r="3342" spans="1:7">
      <c r="A3342" t="s">
        <v>4190</v>
      </c>
      <c r="C3342" s="2590" t="str">
        <f>'6D'!$Y$34</f>
        <v>B0004WNPLI</v>
      </c>
      <c r="D3342" t="str">
        <f>_xlfn.CONCAT('6D'!$B$32, "-", '6D'!$B$34, "-", '6D'!$G$32)</f>
        <v>Leakage activities-Leakage improvements delivering benefits in 2020-25-Total</v>
      </c>
      <c r="F3342" t="s">
        <v>17467</v>
      </c>
      <c r="G3342" s="2590">
        <f>'6D'!$G$34</f>
        <v>2.08</v>
      </c>
    </row>
    <row r="3343" spans="1:7">
      <c r="A3343" t="s">
        <v>4190</v>
      </c>
      <c r="C3343" s="2590" t="str">
        <f>'6D'!$W$37</f>
        <v>BN2305</v>
      </c>
      <c r="D3343" t="str">
        <f>_xlfn.CONCAT('6D'!$B$36, "-", '6D'!$B$37, "-", '6D'!$E$32)</f>
        <v>Per capita consumption  (excluding supply pipe leakage)-Per capita consumption (measured)-Maintaining leakage</v>
      </c>
      <c r="F3343" t="s">
        <v>17467</v>
      </c>
      <c r="G3343" s="2590">
        <f>'6D'!$E$37</f>
        <v>117.56904167139203</v>
      </c>
    </row>
    <row r="3344" spans="1:7">
      <c r="A3344" t="s">
        <v>4190</v>
      </c>
      <c r="C3344" s="2590" t="str">
        <f>'6D'!$W$38</f>
        <v>BN2304</v>
      </c>
      <c r="D3344" t="str">
        <f>_xlfn.CONCAT('6D'!$B$36, "-", '6D'!$B$38, "-", '6D'!$E$32)</f>
        <v>Per capita consumption  (excluding supply pipe leakage)-Per capita consumption (unmeasured)-Maintaining leakage</v>
      </c>
      <c r="F3344" t="s">
        <v>17467</v>
      </c>
      <c r="G3344" s="2590">
        <f>'6D'!$E$38</f>
        <v>175.162980592671</v>
      </c>
    </row>
    <row r="3345" spans="1:7">
      <c r="A3345" t="s">
        <v>17341</v>
      </c>
      <c r="C3345" s="2602" t="str">
        <f>'7D'!$BO$10</f>
        <v>STWD001</v>
      </c>
      <c r="D3345" t="str">
        <f>_xlfn.CONCAT('7D'!$B$9, "-", '7D'!$B$10, "-", '7D'!$E$6, "-", '7D'!$E$6, "-", '7D'!$E$5)</f>
        <v>Load received at sewage treatment works-Load received by STWs in size band 1-Primary-Primary-Treatment categories</v>
      </c>
      <c r="F3345" t="s">
        <v>17467</v>
      </c>
      <c r="G3345" s="2610">
        <f>'7D'!$E$10</f>
        <v>106</v>
      </c>
    </row>
    <row r="3346" spans="1:7">
      <c r="A3346" t="s">
        <v>17341</v>
      </c>
      <c r="C3346" s="2602" t="str">
        <f>'7D'!$BP$10</f>
        <v>STWD002</v>
      </c>
      <c r="D3346" t="str">
        <f>_xlfn.CONCAT('7D'!$B$9, "-", '7D'!$B$10, "-", '7D'!$F$7, "-", '7D'!$F$6, "-", '7D'!$E$5)</f>
        <v>Load received at sewage treatment works-Load received by STWs in size band 1-Activated Sludge-Secondary-Treatment categories</v>
      </c>
      <c r="F3346" t="s">
        <v>17467</v>
      </c>
      <c r="G3346" s="2610">
        <f>'7D'!$F$10</f>
        <v>256</v>
      </c>
    </row>
    <row r="3347" spans="1:7">
      <c r="A3347" t="s">
        <v>17341</v>
      </c>
      <c r="C3347" s="2602" t="str">
        <f>'7D'!$BQ$10</f>
        <v>STWD003</v>
      </c>
      <c r="D3347" t="str">
        <f>_xlfn.CONCAT('7D'!$B$9, "-", '7D'!$B$10, "-", '7D'!$G$7, "-", '7D'!$F$6, "-", '7D'!$E$5)</f>
        <v>Load received at sewage treatment works-Load received by STWs in size band 1-Biological-Secondary-Treatment categories</v>
      </c>
      <c r="F3347" t="s">
        <v>17467</v>
      </c>
      <c r="G3347" s="2610">
        <f>'7D'!$G$10</f>
        <v>2031</v>
      </c>
    </row>
    <row r="3348" spans="1:7">
      <c r="A3348" t="s">
        <v>17341</v>
      </c>
      <c r="C3348" s="2602" t="str">
        <f>'7D'!$BR$10</f>
        <v>STWD004</v>
      </c>
      <c r="D3348" t="str">
        <f>_xlfn.CONCAT('7D'!$B$9, "-", '7D'!$B$10, "-", '7D'!$H$7, "-", '7D'!$H$6, "-", '7D'!$E$5)</f>
        <v>Load received at sewage treatment works-Load received by STWs in size band 1-A1-Tertiary-Treatment categories</v>
      </c>
      <c r="F3348" t="s">
        <v>17467</v>
      </c>
      <c r="G3348" s="2610">
        <f>'7D'!$H$10</f>
        <v>163</v>
      </c>
    </row>
    <row r="3349" spans="1:7">
      <c r="A3349" t="s">
        <v>17341</v>
      </c>
      <c r="C3349" s="2602" t="str">
        <f>'7D'!$BS$10</f>
        <v>STWD005</v>
      </c>
      <c r="D3349" t="str">
        <f>_xlfn.CONCAT('7D'!$B$9, "-", '7D'!$B$10, "-", '7D'!$I$7, "-", '7D'!$H$6, "-", '7D'!$E$5)</f>
        <v>Load received at sewage treatment works-Load received by STWs in size band 1-A2-Tertiary-Treatment categories</v>
      </c>
      <c r="F3349" t="s">
        <v>17467</v>
      </c>
      <c r="G3349" s="2610">
        <f>'7D'!$I$10</f>
        <v>33</v>
      </c>
    </row>
    <row r="3350" spans="1:7">
      <c r="A3350" t="s">
        <v>17341</v>
      </c>
      <c r="C3350" s="2602" t="str">
        <f>'7D'!$BT$10</f>
        <v>STWD006</v>
      </c>
      <c r="D3350" t="str">
        <f>_xlfn.CONCAT('7D'!$B$9, "-", '7D'!$B$10, "-", '7D'!$J$7, "-", '7D'!$H$6, "-", '7D'!$E$5)</f>
        <v>Load received at sewage treatment works-Load received by STWs in size band 1-B1-Tertiary-Treatment categories</v>
      </c>
      <c r="F3350" t="s">
        <v>17467</v>
      </c>
      <c r="G3350" s="2610">
        <f>'7D'!$J$10</f>
        <v>230</v>
      </c>
    </row>
    <row r="3351" spans="1:7">
      <c r="A3351" t="s">
        <v>17341</v>
      </c>
      <c r="C3351" s="2602" t="str">
        <f>'7D'!$BU$10</f>
        <v>STWD007</v>
      </c>
      <c r="D3351" t="str">
        <f>_xlfn.CONCAT('7D'!$B$9, "-", '7D'!$B$10, "-", '7D'!$K$7, "-", '7D'!$H$6, "-", '7D'!$E$5)</f>
        <v>Load received at sewage treatment works-Load received by STWs in size band 1-B2-Tertiary-Treatment categories</v>
      </c>
      <c r="F3351" t="s">
        <v>17467</v>
      </c>
      <c r="G3351" s="2610">
        <f>'7D'!$K$10</f>
        <v>0</v>
      </c>
    </row>
    <row r="3352" spans="1:7">
      <c r="A3352" t="s">
        <v>17341</v>
      </c>
      <c r="C3352" s="2602" t="str">
        <f>'7D'!$BV$10</f>
        <v>STWD012</v>
      </c>
      <c r="D3352" t="str">
        <f>_xlfn.CONCAT('7D'!$B$9, "-", '7D'!$B$10, "-", '7D'!$L$6, "-", '7D'!$L$6, "-", '7D'!$E$5)</f>
        <v>Load received at sewage treatment works-Load received by STWs in size band 1-Total-Total-Treatment categories</v>
      </c>
      <c r="F3352" t="s">
        <v>17467</v>
      </c>
      <c r="G3352" s="2610">
        <f>'7D'!$L$10</f>
        <v>2819</v>
      </c>
    </row>
    <row r="3353" spans="1:7">
      <c r="A3353" t="s">
        <v>17341</v>
      </c>
      <c r="C3353" s="2602" t="str">
        <f>'7D'!$BX$10</f>
        <v>STWDP001</v>
      </c>
      <c r="D3353" t="str">
        <f>_xlfn.CONCAT('7D'!$B$9, "-", '7D'!$B$10, "-", '7D'!$N$7, "-", '7D'!$N$6, "-", '7D'!$N$5)</f>
        <v>Load received at sewage treatment works-Load received by STWs in size band 1-&lt;=0.5mg/l-Phosphorus-Treatment works consents</v>
      </c>
      <c r="F3353" t="s">
        <v>17467</v>
      </c>
      <c r="G3353" s="2610">
        <f>'7D'!$N$10</f>
        <v>0</v>
      </c>
    </row>
    <row r="3354" spans="1:7">
      <c r="A3354" t="s">
        <v>17341</v>
      </c>
      <c r="C3354" s="2602" t="str">
        <f>'7D'!$BY$10</f>
        <v>STWDP002</v>
      </c>
      <c r="D3354" t="str">
        <f>_xlfn.CONCAT('7D'!$B$9, "-", '7D'!$B$10, "-", '7D'!$O$7, "-", '7D'!$N$6, "-", '7D'!$N$5)</f>
        <v>Load received at sewage treatment works-Load received by STWs in size band 1-&gt;0.5 to &lt;=1mg/l-Phosphorus-Treatment works consents</v>
      </c>
      <c r="F3354" t="s">
        <v>17467</v>
      </c>
      <c r="G3354" s="2610">
        <f>'7D'!$O$10</f>
        <v>0</v>
      </c>
    </row>
    <row r="3355" spans="1:7">
      <c r="A3355" t="s">
        <v>17341</v>
      </c>
      <c r="C3355" s="2602" t="str">
        <f>'7D'!$BZ$10</f>
        <v>STWDP003</v>
      </c>
      <c r="D3355" t="str">
        <f>_xlfn.CONCAT('7D'!$B$9, "-", '7D'!$B$10, "-", '7D'!$P$7, "-", '7D'!$N$6, "-", '7D'!$N$5)</f>
        <v>Load received at sewage treatment works-Load received by STWs in size band 1-&gt;1mg/l-Phosphorus-Treatment works consents</v>
      </c>
      <c r="F3355" t="s">
        <v>17467</v>
      </c>
      <c r="G3355" s="2610">
        <f>'7D'!$P$10</f>
        <v>0</v>
      </c>
    </row>
    <row r="3356" spans="1:7">
      <c r="A3356" t="s">
        <v>17341</v>
      </c>
      <c r="C3356" s="2602" t="str">
        <f>'7D'!$CA$10</f>
        <v>STWDP004</v>
      </c>
      <c r="D3356" t="str">
        <f>_xlfn.CONCAT('7D'!$B$9, "-", '7D'!$B$10, "-", '7D'!$Q$7, "-", '7D'!$N$6, "-", '7D'!$N$5)</f>
        <v>Load received at sewage treatment works-Load received by STWs in size band 1-No permit-Phosphorus-Treatment works consents</v>
      </c>
      <c r="F3356" t="s">
        <v>17467</v>
      </c>
      <c r="G3356" s="2610">
        <f>'7D'!$Q$10</f>
        <v>2819</v>
      </c>
    </row>
    <row r="3357" spans="1:7">
      <c r="A3357" t="s">
        <v>17341</v>
      </c>
      <c r="C3357" s="2602" t="str">
        <f>'7D'!$CB$10</f>
        <v>STWDP005</v>
      </c>
      <c r="D3357" t="str">
        <f>_xlfn.CONCAT('7D'!$B$9, "-", '7D'!$B$10, "-", '7D'!$R$7, "-", '7D'!$N$6, "-", '7D'!$N$5)</f>
        <v>Load received at sewage treatment works-Load received by STWs in size band 1-Total-Phosphorus-Treatment works consents</v>
      </c>
      <c r="F3357" t="s">
        <v>17467</v>
      </c>
      <c r="G3357" s="2610">
        <f>'7D'!$R$10</f>
        <v>2819</v>
      </c>
    </row>
    <row r="3358" spans="1:7">
      <c r="A3358" t="s">
        <v>17341</v>
      </c>
      <c r="C3358" s="2602" t="str">
        <f>'7D'!$CC$10</f>
        <v>STWDB001</v>
      </c>
      <c r="D3358" t="str">
        <f>_xlfn.CONCAT('7D'!$B$9, "-", '7D'!$B$10, "-", '7D'!$S$7, "-", '7D'!$S$6, "-", '7D'!$N$5)</f>
        <v>Load received at sewage treatment works-Load received by STWs in size band 1-&lt;=7mg/l-BOD5-Treatment works consents</v>
      </c>
      <c r="F3358" t="s">
        <v>17467</v>
      </c>
      <c r="G3358" s="2610">
        <f>'7D'!$S$10</f>
        <v>0</v>
      </c>
    </row>
    <row r="3359" spans="1:7">
      <c r="A3359" t="s">
        <v>17341</v>
      </c>
      <c r="C3359" s="2602" t="str">
        <f>'7D'!$CD$10</f>
        <v>STWDB002</v>
      </c>
      <c r="D3359" t="str">
        <f>_xlfn.CONCAT('7D'!$B$9, "-", '7D'!$B$10, "-", '7D'!$T$7, "-", '7D'!$S$6, "-", '7D'!$N$5)</f>
        <v>Load received at sewage treatment works-Load received by STWs in size band 1-&gt;7 to &lt;=10mg/l-BOD5-Treatment works consents</v>
      </c>
      <c r="F3359" t="s">
        <v>17467</v>
      </c>
      <c r="G3359" s="2610">
        <f>'7D'!$T$10</f>
        <v>3</v>
      </c>
    </row>
    <row r="3360" spans="1:7">
      <c r="A3360" t="s">
        <v>17341</v>
      </c>
      <c r="C3360" s="2602" t="str">
        <f>'7D'!$CE$10</f>
        <v>STWDB003</v>
      </c>
      <c r="D3360" t="str">
        <f>_xlfn.CONCAT('7D'!$B$9, "-", '7D'!$B$10, "-", '7D'!$U$7, "-", '7D'!$S$6, "-", '7D'!$N$5)</f>
        <v>Load received at sewage treatment works-Load received by STWs in size band 1-&gt;10 to &lt;=20mg/l-BOD5-Treatment works consents</v>
      </c>
      <c r="F3360" t="s">
        <v>17467</v>
      </c>
      <c r="G3360" s="2610">
        <f>'7D'!$U$10</f>
        <v>340</v>
      </c>
    </row>
    <row r="3361" spans="1:7">
      <c r="A3361" t="s">
        <v>17341</v>
      </c>
      <c r="C3361" s="2602" t="str">
        <f>'7D'!$CF$10</f>
        <v>STWDB004</v>
      </c>
      <c r="D3361" t="str">
        <f>_xlfn.CONCAT('7D'!$B$9, "-", '7D'!$B$10, "-", '7D'!$V$7, "-", '7D'!$S$6, "-", '7D'!$N$5)</f>
        <v>Load received at sewage treatment works-Load received by STWs in size band 1-&gt;20mg/l-BOD5-Treatment works consents</v>
      </c>
      <c r="F3361" t="s">
        <v>17467</v>
      </c>
      <c r="G3361" s="2610">
        <f>'7D'!$V$10</f>
        <v>1611</v>
      </c>
    </row>
    <row r="3362" spans="1:7">
      <c r="A3362" t="s">
        <v>17341</v>
      </c>
      <c r="C3362" s="2602" t="str">
        <f>'7D'!$CG$10</f>
        <v>STWDB005</v>
      </c>
      <c r="D3362" t="str">
        <f>_xlfn.CONCAT('7D'!$B$9, "-", '7D'!$B$10, "-", '7D'!$W$7, "-", '7D'!$S$6, "-", '7D'!$N$5)</f>
        <v>Load received at sewage treatment works-Load received by STWs in size band 1-No permit-BOD5-Treatment works consents</v>
      </c>
      <c r="F3362" t="s">
        <v>17467</v>
      </c>
      <c r="G3362" s="2610">
        <f>'7D'!$W$10</f>
        <v>865</v>
      </c>
    </row>
    <row r="3363" spans="1:7">
      <c r="A3363" t="s">
        <v>17341</v>
      </c>
      <c r="C3363" s="2602" t="str">
        <f>'7D'!$CH$10</f>
        <v>STWDB006</v>
      </c>
      <c r="D3363" t="str">
        <f>_xlfn.CONCAT('7D'!$B$9, "-", '7D'!$B$10, "-", '7D'!$X$7, "-", '7D'!$S$6, "-", '7D'!$N$5)</f>
        <v>Load received at sewage treatment works-Load received by STWs in size band 1-Total-BOD5-Treatment works consents</v>
      </c>
      <c r="F3363" t="s">
        <v>17467</v>
      </c>
      <c r="G3363" s="2610">
        <f>'7D'!$X$10</f>
        <v>2819</v>
      </c>
    </row>
    <row r="3364" spans="1:7">
      <c r="A3364" t="s">
        <v>17341</v>
      </c>
      <c r="C3364" s="2602" t="str">
        <f>'7D'!$CI$10</f>
        <v>STWDA001</v>
      </c>
      <c r="D3364" t="str">
        <f>_xlfn.CONCAT('7D'!$B$9, "-", '7D'!$B$10, "-", '7D'!$Y$7, "-", '7D'!$Y$6, "-", '7D'!$N$5)</f>
        <v>Load received at sewage treatment works-Load received by STWs in size band 1-&lt;=1mg/l-Ammonia-Treatment works consents</v>
      </c>
      <c r="F3364" t="s">
        <v>17467</v>
      </c>
      <c r="G3364" s="2610">
        <f>'7D'!$Y$10</f>
        <v>0</v>
      </c>
    </row>
    <row r="3365" spans="1:7">
      <c r="A3365" t="s">
        <v>17341</v>
      </c>
      <c r="C3365" s="2602" t="str">
        <f>'7D'!$CJ$10</f>
        <v>STWDA002</v>
      </c>
      <c r="D3365" t="str">
        <f>_xlfn.CONCAT('7D'!$B$9, "-", '7D'!$B$10, "-", '7D'!$Z$7, "-", '7D'!$Y$6, "-", '7D'!$N$5)</f>
        <v>Load received at sewage treatment works-Load received by STWs in size band 1-&gt;1 to &lt;=3mg/l-Ammonia-Treatment works consents</v>
      </c>
      <c r="F3365" t="s">
        <v>17467</v>
      </c>
      <c r="G3365" s="2610">
        <f>'7D'!$Z$10</f>
        <v>11</v>
      </c>
    </row>
    <row r="3366" spans="1:7">
      <c r="A3366" t="s">
        <v>17341</v>
      </c>
      <c r="C3366" s="2602" t="str">
        <f>'7D'!$CK$10</f>
        <v>STWDA003</v>
      </c>
      <c r="D3366" t="str">
        <f>_xlfn.CONCAT('7D'!$B$9, "-", '7D'!$B$10, "-", '7D'!$AA$7, "-", '7D'!$Y$6, "-", '7D'!$N$5)</f>
        <v>Load received at sewage treatment works-Load received by STWs in size band 1-&gt;3 to &lt;=10mg/l-Ammonia-Treatment works consents</v>
      </c>
      <c r="F3366" t="s">
        <v>17467</v>
      </c>
      <c r="G3366" s="2610">
        <f>'7D'!$AA$10</f>
        <v>277</v>
      </c>
    </row>
    <row r="3367" spans="1:7">
      <c r="A3367" t="s">
        <v>17341</v>
      </c>
      <c r="C3367" s="2602" t="str">
        <f>'7D'!$CL$10</f>
        <v>STWDA004</v>
      </c>
      <c r="D3367" t="str">
        <f>_xlfn.CONCAT('7D'!$B$9, "-", '7D'!$B$10, "-", '7D'!$AB$7, "-", '7D'!$Y$6, "-", '7D'!$N$5)</f>
        <v>Load received at sewage treatment works-Load received by STWs in size band 1-&gt;10mg/l-Ammonia-Treatment works consents</v>
      </c>
      <c r="F3367" t="s">
        <v>17467</v>
      </c>
      <c r="G3367" s="2610">
        <f>'7D'!$AB$10</f>
        <v>597</v>
      </c>
    </row>
    <row r="3368" spans="1:7">
      <c r="A3368" t="s">
        <v>17341</v>
      </c>
      <c r="C3368" s="2602" t="str">
        <f>'7D'!$CM$10</f>
        <v>STWDA005</v>
      </c>
      <c r="D3368" t="str">
        <f>_xlfn.CONCAT('7D'!$B$9, "-", '7D'!$B$10, "-", '7D'!$AC$7, "-", '7D'!$Y$6, "-", '7D'!$N$5)</f>
        <v>Load received at sewage treatment works-Load received by STWs in size band 1-No permit-Ammonia-Treatment works consents</v>
      </c>
      <c r="F3368" t="s">
        <v>17467</v>
      </c>
      <c r="G3368" s="2610">
        <f>'7D'!$AC$10</f>
        <v>1934</v>
      </c>
    </row>
    <row r="3369" spans="1:7">
      <c r="A3369" t="s">
        <v>17341</v>
      </c>
      <c r="C3369" s="2602" t="str">
        <f>'7D'!$CN$10</f>
        <v>STWDA006</v>
      </c>
      <c r="D3369" t="str">
        <f>_xlfn.CONCAT('7D'!$B$9, "-", '7D'!$B$10, "-", '7D'!$AD$7, "-", '7D'!$Y$6, "-", '7D'!$N$5)</f>
        <v>Load received at sewage treatment works-Load received by STWs in size band 1-Total-Ammonia-Treatment works consents</v>
      </c>
      <c r="F3369" t="s">
        <v>17467</v>
      </c>
      <c r="G3369" s="2610">
        <f>'7D'!$AD$10</f>
        <v>2819</v>
      </c>
    </row>
    <row r="3370" spans="1:7">
      <c r="A3370" t="s">
        <v>17341</v>
      </c>
      <c r="C3370" s="2602" t="str">
        <f>'7D'!$BO$11</f>
        <v>STWD015</v>
      </c>
      <c r="D3370" t="str">
        <f>_xlfn.CONCAT('7D'!$B$9, "-", '7D'!$B$11, "-", '7D'!$E$6, "-", '7D'!$E$6, "-", '7D'!$E$5)</f>
        <v>Load received at sewage treatment works-Load received by STWs in size band 2-Primary-Primary-Treatment categories</v>
      </c>
      <c r="F3370" t="s">
        <v>17467</v>
      </c>
      <c r="G3370" s="2610">
        <f>'7D'!$E$11</f>
        <v>24</v>
      </c>
    </row>
    <row r="3371" spans="1:7">
      <c r="A3371" t="s">
        <v>17341</v>
      </c>
      <c r="C3371" s="2602" t="str">
        <f>'7D'!$BP$11</f>
        <v>STWD016</v>
      </c>
      <c r="D3371" t="str">
        <f>_xlfn.CONCAT('7D'!$B$9, "-", '7D'!$B$11, "-", '7D'!$F$7, "-", '7D'!$F$6, "-", '7D'!$E$5)</f>
        <v>Load received at sewage treatment works-Load received by STWs in size band 2-Activated Sludge-Secondary-Treatment categories</v>
      </c>
      <c r="F3371" t="s">
        <v>17467</v>
      </c>
      <c r="G3371" s="2610">
        <f>'7D'!$F$11</f>
        <v>410</v>
      </c>
    </row>
    <row r="3372" spans="1:7">
      <c r="A3372" t="s">
        <v>17341</v>
      </c>
      <c r="C3372" s="2602" t="str">
        <f>'7D'!$BQ$11</f>
        <v>STWD017</v>
      </c>
      <c r="D3372" t="str">
        <f>_xlfn.CONCAT('7D'!$B$9, "-", '7D'!$B$11, "-", '7D'!$G$7, "-", '7D'!$F$6, "-", '7D'!$E$5)</f>
        <v>Load received at sewage treatment works-Load received by STWs in size band 2-Biological-Secondary-Treatment categories</v>
      </c>
      <c r="F3372" t="s">
        <v>17467</v>
      </c>
      <c r="G3372" s="2610">
        <f>'7D'!$G$11</f>
        <v>1880</v>
      </c>
    </row>
    <row r="3373" spans="1:7">
      <c r="A3373" t="s">
        <v>17341</v>
      </c>
      <c r="C3373" s="2602" t="str">
        <f>'7D'!$BR$11</f>
        <v>STWD018</v>
      </c>
      <c r="D3373" t="str">
        <f>_xlfn.CONCAT('7D'!$B$9, "-", '7D'!$B$11, "-", '7D'!$H$7, "-", '7D'!$H$6, "-", '7D'!$E$5)</f>
        <v>Load received at sewage treatment works-Load received by STWs in size band 2-A1-Tertiary-Treatment categories</v>
      </c>
      <c r="F3373" t="s">
        <v>17467</v>
      </c>
      <c r="G3373" s="2610">
        <f>'7D'!$H$11</f>
        <v>17</v>
      </c>
    </row>
    <row r="3374" spans="1:7">
      <c r="A3374" t="s">
        <v>17341</v>
      </c>
      <c r="C3374" s="2602" t="str">
        <f>'7D'!$BS$11</f>
        <v>STWD019</v>
      </c>
      <c r="D3374" t="str">
        <f>_xlfn.CONCAT('7D'!$B$9, "-", '7D'!$B$11, "-", '7D'!$I$7, "-", '7D'!$H$6, "-", '7D'!$E$5)</f>
        <v>Load received at sewage treatment works-Load received by STWs in size band 2-A2-Tertiary-Treatment categories</v>
      </c>
      <c r="F3374" t="s">
        <v>17467</v>
      </c>
      <c r="G3374" s="2610">
        <f>'7D'!$I$11</f>
        <v>60</v>
      </c>
    </row>
    <row r="3375" spans="1:7">
      <c r="A3375" t="s">
        <v>17341</v>
      </c>
      <c r="C3375" s="2602" t="str">
        <f>'7D'!$BT$11</f>
        <v>STWD020</v>
      </c>
      <c r="D3375" t="str">
        <f>_xlfn.CONCAT('7D'!$B$9, "-", '7D'!$B$11, "-", '7D'!$J$7, "-", '7D'!$H$6, "-", '7D'!$E$5)</f>
        <v>Load received at sewage treatment works-Load received by STWs in size band 2-B1-Tertiary-Treatment categories</v>
      </c>
      <c r="F3375" t="s">
        <v>17467</v>
      </c>
      <c r="G3375" s="2610">
        <f>'7D'!$J$11</f>
        <v>279</v>
      </c>
    </row>
    <row r="3376" spans="1:7">
      <c r="A3376" t="s">
        <v>17341</v>
      </c>
      <c r="C3376" s="2602" t="str">
        <f>'7D'!$BU$11</f>
        <v>STWD021</v>
      </c>
      <c r="D3376" t="str">
        <f>_xlfn.CONCAT('7D'!$B$9, "-", '7D'!$B$11, "-", '7D'!$K$7, "-", '7D'!$H$6, "-", '7D'!$E$5)</f>
        <v>Load received at sewage treatment works-Load received by STWs in size band 2-B2-Tertiary-Treatment categories</v>
      </c>
      <c r="F3376" t="s">
        <v>17467</v>
      </c>
      <c r="G3376" s="2610">
        <f>'7D'!$K$11</f>
        <v>0</v>
      </c>
    </row>
    <row r="3377" spans="1:7">
      <c r="A3377" t="s">
        <v>17341</v>
      </c>
      <c r="C3377" s="2602" t="str">
        <f>'7D'!$BV$11</f>
        <v>STWD026</v>
      </c>
      <c r="D3377" t="str">
        <f>_xlfn.CONCAT('7D'!$B$9, "-", '7D'!$B$11, "-", '7D'!$L$6, "-", '7D'!$L$6, "-", '7D'!$E$5)</f>
        <v>Load received at sewage treatment works-Load received by STWs in size band 2-Total-Total-Treatment categories</v>
      </c>
      <c r="F3377" t="s">
        <v>17467</v>
      </c>
      <c r="G3377" s="2610">
        <f>'7D'!$L$11</f>
        <v>2670</v>
      </c>
    </row>
    <row r="3378" spans="1:7">
      <c r="A3378" t="s">
        <v>17341</v>
      </c>
      <c r="C3378" s="2602" t="str">
        <f>'7D'!$BX$11</f>
        <v>STWDP015</v>
      </c>
      <c r="D3378" t="str">
        <f>_xlfn.CONCAT('7D'!$B$9, "-", '7D'!$B$11, "-", '7D'!$N$7, "-", '7D'!$N$6, "-", '7D'!$N$5)</f>
        <v>Load received at sewage treatment works-Load received by STWs in size band 2-&lt;=0.5mg/l-Phosphorus-Treatment works consents</v>
      </c>
      <c r="F3378" t="s">
        <v>17467</v>
      </c>
      <c r="G3378" s="2610">
        <f>'7D'!$N$11</f>
        <v>0</v>
      </c>
    </row>
    <row r="3379" spans="1:7">
      <c r="A3379" t="s">
        <v>17341</v>
      </c>
      <c r="C3379" s="2602" t="str">
        <f>'7D'!$BY$11</f>
        <v>STWDP016</v>
      </c>
      <c r="D3379" t="str">
        <f>_xlfn.CONCAT('7D'!$B$9, "-", '7D'!$B$11, "-", '7D'!$O$7, "-", '7D'!$N$6, "-", '7D'!$N$5)</f>
        <v>Load received at sewage treatment works-Load received by STWs in size band 2-&gt;0.5 to &lt;=1mg/l-Phosphorus-Treatment works consents</v>
      </c>
      <c r="F3379" t="s">
        <v>17467</v>
      </c>
      <c r="G3379" s="2610">
        <f>'7D'!$O$11</f>
        <v>0</v>
      </c>
    </row>
    <row r="3380" spans="1:7">
      <c r="A3380" t="s">
        <v>17341</v>
      </c>
      <c r="C3380" s="2602" t="str">
        <f>'7D'!$BZ$11</f>
        <v>STWDP017</v>
      </c>
      <c r="D3380" t="str">
        <f>_xlfn.CONCAT('7D'!$B$9, "-", '7D'!$B$11, "-", '7D'!$P$7, "-", '7D'!$N$6, "-", '7D'!$N$5)</f>
        <v>Load received at sewage treatment works-Load received by STWs in size band 2-&gt;1mg/l-Phosphorus-Treatment works consents</v>
      </c>
      <c r="F3380" t="s">
        <v>17467</v>
      </c>
      <c r="G3380" s="2610">
        <f>'7D'!$P$11</f>
        <v>56</v>
      </c>
    </row>
    <row r="3381" spans="1:7">
      <c r="A3381" t="s">
        <v>17341</v>
      </c>
      <c r="C3381" s="2602" t="str">
        <f>'7D'!$CA$11</f>
        <v>STWDP018</v>
      </c>
      <c r="D3381" t="str">
        <f>_xlfn.CONCAT('7D'!$B$9, "-", '7D'!$B$11, "-", '7D'!$Q$7, "-", '7D'!$N$6, "-", '7D'!$N$5)</f>
        <v>Load received at sewage treatment works-Load received by STWs in size band 2-No permit-Phosphorus-Treatment works consents</v>
      </c>
      <c r="F3381" t="s">
        <v>17467</v>
      </c>
      <c r="G3381" s="2610">
        <f>'7D'!$Q$11</f>
        <v>2615</v>
      </c>
    </row>
    <row r="3382" spans="1:7">
      <c r="A3382" t="s">
        <v>17341</v>
      </c>
      <c r="C3382" s="2602" t="str">
        <f>'7D'!$CB$11</f>
        <v>STWDP019</v>
      </c>
      <c r="D3382" t="str">
        <f>_xlfn.CONCAT('7D'!$B$9, "-", '7D'!$B$11, "-", '7D'!$R$7, "-", '7D'!$N$6, "-", '7D'!$N$5)</f>
        <v>Load received at sewage treatment works-Load received by STWs in size band 2-Total-Phosphorus-Treatment works consents</v>
      </c>
      <c r="F3382" t="s">
        <v>17467</v>
      </c>
      <c r="G3382" s="2610">
        <f>'7D'!$R$11</f>
        <v>2671</v>
      </c>
    </row>
    <row r="3383" spans="1:7">
      <c r="A3383" t="s">
        <v>17341</v>
      </c>
      <c r="C3383" s="2602" t="str">
        <f>'7D'!$CC$11</f>
        <v>STWDB015</v>
      </c>
      <c r="D3383" t="str">
        <f>_xlfn.CONCAT('7D'!$B$9, "-", '7D'!$B$11, "-", '7D'!$S$7, "-", '7D'!$S$6, "-", '7D'!$N$5)</f>
        <v>Load received at sewage treatment works-Load received by STWs in size band 2-&lt;=7mg/l-BOD5-Treatment works consents</v>
      </c>
      <c r="F3383" t="s">
        <v>17467</v>
      </c>
      <c r="G3383" s="2610">
        <f>'7D'!$S$11</f>
        <v>0</v>
      </c>
    </row>
    <row r="3384" spans="1:7">
      <c r="A3384" t="s">
        <v>17341</v>
      </c>
      <c r="C3384" s="2602" t="str">
        <f>'7D'!$CD$11</f>
        <v>STWDB016</v>
      </c>
      <c r="D3384" t="str">
        <f>_xlfn.CONCAT('7D'!$B$9, "-", '7D'!$B$11, "-", '7D'!$T$7, "-", '7D'!$S$6, "-", '7D'!$N$5)</f>
        <v>Load received at sewage treatment works-Load received by STWs in size band 2-&gt;7 to &lt;=10mg/l-BOD5-Treatment works consents</v>
      </c>
      <c r="F3384" t="s">
        <v>17467</v>
      </c>
      <c r="G3384" s="2610">
        <f>'7D'!$T$11</f>
        <v>48</v>
      </c>
    </row>
    <row r="3385" spans="1:7">
      <c r="A3385" t="s">
        <v>17341</v>
      </c>
      <c r="C3385" s="2602" t="str">
        <f>'7D'!$CE$11</f>
        <v>STWDB017</v>
      </c>
      <c r="D3385" t="str">
        <f>_xlfn.CONCAT('7D'!$B$9, "-", '7D'!$B$11, "-", '7D'!$U$7, "-", '7D'!$S$6, "-", '7D'!$N$5)</f>
        <v>Load received at sewage treatment works-Load received by STWs in size band 2-&gt;10 to &lt;=20mg/l-BOD5-Treatment works consents</v>
      </c>
      <c r="F3385" t="s">
        <v>17467</v>
      </c>
      <c r="G3385" s="2610">
        <f>'7D'!$U$11</f>
        <v>279</v>
      </c>
    </row>
    <row r="3386" spans="1:7">
      <c r="A3386" t="s">
        <v>17341</v>
      </c>
      <c r="C3386" s="2602" t="str">
        <f>'7D'!$CF$11</f>
        <v>STWDB018</v>
      </c>
      <c r="D3386" t="str">
        <f>_xlfn.CONCAT('7D'!$B$9, "-", '7D'!$B$11, "-", '7D'!$V$7, "-", '7D'!$S$6, "-", '7D'!$N$5)</f>
        <v>Load received at sewage treatment works-Load received by STWs in size band 2-&gt;20mg/l-BOD5-Treatment works consents</v>
      </c>
      <c r="F3386" t="s">
        <v>17467</v>
      </c>
      <c r="G3386" s="2610">
        <f>'7D'!$V$11</f>
        <v>2281</v>
      </c>
    </row>
    <row r="3387" spans="1:7">
      <c r="A3387" t="s">
        <v>17341</v>
      </c>
      <c r="C3387" s="2602" t="str">
        <f>'7D'!$CG$11</f>
        <v>STWDB019</v>
      </c>
      <c r="D3387" t="str">
        <f>_xlfn.CONCAT('7D'!$B$9, "-", '7D'!$B$11, "-", '7D'!$W$7, "-", '7D'!$S$6, "-", '7D'!$N$5)</f>
        <v>Load received at sewage treatment works-Load received by STWs in size band 2-No permit-BOD5-Treatment works consents</v>
      </c>
      <c r="F3387" t="s">
        <v>17467</v>
      </c>
      <c r="G3387" s="2610">
        <f>'7D'!$W$11</f>
        <v>63</v>
      </c>
    </row>
    <row r="3388" spans="1:7">
      <c r="A3388" t="s">
        <v>17341</v>
      </c>
      <c r="C3388" s="2602" t="str">
        <f>'7D'!$CH$11</f>
        <v>STWDB020</v>
      </c>
      <c r="D3388" t="str">
        <f>_xlfn.CONCAT('7D'!$B$9, "-", '7D'!$B$11, "-", '7D'!$X$7, "-", '7D'!$S$6, "-", '7D'!$N$5)</f>
        <v>Load received at sewage treatment works-Load received by STWs in size band 2-Total-BOD5-Treatment works consents</v>
      </c>
      <c r="F3388" t="s">
        <v>17467</v>
      </c>
      <c r="G3388" s="2610">
        <f>'7D'!$X$11</f>
        <v>2671</v>
      </c>
    </row>
    <row r="3389" spans="1:7">
      <c r="A3389" t="s">
        <v>17341</v>
      </c>
      <c r="C3389" s="2602" t="str">
        <f>'7D'!$CI$11</f>
        <v>STWDA015</v>
      </c>
      <c r="D3389" t="str">
        <f>_xlfn.CONCAT('7D'!$B$9, "-", '7D'!$B$11, "-", '7D'!$Y$7, "-", '7D'!$Y$6, "-", '7D'!$N$5)</f>
        <v>Load received at sewage treatment works-Load received by STWs in size band 2-&lt;=1mg/l-Ammonia-Treatment works consents</v>
      </c>
      <c r="F3389" t="s">
        <v>17467</v>
      </c>
      <c r="G3389" s="2610">
        <f>'7D'!$Y$11</f>
        <v>0</v>
      </c>
    </row>
    <row r="3390" spans="1:7">
      <c r="A3390" t="s">
        <v>17341</v>
      </c>
      <c r="C3390" s="2602" t="str">
        <f>'7D'!$CJ$11</f>
        <v>STWDA016</v>
      </c>
      <c r="D3390" t="str">
        <f>_xlfn.CONCAT('7D'!$B$9, "-", '7D'!$B$11, "-", '7D'!$Z$7, "-", '7D'!$Y$6, "-", '7D'!$N$5)</f>
        <v>Load received at sewage treatment works-Load received by STWs in size band 2-&gt;1 to &lt;=3mg/l-Ammonia-Treatment works consents</v>
      </c>
      <c r="F3390" t="s">
        <v>17467</v>
      </c>
      <c r="G3390" s="2610">
        <f>'7D'!$Z$11</f>
        <v>24</v>
      </c>
    </row>
    <row r="3391" spans="1:7">
      <c r="A3391" t="s">
        <v>17341</v>
      </c>
      <c r="C3391" s="2602" t="str">
        <f>'7D'!$CK$11</f>
        <v>STWDA017</v>
      </c>
      <c r="D3391" t="str">
        <f>_xlfn.CONCAT('7D'!$B$9, "-", '7D'!$B$11, "-", '7D'!$AA$7, "-", '7D'!$Y$6, "-", '7D'!$N$5)</f>
        <v>Load received at sewage treatment works-Load received by STWs in size band 2-&gt;3 to &lt;=10mg/l-Ammonia-Treatment works consents</v>
      </c>
      <c r="F3391" t="s">
        <v>17467</v>
      </c>
      <c r="G3391" s="2610">
        <f>'7D'!$AA$11</f>
        <v>452</v>
      </c>
    </row>
    <row r="3392" spans="1:7">
      <c r="A3392" t="s">
        <v>17341</v>
      </c>
      <c r="C3392" s="2602" t="str">
        <f>'7D'!$CL$11</f>
        <v>STWDA018</v>
      </c>
      <c r="D3392" t="str">
        <f>_xlfn.CONCAT('7D'!$B$9, "-", '7D'!$B$11, "-", '7D'!$AB$7, "-", '7D'!$Y$6, "-", '7D'!$N$5)</f>
        <v>Load received at sewage treatment works-Load received by STWs in size band 2-&gt;10mg/l-Ammonia-Treatment works consents</v>
      </c>
      <c r="F3392" t="s">
        <v>17467</v>
      </c>
      <c r="G3392" s="2610">
        <f>'7D'!$AB$11</f>
        <v>635</v>
      </c>
    </row>
    <row r="3393" spans="1:7">
      <c r="A3393" t="s">
        <v>17341</v>
      </c>
      <c r="C3393" s="2602" t="str">
        <f>'7D'!$CM$11</f>
        <v>STWDA019</v>
      </c>
      <c r="D3393" t="str">
        <f>_xlfn.CONCAT('7D'!$B$9, "-", '7D'!$B$11, "-", '7D'!$AC$7, "-", '7D'!$Y$6, "-", '7D'!$N$5)</f>
        <v>Load received at sewage treatment works-Load received by STWs in size band 2-No permit-Ammonia-Treatment works consents</v>
      </c>
      <c r="F3393" t="s">
        <v>17467</v>
      </c>
      <c r="G3393" s="2610">
        <f>'7D'!$AC$11</f>
        <v>1560</v>
      </c>
    </row>
    <row r="3394" spans="1:7">
      <c r="A3394" t="s">
        <v>17341</v>
      </c>
      <c r="C3394" s="2602" t="str">
        <f>'7D'!$CN$11</f>
        <v>STWDA020</v>
      </c>
      <c r="D3394" t="str">
        <f>_xlfn.CONCAT('7D'!$B$9, "-", '7D'!$B$11, "-", '7D'!$AD$7, "-", '7D'!$Y$6, "-", '7D'!$N$5)</f>
        <v>Load received at sewage treatment works-Load received by STWs in size band 2-Total-Ammonia-Treatment works consents</v>
      </c>
      <c r="F3394" t="s">
        <v>17467</v>
      </c>
      <c r="G3394" s="2610">
        <f>'7D'!$AD$11</f>
        <v>2671</v>
      </c>
    </row>
    <row r="3395" spans="1:7">
      <c r="A3395" t="s">
        <v>17341</v>
      </c>
      <c r="C3395" s="2602" t="str">
        <f>'7D'!$BO$12</f>
        <v>STWD029</v>
      </c>
      <c r="D3395" t="str">
        <f>_xlfn.CONCAT('7D'!$B$9, "-", '7D'!$B$12, "-", '7D'!$E$6, "-", '7D'!$E$6, "-", '7D'!$E$5)</f>
        <v>Load received at sewage treatment works-Load received by STWs in size band 3-Primary-Primary-Treatment categories</v>
      </c>
      <c r="F3395" t="s">
        <v>17467</v>
      </c>
      <c r="G3395" s="2610">
        <f>'7D'!$E$12</f>
        <v>0</v>
      </c>
    </row>
    <row r="3396" spans="1:7">
      <c r="A3396" t="s">
        <v>17341</v>
      </c>
      <c r="C3396" s="2602" t="str">
        <f>'7D'!$BP$12</f>
        <v>STWD030</v>
      </c>
      <c r="D3396" t="str">
        <f>_xlfn.CONCAT('7D'!$B$9, "-", '7D'!$B$12, "-", '7D'!$F$7, "-", '7D'!$F$6, "-", '7D'!$E$5)</f>
        <v>Load received at sewage treatment works-Load received by STWs in size band 3-Activated Sludge-Secondary-Treatment categories</v>
      </c>
      <c r="F3396" t="s">
        <v>17467</v>
      </c>
      <c r="G3396" s="2610">
        <f>'7D'!$F$12</f>
        <v>1381</v>
      </c>
    </row>
    <row r="3397" spans="1:7">
      <c r="A3397" t="s">
        <v>17341</v>
      </c>
      <c r="C3397" s="2602" t="str">
        <f>'7D'!$BQ$12</f>
        <v>STWD031</v>
      </c>
      <c r="D3397" t="str">
        <f>_xlfn.CONCAT('7D'!$B$9, "-", '7D'!$B$12, "-", '7D'!$G$7, "-", '7D'!$F$6, "-", '7D'!$E$5)</f>
        <v>Load received at sewage treatment works-Load received by STWs in size band 3-Biological-Secondary-Treatment categories</v>
      </c>
      <c r="F3397" t="s">
        <v>17467</v>
      </c>
      <c r="G3397" s="2610">
        <f>'7D'!$G$12</f>
        <v>5000</v>
      </c>
    </row>
    <row r="3398" spans="1:7">
      <c r="A3398" t="s">
        <v>17341</v>
      </c>
      <c r="C3398" s="2602" t="str">
        <f>'7D'!$BR$12</f>
        <v>STWD032</v>
      </c>
      <c r="D3398" t="str">
        <f>_xlfn.CONCAT('7D'!$B$9, "-", '7D'!$B$12, "-", '7D'!$H$7, "-", '7D'!$H$6, "-", '7D'!$E$5)</f>
        <v>Load received at sewage treatment works-Load received by STWs in size band 3-A1-Tertiary-Treatment categories</v>
      </c>
      <c r="F3398" t="s">
        <v>17467</v>
      </c>
      <c r="G3398" s="2610">
        <f>'7D'!$H$12</f>
        <v>138</v>
      </c>
    </row>
    <row r="3399" spans="1:7">
      <c r="A3399" t="s">
        <v>17341</v>
      </c>
      <c r="C3399" s="2602" t="str">
        <f>'7D'!$BS$12</f>
        <v>STWD033</v>
      </c>
      <c r="D3399" t="str">
        <f>_xlfn.CONCAT('7D'!$B$9, "-", '7D'!$B$12, "-", '7D'!$I$7, "-", '7D'!$H$6, "-", '7D'!$E$5)</f>
        <v>Load received at sewage treatment works-Load received by STWs in size band 3-A2-Tertiary-Treatment categories</v>
      </c>
      <c r="F3399" t="s">
        <v>17467</v>
      </c>
      <c r="G3399" s="2610">
        <f>'7D'!$I$12</f>
        <v>624</v>
      </c>
    </row>
    <row r="3400" spans="1:7">
      <c r="A3400" t="s">
        <v>17341</v>
      </c>
      <c r="C3400" s="2602" t="str">
        <f>'7D'!$BT$12</f>
        <v>STWD034</v>
      </c>
      <c r="D3400" t="str">
        <f>_xlfn.CONCAT('7D'!$B$9, "-", '7D'!$B$12, "-", '7D'!$J$7, "-", '7D'!$H$6, "-", '7D'!$E$5)</f>
        <v>Load received at sewage treatment works-Load received by STWs in size band 3-B1-Tertiary-Treatment categories</v>
      </c>
      <c r="F3400" t="s">
        <v>17467</v>
      </c>
      <c r="G3400" s="2610">
        <f>'7D'!$J$12</f>
        <v>967</v>
      </c>
    </row>
    <row r="3401" spans="1:7">
      <c r="A3401" t="s">
        <v>17341</v>
      </c>
      <c r="C3401" s="2602" t="str">
        <f>'7D'!$BU$12</f>
        <v>STWD035</v>
      </c>
      <c r="D3401" t="str">
        <f>_xlfn.CONCAT('7D'!$B$9, "-", '7D'!$B$12, "-", '7D'!$K$7, "-", '7D'!$H$6, "-", '7D'!$E$5)</f>
        <v>Load received at sewage treatment works-Load received by STWs in size band 3-B2-Tertiary-Treatment categories</v>
      </c>
      <c r="F3401" t="s">
        <v>17467</v>
      </c>
      <c r="G3401" s="2610">
        <f>'7D'!$K$12</f>
        <v>504</v>
      </c>
    </row>
    <row r="3402" spans="1:7">
      <c r="A3402" t="s">
        <v>17341</v>
      </c>
      <c r="C3402" s="2602" t="str">
        <f>'7D'!$BV$12</f>
        <v>STWD040</v>
      </c>
      <c r="D3402" t="str">
        <f>_xlfn.CONCAT('7D'!$B$9, "-", '7D'!$B$12, "-", '7D'!$L$6, "-", '7D'!$L$6, "-", '7D'!$E$5)</f>
        <v>Load received at sewage treatment works-Load received by STWs in size band 3-Total-Total-Treatment categories</v>
      </c>
      <c r="F3402" t="s">
        <v>17467</v>
      </c>
      <c r="G3402" s="2610">
        <f>'7D'!$L$12</f>
        <v>8614</v>
      </c>
    </row>
    <row r="3403" spans="1:7">
      <c r="A3403" t="s">
        <v>17341</v>
      </c>
      <c r="C3403" s="2602" t="str">
        <f>'7D'!$BX$12</f>
        <v>STWDP029</v>
      </c>
      <c r="D3403" t="str">
        <f>_xlfn.CONCAT('7D'!$B$9, "-", '7D'!$B$12, "-", '7D'!$N$7, "-", '7D'!$N$6, "-", '7D'!$N$5)</f>
        <v>Load received at sewage treatment works-Load received by STWs in size band 3-&lt;=0.5mg/l-Phosphorus-Treatment works consents</v>
      </c>
      <c r="F3403" t="s">
        <v>17467</v>
      </c>
      <c r="G3403" s="2610">
        <f>'7D'!$N$12</f>
        <v>140</v>
      </c>
    </row>
    <row r="3404" spans="1:7">
      <c r="A3404" t="s">
        <v>17341</v>
      </c>
      <c r="C3404" s="2602" t="str">
        <f>'7D'!$BY$12</f>
        <v>STWDP030</v>
      </c>
      <c r="D3404" t="str">
        <f>_xlfn.CONCAT('7D'!$B$9, "-", '7D'!$B$12, "-", '7D'!$O$7, "-", '7D'!$N$6, "-", '7D'!$N$5)</f>
        <v>Load received at sewage treatment works-Load received by STWs in size band 3-&gt;0.5 to &lt;=1mg/l-Phosphorus-Treatment works consents</v>
      </c>
      <c r="F3404" t="s">
        <v>17467</v>
      </c>
      <c r="G3404" s="2610">
        <f>'7D'!$O$12</f>
        <v>143</v>
      </c>
    </row>
    <row r="3405" spans="1:7">
      <c r="A3405" t="s">
        <v>17341</v>
      </c>
      <c r="C3405" s="2602" t="str">
        <f>'7D'!$BZ$12</f>
        <v>STWDP031</v>
      </c>
      <c r="D3405" t="str">
        <f>_xlfn.CONCAT('7D'!$B$9, "-", '7D'!$B$12, "-", '7D'!$P$7, "-", '7D'!$N$6, "-", '7D'!$N$5)</f>
        <v>Load received at sewage treatment works-Load received by STWs in size band 3-&gt;1mg/l-Phosphorus-Treatment works consents</v>
      </c>
      <c r="F3405" t="s">
        <v>17467</v>
      </c>
      <c r="G3405" s="2610">
        <f>'7D'!$P$12</f>
        <v>0</v>
      </c>
    </row>
    <row r="3406" spans="1:7">
      <c r="A3406" t="s">
        <v>17341</v>
      </c>
      <c r="C3406" s="2602" t="str">
        <f>'7D'!$CA$12</f>
        <v>STWDP032</v>
      </c>
      <c r="D3406" t="str">
        <f>_xlfn.CONCAT('7D'!$B$9, "-", '7D'!$B$12, "-", '7D'!$Q$7, "-", '7D'!$N$6, "-", '7D'!$N$5)</f>
        <v>Load received at sewage treatment works-Load received by STWs in size band 3-No permit-Phosphorus-Treatment works consents</v>
      </c>
      <c r="F3406" t="s">
        <v>17467</v>
      </c>
      <c r="G3406" s="2610">
        <f>'7D'!$Q$12</f>
        <v>8331</v>
      </c>
    </row>
    <row r="3407" spans="1:7">
      <c r="A3407" t="s">
        <v>17341</v>
      </c>
      <c r="C3407" s="2602" t="str">
        <f>'7D'!$CB$12</f>
        <v>STWDP033</v>
      </c>
      <c r="D3407" t="str">
        <f>_xlfn.CONCAT('7D'!$B$9, "-", '7D'!$B$12, "-", '7D'!$R$7, "-", '7D'!$N$6, "-", '7D'!$N$5)</f>
        <v>Load received at sewage treatment works-Load received by STWs in size band 3-Total-Phosphorus-Treatment works consents</v>
      </c>
      <c r="F3407" t="s">
        <v>17467</v>
      </c>
      <c r="G3407" s="2610">
        <f>'7D'!$R$12</f>
        <v>8614</v>
      </c>
    </row>
    <row r="3408" spans="1:7">
      <c r="A3408" t="s">
        <v>17341</v>
      </c>
      <c r="C3408" s="2602" t="str">
        <f>'7D'!$CC$12</f>
        <v>STWDB029</v>
      </c>
      <c r="D3408" t="str">
        <f>_xlfn.CONCAT('7D'!$B$9, "-", '7D'!$B$12, "-", '7D'!$S$7, "-", '7D'!$S$6, "-", '7D'!$N$5)</f>
        <v>Load received at sewage treatment works-Load received by STWs in size band 3-&lt;=7mg/l-BOD5-Treatment works consents</v>
      </c>
      <c r="F3408" t="s">
        <v>17467</v>
      </c>
      <c r="G3408" s="2610">
        <f>'7D'!$S$12</f>
        <v>0</v>
      </c>
    </row>
    <row r="3409" spans="1:7">
      <c r="A3409" t="s">
        <v>17341</v>
      </c>
      <c r="C3409" s="2602" t="str">
        <f>'7D'!$CD$12</f>
        <v>STWDB030</v>
      </c>
      <c r="D3409" t="str">
        <f>_xlfn.CONCAT('7D'!$B$9, "-", '7D'!$B$12, "-", '7D'!$T$7, "-", '7D'!$S$6, "-", '7D'!$N$5)</f>
        <v>Load received at sewage treatment works-Load received by STWs in size band 3-&gt;7 to &lt;=10mg/l-BOD5-Treatment works consents</v>
      </c>
      <c r="F3409" t="s">
        <v>17467</v>
      </c>
      <c r="G3409" s="2610">
        <f>'7D'!$T$12</f>
        <v>163</v>
      </c>
    </row>
    <row r="3410" spans="1:7">
      <c r="A3410" t="s">
        <v>17341</v>
      </c>
      <c r="C3410" s="2602" t="str">
        <f>'7D'!$CE$12</f>
        <v>STWDB031</v>
      </c>
      <c r="D3410" t="str">
        <f>_xlfn.CONCAT('7D'!$B$9, "-", '7D'!$B$12, "-", '7D'!$U$7, "-", '7D'!$S$6, "-", '7D'!$N$5)</f>
        <v>Load received at sewage treatment works-Load received by STWs in size band 3-&gt;10 to &lt;=20mg/l-BOD5-Treatment works consents</v>
      </c>
      <c r="F3410" t="s">
        <v>17467</v>
      </c>
      <c r="G3410" s="2610">
        <f>'7D'!$U$12</f>
        <v>1279</v>
      </c>
    </row>
    <row r="3411" spans="1:7">
      <c r="A3411" t="s">
        <v>17341</v>
      </c>
      <c r="C3411" s="2602" t="str">
        <f>'7D'!$CF$12</f>
        <v>STWDB032</v>
      </c>
      <c r="D3411" t="str">
        <f>_xlfn.CONCAT('7D'!$B$9, "-", '7D'!$B$12, "-", '7D'!$V$7, "-", '7D'!$S$6, "-", '7D'!$N$5)</f>
        <v>Load received at sewage treatment works-Load received by STWs in size band 3-&gt;20mg/l-BOD5-Treatment works consents</v>
      </c>
      <c r="F3411" t="s">
        <v>17467</v>
      </c>
      <c r="G3411" s="2610">
        <f>'7D'!$V$12</f>
        <v>7134</v>
      </c>
    </row>
    <row r="3412" spans="1:7">
      <c r="A3412" t="s">
        <v>17341</v>
      </c>
      <c r="C3412" s="2602" t="str">
        <f>'7D'!$CG$12</f>
        <v>STWDB033</v>
      </c>
      <c r="D3412" t="str">
        <f>_xlfn.CONCAT('7D'!$B$9, "-", '7D'!$B$12, "-", '7D'!$W$7, "-", '7D'!$S$6, "-", '7D'!$N$5)</f>
        <v>Load received at sewage treatment works-Load received by STWs in size band 3-No permit-BOD5-Treatment works consents</v>
      </c>
      <c r="F3412" t="s">
        <v>17467</v>
      </c>
      <c r="G3412" s="2610">
        <f>'7D'!$W$12</f>
        <v>38</v>
      </c>
    </row>
    <row r="3413" spans="1:7">
      <c r="A3413" t="s">
        <v>17341</v>
      </c>
      <c r="C3413" s="2602" t="str">
        <f>'7D'!$CH$12</f>
        <v>STWDB034</v>
      </c>
      <c r="D3413" t="str">
        <f>_xlfn.CONCAT('7D'!$B$9, "-", '7D'!$B$12, "-", '7D'!$X$7, "-", '7D'!$S$6, "-", '7D'!$N$5)</f>
        <v>Load received at sewage treatment works-Load received by STWs in size band 3-Total-BOD5-Treatment works consents</v>
      </c>
      <c r="F3413" t="s">
        <v>17467</v>
      </c>
      <c r="G3413" s="2610">
        <f>'7D'!$X$12</f>
        <v>8614</v>
      </c>
    </row>
    <row r="3414" spans="1:7">
      <c r="A3414" t="s">
        <v>17341</v>
      </c>
      <c r="C3414" s="2602" t="str">
        <f>'7D'!$CI$12</f>
        <v>STWDA029</v>
      </c>
      <c r="D3414" t="str">
        <f>_xlfn.CONCAT('7D'!$B$9, "-", '7D'!$B$12, "-", '7D'!$Y$7, "-", '7D'!$Y$6, "-", '7D'!$N$5)</f>
        <v>Load received at sewage treatment works-Load received by STWs in size band 3-&lt;=1mg/l-Ammonia-Treatment works consents</v>
      </c>
      <c r="F3414" t="s">
        <v>17467</v>
      </c>
      <c r="G3414" s="2610">
        <f>'7D'!$Y$12</f>
        <v>0</v>
      </c>
    </row>
    <row r="3415" spans="1:7">
      <c r="A3415" t="s">
        <v>17341</v>
      </c>
      <c r="C3415" s="2602" t="str">
        <f>'7D'!$CJ$12</f>
        <v>STWDA030</v>
      </c>
      <c r="D3415" t="str">
        <f>_xlfn.CONCAT('7D'!$B$9, "-", '7D'!$B$12, "-", '7D'!$Z$7, "-", '7D'!$Y$6, "-", '7D'!$N$5)</f>
        <v>Load received at sewage treatment works-Load received by STWs in size band 3-&gt;1 to &lt;=3mg/l-Ammonia-Treatment works consents</v>
      </c>
      <c r="F3415" t="s">
        <v>17467</v>
      </c>
      <c r="G3415" s="2610">
        <f>'7D'!$Z$12</f>
        <v>164</v>
      </c>
    </row>
    <row r="3416" spans="1:7">
      <c r="A3416" t="s">
        <v>17341</v>
      </c>
      <c r="C3416" s="2602" t="str">
        <f>'7D'!$CK$12</f>
        <v>STWDA031</v>
      </c>
      <c r="D3416" t="str">
        <f>_xlfn.CONCAT('7D'!$B$9, "-", '7D'!$B$12, "-", '7D'!$AA$7, "-", '7D'!$Y$6, "-", '7D'!$N$5)</f>
        <v>Load received at sewage treatment works-Load received by STWs in size band 3-&gt;3 to &lt;=10mg/l-Ammonia-Treatment works consents</v>
      </c>
      <c r="F3416" t="s">
        <v>17467</v>
      </c>
      <c r="G3416" s="2610">
        <f>'7D'!$AA$12</f>
        <v>1532</v>
      </c>
    </row>
    <row r="3417" spans="1:7">
      <c r="A3417" t="s">
        <v>17341</v>
      </c>
      <c r="C3417" s="2602" t="str">
        <f>'7D'!$CL$12</f>
        <v>STWDA032</v>
      </c>
      <c r="D3417" t="str">
        <f>_xlfn.CONCAT('7D'!$B$9, "-", '7D'!$B$12, "-", '7D'!$AB$7, "-", '7D'!$Y$6, "-", '7D'!$N$5)</f>
        <v>Load received at sewage treatment works-Load received by STWs in size band 3-&gt;10mg/l-Ammonia-Treatment works consents</v>
      </c>
      <c r="F3417" t="s">
        <v>17467</v>
      </c>
      <c r="G3417" s="2610">
        <f>'7D'!$AB$12</f>
        <v>2309</v>
      </c>
    </row>
    <row r="3418" spans="1:7">
      <c r="A3418" t="s">
        <v>17341</v>
      </c>
      <c r="C3418" s="2602" t="str">
        <f>'7D'!$CM$12</f>
        <v>STWDA033</v>
      </c>
      <c r="D3418" t="str">
        <f>_xlfn.CONCAT('7D'!$B$9, "-", '7D'!$B$12, "-", '7D'!$AC$7, "-", '7D'!$Y$6, "-", '7D'!$N$5)</f>
        <v>Load received at sewage treatment works-Load received by STWs in size band 3-No permit-Ammonia-Treatment works consents</v>
      </c>
      <c r="F3418" t="s">
        <v>17467</v>
      </c>
      <c r="G3418" s="2610">
        <f>'7D'!$AC$12</f>
        <v>4609</v>
      </c>
    </row>
    <row r="3419" spans="1:7">
      <c r="A3419" t="s">
        <v>17341</v>
      </c>
      <c r="C3419" s="2602" t="str">
        <f>'7D'!$CN$12</f>
        <v>STWDA034</v>
      </c>
      <c r="D3419" t="str">
        <f>_xlfn.CONCAT('7D'!$B$9, "-", '7D'!$B$12, "-", '7D'!$AD$7, "-", '7D'!$Y$6, "-", '7D'!$N$5)</f>
        <v>Load received at sewage treatment works-Load received by STWs in size band 3-Total-Ammonia-Treatment works consents</v>
      </c>
      <c r="F3419" t="s">
        <v>17467</v>
      </c>
      <c r="G3419" s="2610">
        <f>'7D'!$AD$12</f>
        <v>8614</v>
      </c>
    </row>
    <row r="3420" spans="1:7">
      <c r="A3420" t="s">
        <v>17341</v>
      </c>
      <c r="C3420" s="2602" t="str">
        <f>'7D'!$BO$13</f>
        <v>STWD043</v>
      </c>
      <c r="D3420" t="str">
        <f>_xlfn.CONCAT('7D'!$B$9, "-", '7D'!$B$13, "-", '7D'!$E$6, "-", '7D'!$E$6, "-", '7D'!$E$5)</f>
        <v>Load received at sewage treatment works-Load received by STWs in size band 4-Primary-Primary-Treatment categories</v>
      </c>
      <c r="F3420" t="s">
        <v>17467</v>
      </c>
      <c r="G3420" s="2610">
        <f>'7D'!$E$13</f>
        <v>0</v>
      </c>
    </row>
    <row r="3421" spans="1:7">
      <c r="A3421" t="s">
        <v>17341</v>
      </c>
      <c r="C3421" s="2602" t="str">
        <f>'7D'!$BP$13</f>
        <v>STWD044</v>
      </c>
      <c r="D3421" t="str">
        <f>_xlfn.CONCAT('7D'!$B$9, "-", '7D'!$B$13, "-", '7D'!$F$7, "-", '7D'!$F$6, "-", '7D'!$E$5)</f>
        <v>Load received at sewage treatment works-Load received by STWs in size band 4-Activated Sludge-Secondary-Treatment categories</v>
      </c>
      <c r="F3421" t="s">
        <v>17467</v>
      </c>
      <c r="G3421" s="2610">
        <f>'7D'!$F$13</f>
        <v>3514</v>
      </c>
    </row>
    <row r="3422" spans="1:7">
      <c r="A3422" t="s">
        <v>17341</v>
      </c>
      <c r="C3422" s="2602" t="str">
        <f>'7D'!$BQ$13</f>
        <v>STWD045</v>
      </c>
      <c r="D3422" t="str">
        <f>_xlfn.CONCAT('7D'!$B$9, "-", '7D'!$B$13, "-", '7D'!$G$7, "-", '7D'!$F$6, "-", '7D'!$E$5)</f>
        <v>Load received at sewage treatment works-Load received by STWs in size band 4-Biological-Secondary-Treatment categories</v>
      </c>
      <c r="F3422" t="s">
        <v>17467</v>
      </c>
      <c r="G3422" s="2610">
        <f>'7D'!$G$13</f>
        <v>7674</v>
      </c>
    </row>
    <row r="3423" spans="1:7">
      <c r="A3423" t="s">
        <v>17341</v>
      </c>
      <c r="C3423" s="2602" t="str">
        <f>'7D'!$BR$13</f>
        <v>STWD046</v>
      </c>
      <c r="D3423" t="str">
        <f>_xlfn.CONCAT('7D'!$B$9, "-", '7D'!$B$13, "-", '7D'!$H$7, "-", '7D'!$H$6, "-", '7D'!$E$5)</f>
        <v>Load received at sewage treatment works-Load received by STWs in size band 4-A1-Tertiary-Treatment categories</v>
      </c>
      <c r="F3423" t="s">
        <v>17467</v>
      </c>
      <c r="G3423" s="2610">
        <f>'7D'!$H$13</f>
        <v>1059</v>
      </c>
    </row>
    <row r="3424" spans="1:7">
      <c r="A3424" t="s">
        <v>17341</v>
      </c>
      <c r="C3424" s="2602" t="str">
        <f>'7D'!$BS$13</f>
        <v>STWD047</v>
      </c>
      <c r="D3424" t="str">
        <f>_xlfn.CONCAT('7D'!$B$9, "-", '7D'!$B$13, "-", '7D'!$I$7, "-", '7D'!$H$6, "-", '7D'!$E$5)</f>
        <v>Load received at sewage treatment works-Load received by STWs in size band 4-A2-Tertiary-Treatment categories</v>
      </c>
      <c r="F3424" t="s">
        <v>17467</v>
      </c>
      <c r="G3424" s="2610">
        <f>'7D'!$I$13</f>
        <v>2921</v>
      </c>
    </row>
    <row r="3425" spans="1:7">
      <c r="A3425" t="s">
        <v>17341</v>
      </c>
      <c r="C3425" s="2602" t="str">
        <f>'7D'!$BT$13</f>
        <v>STWD048</v>
      </c>
      <c r="D3425" t="str">
        <f>_xlfn.CONCAT('7D'!$B$9, "-", '7D'!$B$13, "-", '7D'!$J$7, "-", '7D'!$H$6, "-", '7D'!$E$5)</f>
        <v>Load received at sewage treatment works-Load received by STWs in size band 4-B1-Tertiary-Treatment categories</v>
      </c>
      <c r="F3425" t="s">
        <v>17467</v>
      </c>
      <c r="G3425" s="2610">
        <f>'7D'!$J$13</f>
        <v>1197</v>
      </c>
    </row>
    <row r="3426" spans="1:7">
      <c r="A3426" t="s">
        <v>17341</v>
      </c>
      <c r="C3426" s="2602" t="str">
        <f>'7D'!$BU$13</f>
        <v>STWD049</v>
      </c>
      <c r="D3426" t="str">
        <f>_xlfn.CONCAT('7D'!$B$9, "-", '7D'!$B$13, "-", '7D'!$K$7, "-", '7D'!$H$6, "-", '7D'!$E$5)</f>
        <v>Load received at sewage treatment works-Load received by STWs in size band 4-B2-Tertiary-Treatment categories</v>
      </c>
      <c r="F3426" t="s">
        <v>17467</v>
      </c>
      <c r="G3426" s="2610">
        <f>'7D'!$K$13</f>
        <v>3315</v>
      </c>
    </row>
    <row r="3427" spans="1:7">
      <c r="A3427" t="s">
        <v>17341</v>
      </c>
      <c r="C3427" s="2602" t="str">
        <f>'7D'!$BV$13</f>
        <v>STWD054</v>
      </c>
      <c r="D3427" t="str">
        <f>_xlfn.CONCAT('7D'!$B$9, "-", '7D'!$B$13, "-", '7D'!$L$6, "-", '7D'!$L$6, "-", '7D'!$E$5)</f>
        <v>Load received at sewage treatment works-Load received by STWs in size band 4-Total-Total-Treatment categories</v>
      </c>
      <c r="F3427" t="s">
        <v>17467</v>
      </c>
      <c r="G3427" s="2610">
        <f>'7D'!$L$13</f>
        <v>19680</v>
      </c>
    </row>
    <row r="3428" spans="1:7">
      <c r="A3428" t="s">
        <v>17341</v>
      </c>
      <c r="C3428" s="2602" t="str">
        <f>'7D'!$BX$13</f>
        <v>STWDP043</v>
      </c>
      <c r="D3428" t="str">
        <f>_xlfn.CONCAT('7D'!$B$9, "-", '7D'!$B$13, "-", '7D'!$N$7, "-", '7D'!$N$6, "-", '7D'!$N$5)</f>
        <v>Load received at sewage treatment works-Load received by STWs in size band 4-&lt;=0.5mg/l-Phosphorus-Treatment works consents</v>
      </c>
      <c r="F3428" t="s">
        <v>17467</v>
      </c>
      <c r="G3428" s="2610">
        <f>'7D'!$N$13</f>
        <v>0</v>
      </c>
    </row>
    <row r="3429" spans="1:7">
      <c r="A3429" t="s">
        <v>17341</v>
      </c>
      <c r="C3429" s="2602" t="str">
        <f>'7D'!$BY$13</f>
        <v>STWDP044</v>
      </c>
      <c r="D3429" t="str">
        <f>_xlfn.CONCAT('7D'!$B$9, "-", '7D'!$B$13, "-", '7D'!$O$7, "-", '7D'!$N$6, "-", '7D'!$N$5)</f>
        <v>Load received at sewage treatment works-Load received by STWs in size band 4-&gt;0.5 to &lt;=1mg/l-Phosphorus-Treatment works consents</v>
      </c>
      <c r="F3429" t="s">
        <v>17467</v>
      </c>
      <c r="G3429" s="2610">
        <f>'7D'!$O$13</f>
        <v>3087</v>
      </c>
    </row>
    <row r="3430" spans="1:7">
      <c r="A3430" t="s">
        <v>17341</v>
      </c>
      <c r="C3430" s="2602" t="str">
        <f>'7D'!$BZ$13</f>
        <v>STWDP045</v>
      </c>
      <c r="D3430" t="str">
        <f>_xlfn.CONCAT('7D'!$B$9, "-", '7D'!$B$13, "-", '7D'!$P$7, "-", '7D'!$N$6, "-", '7D'!$N$5)</f>
        <v>Load received at sewage treatment works-Load received by STWs in size band 4-&gt;1mg/l-Phosphorus-Treatment works consents</v>
      </c>
      <c r="F3430" t="s">
        <v>17467</v>
      </c>
      <c r="G3430" s="2610">
        <f>'7D'!$P$13</f>
        <v>1069</v>
      </c>
    </row>
    <row r="3431" spans="1:7">
      <c r="A3431" t="s">
        <v>17341</v>
      </c>
      <c r="C3431" s="2602" t="str">
        <f>'7D'!$CA$13</f>
        <v>STWDP046</v>
      </c>
      <c r="D3431" t="str">
        <f>_xlfn.CONCAT('7D'!$B$9, "-", '7D'!$B$13, "-", '7D'!$Q$7, "-", '7D'!$N$6, "-", '7D'!$N$5)</f>
        <v>Load received at sewage treatment works-Load received by STWs in size band 4-No permit-Phosphorus-Treatment works consents</v>
      </c>
      <c r="F3431" t="s">
        <v>17467</v>
      </c>
      <c r="G3431" s="2610">
        <f>'7D'!$Q$13</f>
        <v>15524</v>
      </c>
    </row>
    <row r="3432" spans="1:7">
      <c r="A3432" t="s">
        <v>17341</v>
      </c>
      <c r="C3432" s="2602" t="str">
        <f>'7D'!$CB$13</f>
        <v>STWDP047</v>
      </c>
      <c r="D3432" t="str">
        <f>_xlfn.CONCAT('7D'!$B$9, "-", '7D'!$B$13, "-", '7D'!$R$7, "-", '7D'!$N$6, "-", '7D'!$N$5)</f>
        <v>Load received at sewage treatment works-Load received by STWs in size band 4-Total-Phosphorus-Treatment works consents</v>
      </c>
      <c r="F3432" t="s">
        <v>17467</v>
      </c>
      <c r="G3432" s="2610">
        <f>'7D'!$R$13</f>
        <v>19680</v>
      </c>
    </row>
    <row r="3433" spans="1:7">
      <c r="A3433" t="s">
        <v>17341</v>
      </c>
      <c r="C3433" s="2602" t="str">
        <f>'7D'!$CC$13</f>
        <v>STWDB043</v>
      </c>
      <c r="D3433" t="str">
        <f>_xlfn.CONCAT('7D'!$B$9, "-", '7D'!$B$13, "-", '7D'!$S$7, "-", '7D'!$S$6, "-", '7D'!$N$5)</f>
        <v>Load received at sewage treatment works-Load received by STWs in size band 4-&lt;=7mg/l-BOD5-Treatment works consents</v>
      </c>
      <c r="F3433" t="s">
        <v>17467</v>
      </c>
      <c r="G3433" s="2610">
        <f>'7D'!$S$13</f>
        <v>150</v>
      </c>
    </row>
    <row r="3434" spans="1:7">
      <c r="A3434" t="s">
        <v>17341</v>
      </c>
      <c r="C3434" s="2602" t="str">
        <f>'7D'!$CD$13</f>
        <v>STWDB044</v>
      </c>
      <c r="D3434" t="str">
        <f>_xlfn.CONCAT('7D'!$B$9, "-", '7D'!$B$13, "-", '7D'!$T$7, "-", '7D'!$S$6, "-", '7D'!$N$5)</f>
        <v>Load received at sewage treatment works-Load received by STWs in size band 4-&gt;7 to &lt;=10mg/l-BOD5-Treatment works consents</v>
      </c>
      <c r="F3434" t="s">
        <v>17467</v>
      </c>
      <c r="G3434" s="2610">
        <f>'7D'!$T$13</f>
        <v>784</v>
      </c>
    </row>
    <row r="3435" spans="1:7">
      <c r="A3435" t="s">
        <v>17341</v>
      </c>
      <c r="C3435" s="2602" t="str">
        <f>'7D'!$CE$13</f>
        <v>STWDB045</v>
      </c>
      <c r="D3435" t="str">
        <f>_xlfn.CONCAT('7D'!$B$9, "-", '7D'!$B$13, "-", '7D'!$U$7, "-", '7D'!$S$6, "-", '7D'!$N$5)</f>
        <v>Load received at sewage treatment works-Load received by STWs in size band 4-&gt;10 to &lt;=20mg/l-BOD5-Treatment works consents</v>
      </c>
      <c r="F3435" t="s">
        <v>17467</v>
      </c>
      <c r="G3435" s="2610">
        <f>'7D'!$U$13</f>
        <v>3975</v>
      </c>
    </row>
    <row r="3436" spans="1:7">
      <c r="A3436" t="s">
        <v>17341</v>
      </c>
      <c r="C3436" s="2602" t="str">
        <f>'7D'!$CF$13</f>
        <v>STWDB046</v>
      </c>
      <c r="D3436" t="str">
        <f>_xlfn.CONCAT('7D'!$B$9, "-", '7D'!$B$13, "-", '7D'!$V$7, "-", '7D'!$S$6, "-", '7D'!$N$5)</f>
        <v>Load received at sewage treatment works-Load received by STWs in size band 4-&gt;20mg/l-BOD5-Treatment works consents</v>
      </c>
      <c r="F3436" t="s">
        <v>17467</v>
      </c>
      <c r="G3436" s="2610">
        <f>'7D'!$V$13</f>
        <v>14771</v>
      </c>
    </row>
    <row r="3437" spans="1:7">
      <c r="A3437" t="s">
        <v>17341</v>
      </c>
      <c r="C3437" s="2602" t="str">
        <f>'7D'!$CG$13</f>
        <v>STWDB047</v>
      </c>
      <c r="D3437" t="str">
        <f>_xlfn.CONCAT('7D'!$B$9, "-", '7D'!$B$13, "-", '7D'!$W$7, "-", '7D'!$S$6, "-", '7D'!$N$5)</f>
        <v>Load received at sewage treatment works-Load received by STWs in size band 4-No permit-BOD5-Treatment works consents</v>
      </c>
      <c r="F3437" t="s">
        <v>17467</v>
      </c>
      <c r="G3437" s="2610">
        <f>'7D'!$W$13</f>
        <v>0</v>
      </c>
    </row>
    <row r="3438" spans="1:7">
      <c r="A3438" t="s">
        <v>17341</v>
      </c>
      <c r="C3438" s="2602" t="str">
        <f>'7D'!$CH$13</f>
        <v>STWDB048</v>
      </c>
      <c r="D3438" t="str">
        <f>_xlfn.CONCAT('7D'!$B$9, "-", '7D'!$B$13, "-", '7D'!$X$7, "-", '7D'!$S$6, "-", '7D'!$N$5)</f>
        <v>Load received at sewage treatment works-Load received by STWs in size band 4-Total-BOD5-Treatment works consents</v>
      </c>
      <c r="F3438" t="s">
        <v>17467</v>
      </c>
      <c r="G3438" s="2610">
        <f>'7D'!$X$13</f>
        <v>19680</v>
      </c>
    </row>
    <row r="3439" spans="1:7">
      <c r="A3439" t="s">
        <v>17341</v>
      </c>
      <c r="C3439" s="2602" t="str">
        <f>'7D'!$CI$13</f>
        <v>STWDA043</v>
      </c>
      <c r="D3439" t="str">
        <f>_xlfn.CONCAT('7D'!$B$9, "-", '7D'!$B$13, "-", '7D'!$Y$7, "-", '7D'!$Y$6, "-", '7D'!$N$5)</f>
        <v>Load received at sewage treatment works-Load received by STWs in size band 4-&lt;=1mg/l-Ammonia-Treatment works consents</v>
      </c>
      <c r="F3439" t="s">
        <v>17467</v>
      </c>
      <c r="G3439" s="2610">
        <f>'7D'!$Y$13</f>
        <v>0</v>
      </c>
    </row>
    <row r="3440" spans="1:7">
      <c r="A3440" t="s">
        <v>17341</v>
      </c>
      <c r="C3440" s="2602" t="str">
        <f>'7D'!$CJ$13</f>
        <v>STWDA044</v>
      </c>
      <c r="D3440" t="str">
        <f>_xlfn.CONCAT('7D'!$B$9, "-", '7D'!$B$13, "-", '7D'!$Z$7, "-", '7D'!$Y$6, "-", '7D'!$N$5)</f>
        <v>Load received at sewage treatment works-Load received by STWs in size band 4-&gt;1 to &lt;=3mg/l-Ammonia-Treatment works consents</v>
      </c>
      <c r="F3440" t="s">
        <v>17467</v>
      </c>
      <c r="G3440" s="2610">
        <f>'7D'!$Z$13</f>
        <v>486</v>
      </c>
    </row>
    <row r="3441" spans="1:7">
      <c r="A3441" t="s">
        <v>17341</v>
      </c>
      <c r="C3441" s="2602" t="str">
        <f>'7D'!$CK$13</f>
        <v>STWDA045</v>
      </c>
      <c r="D3441" t="str">
        <f>_xlfn.CONCAT('7D'!$B$9, "-", '7D'!$B$13, "-", '7D'!$AA$7, "-", '7D'!$Y$6, "-", '7D'!$N$5)</f>
        <v>Load received at sewage treatment works-Load received by STWs in size band 4-&gt;3 to &lt;=10mg/l-Ammonia-Treatment works consents</v>
      </c>
      <c r="F3441" t="s">
        <v>17467</v>
      </c>
      <c r="G3441" s="2610">
        <f>'7D'!$AA$13</f>
        <v>5541</v>
      </c>
    </row>
    <row r="3442" spans="1:7">
      <c r="A3442" t="s">
        <v>17341</v>
      </c>
      <c r="C3442" s="2602" t="str">
        <f>'7D'!$CL$13</f>
        <v>STWDA046</v>
      </c>
      <c r="D3442" t="str">
        <f>_xlfn.CONCAT('7D'!$B$9, "-", '7D'!$B$13, "-", '7D'!$AB$7, "-", '7D'!$Y$6, "-", '7D'!$N$5)</f>
        <v>Load received at sewage treatment works-Load received by STWs in size band 4-&gt;10mg/l-Ammonia-Treatment works consents</v>
      </c>
      <c r="F3442" t="s">
        <v>17467</v>
      </c>
      <c r="G3442" s="2610">
        <f>'7D'!$AB$13</f>
        <v>4471</v>
      </c>
    </row>
    <row r="3443" spans="1:7">
      <c r="A3443" t="s">
        <v>17341</v>
      </c>
      <c r="C3443" s="2602" t="str">
        <f>'7D'!$CM$13</f>
        <v>STWDA047</v>
      </c>
      <c r="D3443" t="str">
        <f>_xlfn.CONCAT('7D'!$B$9, "-", '7D'!$B$13, "-", '7D'!$AC$7, "-", '7D'!$Y$6, "-", '7D'!$N$5)</f>
        <v>Load received at sewage treatment works-Load received by STWs in size band 4-No permit-Ammonia-Treatment works consents</v>
      </c>
      <c r="F3443" t="s">
        <v>17467</v>
      </c>
      <c r="G3443" s="2610">
        <f>'7D'!$AC$13</f>
        <v>9181</v>
      </c>
    </row>
    <row r="3444" spans="1:7">
      <c r="A3444" t="s">
        <v>17341</v>
      </c>
      <c r="C3444" s="2602" t="str">
        <f>'7D'!$CN$13</f>
        <v>STWDA048</v>
      </c>
      <c r="D3444" t="str">
        <f>_xlfn.CONCAT('7D'!$B$9, "-", '7D'!$B$13, "-", '7D'!$AD$7, "-", '7D'!$Y$6, "-", '7D'!$N$5)</f>
        <v>Load received at sewage treatment works-Load received by STWs in size band 4-Total-Ammonia-Treatment works consents</v>
      </c>
      <c r="F3444" t="s">
        <v>17467</v>
      </c>
      <c r="G3444" s="2610">
        <f>'7D'!$AD$13</f>
        <v>19679</v>
      </c>
    </row>
    <row r="3445" spans="1:7">
      <c r="A3445" t="s">
        <v>17341</v>
      </c>
      <c r="C3445" s="2602" t="str">
        <f>'7D'!$BO$14</f>
        <v>STWD057</v>
      </c>
      <c r="D3445" t="str">
        <f>_xlfn.CONCAT('7D'!$B$9, "-", '7D'!$B$14, "-", '7D'!$E$6, "-", '7D'!$E$6, "-", '7D'!$E$5)</f>
        <v>Load received at sewage treatment works-Load received by STWs in size band 5-Primary-Primary-Treatment categories</v>
      </c>
      <c r="F3445" t="s">
        <v>17467</v>
      </c>
      <c r="G3445" s="2610">
        <f>'7D'!$E$14</f>
        <v>0</v>
      </c>
    </row>
    <row r="3446" spans="1:7">
      <c r="A3446" t="s">
        <v>17341</v>
      </c>
      <c r="C3446" s="2602" t="str">
        <f>'7D'!$BP$14</f>
        <v>STWD058</v>
      </c>
      <c r="D3446" t="str">
        <f>_xlfn.CONCAT('7D'!$B$9, "-", '7D'!$B$14, "-", '7D'!$F$7, "-", '7D'!$F$6, "-", '7D'!$E$5)</f>
        <v>Load received at sewage treatment works-Load received by STWs in size band 5-Activated Sludge-Secondary-Treatment categories</v>
      </c>
      <c r="F3446" t="s">
        <v>17467</v>
      </c>
      <c r="G3446" s="2610">
        <f>'7D'!$F$14</f>
        <v>5810</v>
      </c>
    </row>
    <row r="3447" spans="1:7">
      <c r="A3447" t="s">
        <v>17341</v>
      </c>
      <c r="C3447" s="2602" t="str">
        <f>'7D'!$BQ$14</f>
        <v>STWD059</v>
      </c>
      <c r="D3447" t="str">
        <f>_xlfn.CONCAT('7D'!$B$9, "-", '7D'!$B$14, "-", '7D'!$G$7, "-", '7D'!$F$6, "-", '7D'!$E$5)</f>
        <v>Load received at sewage treatment works-Load received by STWs in size band 5-Biological-Secondary-Treatment categories</v>
      </c>
      <c r="F3447" t="s">
        <v>17467</v>
      </c>
      <c r="G3447" s="2610">
        <f>'7D'!$G$14</f>
        <v>4120</v>
      </c>
    </row>
    <row r="3448" spans="1:7">
      <c r="A3448" t="s">
        <v>17341</v>
      </c>
      <c r="C3448" s="2602" t="str">
        <f>'7D'!$BR$14</f>
        <v>STWD060</v>
      </c>
      <c r="D3448" t="str">
        <f>_xlfn.CONCAT('7D'!$B$9, "-", '7D'!$B$14, "-", '7D'!$H$7, "-", '7D'!$H$6, "-", '7D'!$E$5)</f>
        <v>Load received at sewage treatment works-Load received by STWs in size band 5-A1-Tertiary-Treatment categories</v>
      </c>
      <c r="F3448" t="s">
        <v>17467</v>
      </c>
      <c r="G3448" s="2610">
        <f>'7D'!$H$14</f>
        <v>4675</v>
      </c>
    </row>
    <row r="3449" spans="1:7">
      <c r="A3449" t="s">
        <v>17341</v>
      </c>
      <c r="C3449" s="2602" t="str">
        <f>'7D'!$BS$14</f>
        <v>STWD061</v>
      </c>
      <c r="D3449" t="str">
        <f>_xlfn.CONCAT('7D'!$B$9, "-", '7D'!$B$14, "-", '7D'!$I$7, "-", '7D'!$H$6, "-", '7D'!$E$5)</f>
        <v>Load received at sewage treatment works-Load received by STWs in size band 5-A2-Tertiary-Treatment categories</v>
      </c>
      <c r="F3449" t="s">
        <v>17467</v>
      </c>
      <c r="G3449" s="2610">
        <f>'7D'!$I$14</f>
        <v>4615</v>
      </c>
    </row>
    <row r="3450" spans="1:7">
      <c r="A3450" t="s">
        <v>17341</v>
      </c>
      <c r="C3450" s="2602" t="str">
        <f>'7D'!$BT$14</f>
        <v>STWD062</v>
      </c>
      <c r="D3450" t="str">
        <f>_xlfn.CONCAT('7D'!$B$9, "-", '7D'!$B$14, "-", '7D'!$J$7, "-", '7D'!$H$6, "-", '7D'!$E$5)</f>
        <v>Load received at sewage treatment works-Load received by STWs in size band 5-B1-Tertiary-Treatment categories</v>
      </c>
      <c r="F3450" t="s">
        <v>17467</v>
      </c>
      <c r="G3450" s="2610">
        <f>'7D'!$J$14</f>
        <v>5160</v>
      </c>
    </row>
    <row r="3451" spans="1:7">
      <c r="A3451" t="s">
        <v>17341</v>
      </c>
      <c r="C3451" s="2602" t="str">
        <f>'7D'!$BU$14</f>
        <v>STWD063</v>
      </c>
      <c r="D3451" t="str">
        <f>_xlfn.CONCAT('7D'!$B$9, "-", '7D'!$B$14, "-", '7D'!$K$7, "-", '7D'!$H$6, "-", '7D'!$E$5)</f>
        <v>Load received at sewage treatment works-Load received by STWs in size band 5-B2-Tertiary-Treatment categories</v>
      </c>
      <c r="F3451" t="s">
        <v>17467</v>
      </c>
      <c r="G3451" s="2610">
        <f>'7D'!$K$14</f>
        <v>4051</v>
      </c>
    </row>
    <row r="3452" spans="1:7">
      <c r="A3452" t="s">
        <v>17341</v>
      </c>
      <c r="C3452" s="2602" t="str">
        <f>'7D'!$BV$14</f>
        <v>STWD068</v>
      </c>
      <c r="D3452" t="str">
        <f>_xlfn.CONCAT('7D'!$B$9, "-", '7D'!$B$14, "-", '7D'!$L$6, "-", '7D'!$L$6, "-", '7D'!$E$5)</f>
        <v>Load received at sewage treatment works-Load received by STWs in size band 5-Total-Total-Treatment categories</v>
      </c>
      <c r="F3452" t="s">
        <v>17467</v>
      </c>
      <c r="G3452" s="2610">
        <f>'7D'!$L$14</f>
        <v>28431</v>
      </c>
    </row>
    <row r="3453" spans="1:7">
      <c r="A3453" t="s">
        <v>17341</v>
      </c>
      <c r="C3453" s="2602" t="str">
        <f>'7D'!$BX$14</f>
        <v>STWDP057</v>
      </c>
      <c r="D3453" t="str">
        <f>_xlfn.CONCAT('7D'!$B$9, "-", '7D'!$B$14, "-", '7D'!$N$7, "-", '7D'!$N$6, "-", '7D'!$N$5)</f>
        <v>Load received at sewage treatment works-Load received by STWs in size band 5-&lt;=0.5mg/l-Phosphorus-Treatment works consents</v>
      </c>
      <c r="F3453" t="s">
        <v>17467</v>
      </c>
      <c r="G3453" s="2610">
        <f>'7D'!$N$14</f>
        <v>0</v>
      </c>
    </row>
    <row r="3454" spans="1:7">
      <c r="A3454" t="s">
        <v>17341</v>
      </c>
      <c r="C3454" s="2602" t="str">
        <f>'7D'!$BY$14</f>
        <v>STWDP058</v>
      </c>
      <c r="D3454" t="str">
        <f>_xlfn.CONCAT('7D'!$B$9, "-", '7D'!$B$14, "-", '7D'!$O$7, "-", '7D'!$N$6, "-", '7D'!$N$5)</f>
        <v>Load received at sewage treatment works-Load received by STWs in size band 5-&gt;0.5 to &lt;=1mg/l-Phosphorus-Treatment works consents</v>
      </c>
      <c r="F3454" t="s">
        <v>17467</v>
      </c>
      <c r="G3454" s="2610">
        <f>'7D'!$O$14</f>
        <v>7672</v>
      </c>
    </row>
    <row r="3455" spans="1:7">
      <c r="A3455" t="s">
        <v>17341</v>
      </c>
      <c r="C3455" s="2602" t="str">
        <f>'7D'!$BZ$14</f>
        <v>STWDP059</v>
      </c>
      <c r="D3455" t="str">
        <f>_xlfn.CONCAT('7D'!$B$9, "-", '7D'!$B$14, "-", '7D'!$P$7, "-", '7D'!$N$6, "-", '7D'!$N$5)</f>
        <v>Load received at sewage treatment works-Load received by STWs in size band 5-&gt;1mg/l-Phosphorus-Treatment works consents</v>
      </c>
      <c r="F3455" t="s">
        <v>17467</v>
      </c>
      <c r="G3455" s="2610">
        <f>'7D'!$P$14</f>
        <v>7352</v>
      </c>
    </row>
    <row r="3456" spans="1:7">
      <c r="A3456" t="s">
        <v>17341</v>
      </c>
      <c r="C3456" s="2602" t="str">
        <f>'7D'!$CA$14</f>
        <v>STWDP060</v>
      </c>
      <c r="D3456" t="str">
        <f>_xlfn.CONCAT('7D'!$B$9, "-", '7D'!$B$14, "-", '7D'!$Q$7, "-", '7D'!$N$6, "-", '7D'!$N$5)</f>
        <v>Load received at sewage treatment works-Load received by STWs in size band 5-No permit-Phosphorus-Treatment works consents</v>
      </c>
      <c r="F3456" t="s">
        <v>17467</v>
      </c>
      <c r="G3456" s="2610">
        <f>'7D'!$Q$14</f>
        <v>13407</v>
      </c>
    </row>
    <row r="3457" spans="1:7">
      <c r="A3457" t="s">
        <v>17341</v>
      </c>
      <c r="C3457" s="2602" t="str">
        <f>'7D'!$CB$14</f>
        <v>STWDP061</v>
      </c>
      <c r="D3457" t="str">
        <f>_xlfn.CONCAT('7D'!$B$9, "-", '7D'!$B$14, "-", '7D'!$R$7, "-", '7D'!$N$6, "-", '7D'!$N$5)</f>
        <v>Load received at sewage treatment works-Load received by STWs in size band 5-Total-Phosphorus-Treatment works consents</v>
      </c>
      <c r="F3457" t="s">
        <v>17467</v>
      </c>
      <c r="G3457" s="2610">
        <f>'7D'!$R$14</f>
        <v>28431</v>
      </c>
    </row>
    <row r="3458" spans="1:7">
      <c r="A3458" t="s">
        <v>17341</v>
      </c>
      <c r="C3458" s="2602" t="str">
        <f>'7D'!$CC$14</f>
        <v>STWDB057</v>
      </c>
      <c r="D3458" t="str">
        <f>_xlfn.CONCAT('7D'!$B$9, "-", '7D'!$B$14, "-", '7D'!$S$7, "-", '7D'!$S$6, "-", '7D'!$N$5)</f>
        <v>Load received at sewage treatment works-Load received by STWs in size band 5-&lt;=7mg/l-BOD5-Treatment works consents</v>
      </c>
      <c r="F3458" t="s">
        <v>17467</v>
      </c>
      <c r="G3458" s="2610">
        <f>'7D'!$S$14</f>
        <v>610</v>
      </c>
    </row>
    <row r="3459" spans="1:7">
      <c r="A3459" t="s">
        <v>17341</v>
      </c>
      <c r="C3459" s="2602" t="str">
        <f>'7D'!$CD$14</f>
        <v>STWDB058</v>
      </c>
      <c r="D3459" t="str">
        <f>_xlfn.CONCAT('7D'!$B$9, "-", '7D'!$B$14, "-", '7D'!$T$7, "-", '7D'!$S$6, "-", '7D'!$N$5)</f>
        <v>Load received at sewage treatment works-Load received by STWs in size band 5-&gt;7 to &lt;=10mg/l-BOD5-Treatment works consents</v>
      </c>
      <c r="F3459" t="s">
        <v>17467</v>
      </c>
      <c r="G3459" s="2610">
        <f>'7D'!$T$14</f>
        <v>4283</v>
      </c>
    </row>
    <row r="3460" spans="1:7">
      <c r="A3460" t="s">
        <v>17341</v>
      </c>
      <c r="C3460" s="2602" t="str">
        <f>'7D'!$CE$14</f>
        <v>STWDB059</v>
      </c>
      <c r="D3460" t="str">
        <f>_xlfn.CONCAT('7D'!$B$9, "-", '7D'!$B$14, "-", '7D'!$U$7, "-", '7D'!$S$6, "-", '7D'!$N$5)</f>
        <v>Load received at sewage treatment works-Load received by STWs in size band 5-&gt;10 to &lt;=20mg/l-BOD5-Treatment works consents</v>
      </c>
      <c r="F3460" t="s">
        <v>17467</v>
      </c>
      <c r="G3460" s="2610">
        <f>'7D'!$U$14</f>
        <v>4109</v>
      </c>
    </row>
    <row r="3461" spans="1:7">
      <c r="A3461" t="s">
        <v>17341</v>
      </c>
      <c r="C3461" s="2602" t="str">
        <f>'7D'!$CF$14</f>
        <v>STWDB060</v>
      </c>
      <c r="D3461" t="str">
        <f>_xlfn.CONCAT('7D'!$B$9, "-", '7D'!$B$14, "-", '7D'!$V$7, "-", '7D'!$S$6, "-", '7D'!$N$5)</f>
        <v>Load received at sewage treatment works-Load received by STWs in size band 5-&gt;20mg/l-BOD5-Treatment works consents</v>
      </c>
      <c r="F3461" t="s">
        <v>17467</v>
      </c>
      <c r="G3461" s="2610">
        <f>'7D'!$V$14</f>
        <v>19430</v>
      </c>
    </row>
    <row r="3462" spans="1:7">
      <c r="A3462" t="s">
        <v>17341</v>
      </c>
      <c r="C3462" s="2602" t="str">
        <f>'7D'!$CG$14</f>
        <v>STWDB061</v>
      </c>
      <c r="D3462" t="str">
        <f>_xlfn.CONCAT('7D'!$B$9, "-", '7D'!$B$14, "-", '7D'!$W$7, "-", '7D'!$S$6, "-", '7D'!$N$5)</f>
        <v>Load received at sewage treatment works-Load received by STWs in size band 5-No permit-BOD5-Treatment works consents</v>
      </c>
      <c r="F3462" t="s">
        <v>17467</v>
      </c>
      <c r="G3462" s="2610">
        <f>'7D'!$W$14</f>
        <v>0</v>
      </c>
    </row>
    <row r="3463" spans="1:7">
      <c r="A3463" t="s">
        <v>17341</v>
      </c>
      <c r="C3463" s="2602" t="str">
        <f>'7D'!$CH$14</f>
        <v>STWDB062</v>
      </c>
      <c r="D3463" t="str">
        <f>_xlfn.CONCAT('7D'!$B$9, "-", '7D'!$B$14, "-", '7D'!$X$7, "-", '7D'!$S$6, "-", '7D'!$N$5)</f>
        <v>Load received at sewage treatment works-Load received by STWs in size band 5-Total-BOD5-Treatment works consents</v>
      </c>
      <c r="F3463" t="s">
        <v>17467</v>
      </c>
      <c r="G3463" s="2610">
        <f>'7D'!$X$14</f>
        <v>28432</v>
      </c>
    </row>
    <row r="3464" spans="1:7">
      <c r="A3464" t="s">
        <v>17341</v>
      </c>
      <c r="C3464" s="2602" t="str">
        <f>'7D'!$CI$14</f>
        <v>STWDA057</v>
      </c>
      <c r="D3464" t="str">
        <f>_xlfn.CONCAT('7D'!$B$9, "-", '7D'!$B$14, "-", '7D'!$Y$7, "-", '7D'!$Y$6, "-", '7D'!$N$5)</f>
        <v>Load received at sewage treatment works-Load received by STWs in size band 5-&lt;=1mg/l-Ammonia-Treatment works consents</v>
      </c>
      <c r="F3464" t="s">
        <v>17467</v>
      </c>
      <c r="G3464" s="2610">
        <f>'7D'!$Y$14</f>
        <v>0</v>
      </c>
    </row>
    <row r="3465" spans="1:7">
      <c r="A3465" t="s">
        <v>17341</v>
      </c>
      <c r="C3465" s="2602" t="str">
        <f>'7D'!$CJ$14</f>
        <v>STWDA058</v>
      </c>
      <c r="D3465" t="str">
        <f>_xlfn.CONCAT('7D'!$B$9, "-", '7D'!$B$14, "-", '7D'!$Z$7, "-", '7D'!$Y$6, "-", '7D'!$N$5)</f>
        <v>Load received at sewage treatment works-Load received by STWs in size band 5-&gt;1 to &lt;=3mg/l-Ammonia-Treatment works consents</v>
      </c>
      <c r="F3465" t="s">
        <v>17467</v>
      </c>
      <c r="G3465" s="2610">
        <f>'7D'!$Z$14</f>
        <v>4893</v>
      </c>
    </row>
    <row r="3466" spans="1:7">
      <c r="A3466" t="s">
        <v>17341</v>
      </c>
      <c r="C3466" s="2602" t="str">
        <f>'7D'!$CK$14</f>
        <v>STWDA059</v>
      </c>
      <c r="D3466" t="str">
        <f>_xlfn.CONCAT('7D'!$B$9, "-", '7D'!$B$14, "-", '7D'!$AA$7, "-", '7D'!$Y$6, "-", '7D'!$N$5)</f>
        <v>Load received at sewage treatment works-Load received by STWs in size band 5-&gt;3 to &lt;=10mg/l-Ammonia-Treatment works consents</v>
      </c>
      <c r="F3466" t="s">
        <v>17467</v>
      </c>
      <c r="G3466" s="2610">
        <f>'7D'!$AA$14</f>
        <v>6691</v>
      </c>
    </row>
    <row r="3467" spans="1:7">
      <c r="A3467" t="s">
        <v>17341</v>
      </c>
      <c r="C3467" s="2602" t="str">
        <f>'7D'!$CL$14</f>
        <v>STWDA060</v>
      </c>
      <c r="D3467" t="str">
        <f>_xlfn.CONCAT('7D'!$B$9, "-", '7D'!$B$14, "-", '7D'!$AB$7, "-", '7D'!$Y$6, "-", '7D'!$N$5)</f>
        <v>Load received at sewage treatment works-Load received by STWs in size band 5-&gt;10mg/l-Ammonia-Treatment works consents</v>
      </c>
      <c r="F3467" t="s">
        <v>17467</v>
      </c>
      <c r="G3467" s="2610">
        <f>'7D'!$AB$14</f>
        <v>6134</v>
      </c>
    </row>
    <row r="3468" spans="1:7">
      <c r="A3468" t="s">
        <v>17341</v>
      </c>
      <c r="C3468" s="2602" t="str">
        <f>'7D'!$CM$14</f>
        <v>STWDA061</v>
      </c>
      <c r="D3468" t="str">
        <f>_xlfn.CONCAT('7D'!$B$9, "-", '7D'!$B$14, "-", '7D'!$AC$7, "-", '7D'!$Y$6, "-", '7D'!$N$5)</f>
        <v>Load received at sewage treatment works-Load received by STWs in size band 5-No permit-Ammonia-Treatment works consents</v>
      </c>
      <c r="F3468" t="s">
        <v>17467</v>
      </c>
      <c r="G3468" s="2610">
        <f>'7D'!$AC$14</f>
        <v>10715</v>
      </c>
    </row>
    <row r="3469" spans="1:7">
      <c r="A3469" t="s">
        <v>17341</v>
      </c>
      <c r="C3469" s="2602" t="str">
        <f>'7D'!$CN$14</f>
        <v>STWDA062</v>
      </c>
      <c r="D3469" t="str">
        <f>_xlfn.CONCAT('7D'!$B$9, "-", '7D'!$B$14, "-", '7D'!$AD$7, "-", '7D'!$Y$6, "-", '7D'!$N$5)</f>
        <v>Load received at sewage treatment works-Load received by STWs in size band 5-Total-Ammonia-Treatment works consents</v>
      </c>
      <c r="F3469" t="s">
        <v>17467</v>
      </c>
      <c r="G3469" s="2610">
        <f>'7D'!$AD$14</f>
        <v>28433</v>
      </c>
    </row>
    <row r="3470" spans="1:7">
      <c r="A3470" t="s">
        <v>17341</v>
      </c>
      <c r="C3470" s="2602" t="str">
        <f>'7D'!$BO$15</f>
        <v>STWD101</v>
      </c>
      <c r="D3470" t="str">
        <f>_xlfn.CONCAT('7D'!$B$9, "-", '7D'!$B$15, "-", '7D'!$E$6, "-", '7D'!$E$6, "-", '7D'!$E$5)</f>
        <v>Load received at sewage treatment works-Load received by STWs above size band 5-Primary-Primary-Treatment categories</v>
      </c>
      <c r="F3470" t="s">
        <v>17467</v>
      </c>
      <c r="G3470" s="2610">
        <f>'7D'!$E$15</f>
        <v>0</v>
      </c>
    </row>
    <row r="3471" spans="1:7">
      <c r="A3471" t="s">
        <v>17341</v>
      </c>
      <c r="C3471" s="2602" t="str">
        <f>'7D'!$BP$15</f>
        <v>STWD102</v>
      </c>
      <c r="D3471" t="str">
        <f>_xlfn.CONCAT('7D'!$B$9, "-", '7D'!$B$15, "-", '7D'!$F$7, "-", '7D'!$F$6, "-", '7D'!$E$5)</f>
        <v>Load received at sewage treatment works-Load received by STWs above size band 5-Activated Sludge-Secondary-Treatment categories</v>
      </c>
      <c r="F3471" t="s">
        <v>17467</v>
      </c>
      <c r="G3471" s="2610">
        <f>'7D'!$F$15</f>
        <v>119868</v>
      </c>
    </row>
    <row r="3472" spans="1:7">
      <c r="A3472" t="s">
        <v>17341</v>
      </c>
      <c r="C3472" s="2602" t="str">
        <f>'7D'!$BQ$15</f>
        <v>STWD103</v>
      </c>
      <c r="D3472" t="str">
        <f>_xlfn.CONCAT('7D'!$B$9, "-", '7D'!$B$15, "-", '7D'!$G$7, "-", '7D'!$F$6, "-", '7D'!$E$5)</f>
        <v>Load received at sewage treatment works-Load received by STWs above size band 5-Biological-Secondary-Treatment categories</v>
      </c>
      <c r="F3472" t="s">
        <v>17467</v>
      </c>
      <c r="G3472" s="2610">
        <f>'7D'!$G$15</f>
        <v>4288</v>
      </c>
    </row>
    <row r="3473" spans="1:7">
      <c r="A3473" t="s">
        <v>17341</v>
      </c>
      <c r="C3473" s="2602" t="str">
        <f>'7D'!$BR$15</f>
        <v>STWD104</v>
      </c>
      <c r="D3473" t="str">
        <f>_xlfn.CONCAT('7D'!$B$9, "-", '7D'!$B$15, "-", '7D'!$H$7, "-", '7D'!$H$6, "-", '7D'!$E$5)</f>
        <v>Load received at sewage treatment works-Load received by STWs above size band 5-A1-Tertiary-Treatment categories</v>
      </c>
      <c r="F3473" t="s">
        <v>17467</v>
      </c>
      <c r="G3473" s="2610">
        <f>'7D'!$H$15</f>
        <v>0</v>
      </c>
    </row>
    <row r="3474" spans="1:7">
      <c r="A3474" t="s">
        <v>17341</v>
      </c>
      <c r="C3474" s="2602" t="str">
        <f>'7D'!$BS$15</f>
        <v>STWD105</v>
      </c>
      <c r="D3474" t="str">
        <f>_xlfn.CONCAT('7D'!$B$9, "-", '7D'!$B$15, "-", '7D'!$I$7, "-", '7D'!$H$6, "-", '7D'!$E$5)</f>
        <v>Load received at sewage treatment works-Load received by STWs above size band 5-A2-Tertiary-Treatment categories</v>
      </c>
      <c r="F3474" t="s">
        <v>17467</v>
      </c>
      <c r="G3474" s="2610">
        <f>'7D'!$I$15</f>
        <v>47330</v>
      </c>
    </row>
    <row r="3475" spans="1:7">
      <c r="A3475" t="s">
        <v>17341</v>
      </c>
      <c r="C3475" s="2602" t="str">
        <f>'7D'!$BT$15</f>
        <v>STWD106</v>
      </c>
      <c r="D3475" t="str">
        <f>_xlfn.CONCAT('7D'!$B$9, "-", '7D'!$B$15, "-", '7D'!$J$7, "-", '7D'!$H$6, "-", '7D'!$E$5)</f>
        <v>Load received at sewage treatment works-Load received by STWs above size band 5-B1-Tertiary-Treatment categories</v>
      </c>
      <c r="F3475" t="s">
        <v>17467</v>
      </c>
      <c r="G3475" s="2610">
        <f>'7D'!$J$15</f>
        <v>0</v>
      </c>
    </row>
    <row r="3476" spans="1:7">
      <c r="A3476" t="s">
        <v>17341</v>
      </c>
      <c r="C3476" s="2602" t="str">
        <f>'7D'!$BU$15</f>
        <v>STWD107</v>
      </c>
      <c r="D3476" t="str">
        <f>_xlfn.CONCAT('7D'!$B$9, "-", '7D'!$B$15, "-", '7D'!$K$7, "-", '7D'!$H$6, "-", '7D'!$E$5)</f>
        <v>Load received at sewage treatment works-Load received by STWs above size band 5-B2-Tertiary-Treatment categories</v>
      </c>
      <c r="F3476" t="s">
        <v>17467</v>
      </c>
      <c r="G3476" s="2610">
        <f>'7D'!$K$15</f>
        <v>9767</v>
      </c>
    </row>
    <row r="3477" spans="1:7">
      <c r="A3477" t="s">
        <v>17341</v>
      </c>
      <c r="C3477" s="2602" t="str">
        <f>'7D'!$BV$15</f>
        <v>STWD108</v>
      </c>
      <c r="D3477" t="str">
        <f>_xlfn.CONCAT('7D'!$B$9, "-", '7D'!$B$15, "-", '7D'!$L$6, "-", '7D'!$L$6, "-", '7D'!$E$5)</f>
        <v>Load received at sewage treatment works-Load received by STWs above size band 5-Total-Total-Treatment categories</v>
      </c>
      <c r="F3477" t="s">
        <v>17467</v>
      </c>
      <c r="G3477" s="2610">
        <f>'7D'!$L$15</f>
        <v>181253</v>
      </c>
    </row>
    <row r="3478" spans="1:7">
      <c r="A3478" t="s">
        <v>17341</v>
      </c>
      <c r="C3478" s="2602" t="str">
        <f>'7D'!$BX$15</f>
        <v>STWDP101</v>
      </c>
      <c r="D3478" t="str">
        <f>_xlfn.CONCAT('7D'!$B$9, "-", '7D'!$B$15, "-", '7D'!$N$7, "-", '7D'!$N$6, "-", '7D'!$N$5)</f>
        <v>Load received at sewage treatment works-Load received by STWs above size band 5-&lt;=0.5mg/l-Phosphorus-Treatment works consents</v>
      </c>
      <c r="F3478" t="s">
        <v>17467</v>
      </c>
      <c r="G3478" s="2610">
        <f>'7D'!$N$15</f>
        <v>0</v>
      </c>
    </row>
    <row r="3479" spans="1:7">
      <c r="A3479" t="s">
        <v>17341</v>
      </c>
      <c r="C3479" s="2602" t="str">
        <f>'7D'!$BY$15</f>
        <v>STWDP102</v>
      </c>
      <c r="D3479" t="str">
        <f>_xlfn.CONCAT('7D'!$B$9, "-", '7D'!$B$15, "-", '7D'!$O$7, "-", '7D'!$N$6, "-", '7D'!$N$5)</f>
        <v>Load received at sewage treatment works-Load received by STWs above size band 5-&gt;0.5 to &lt;=1mg/l-Phosphorus-Treatment works consents</v>
      </c>
      <c r="F3479" t="s">
        <v>17467</v>
      </c>
      <c r="G3479" s="2610">
        <f>'7D'!$O$15</f>
        <v>20845</v>
      </c>
    </row>
    <row r="3480" spans="1:7">
      <c r="A3480" t="s">
        <v>17341</v>
      </c>
      <c r="C3480" s="2602" t="str">
        <f>'7D'!$BZ$15</f>
        <v>STWDP103</v>
      </c>
      <c r="D3480" t="str">
        <f>_xlfn.CONCAT('7D'!$B$9, "-", '7D'!$B$15, "-", '7D'!$P$7, "-", '7D'!$N$6, "-", '7D'!$N$5)</f>
        <v>Load received at sewage treatment works-Load received by STWs above size band 5-&gt;1mg/l-Phosphorus-Treatment works consents</v>
      </c>
      <c r="F3480" t="s">
        <v>17467</v>
      </c>
      <c r="G3480" s="2610">
        <f>'7D'!$P$15</f>
        <v>13257</v>
      </c>
    </row>
    <row r="3481" spans="1:7">
      <c r="A3481" t="s">
        <v>17341</v>
      </c>
      <c r="C3481" s="2602" t="str">
        <f>'7D'!$CA$15</f>
        <v>STWDP104</v>
      </c>
      <c r="D3481" t="str">
        <f>_xlfn.CONCAT('7D'!$B$9, "-", '7D'!$B$15, "-", '7D'!$Q$7, "-", '7D'!$N$6, "-", '7D'!$N$5)</f>
        <v>Load received at sewage treatment works-Load received by STWs above size band 5-No permit-Phosphorus-Treatment works consents</v>
      </c>
      <c r="F3481" t="s">
        <v>17467</v>
      </c>
      <c r="G3481" s="2610">
        <f>'7D'!$Q$15</f>
        <v>147152</v>
      </c>
    </row>
    <row r="3482" spans="1:7">
      <c r="A3482" t="s">
        <v>17341</v>
      </c>
      <c r="C3482" s="2602" t="str">
        <f>'7D'!$CB$15</f>
        <v>STWDP105</v>
      </c>
      <c r="D3482" t="str">
        <f>_xlfn.CONCAT('7D'!$B$9, "-", '7D'!$B$15, "-", '7D'!$R$7, "-", '7D'!$N$6, "-", '7D'!$N$5)</f>
        <v>Load received at sewage treatment works-Load received by STWs above size band 5-Total-Phosphorus-Treatment works consents</v>
      </c>
      <c r="F3482" t="s">
        <v>17467</v>
      </c>
      <c r="G3482" s="2610">
        <f>'7D'!$R$15</f>
        <v>181254</v>
      </c>
    </row>
    <row r="3483" spans="1:7">
      <c r="A3483" t="s">
        <v>17341</v>
      </c>
      <c r="C3483" s="2602" t="str">
        <f>'7D'!$CC$15</f>
        <v>STWDB101</v>
      </c>
      <c r="D3483" t="str">
        <f>_xlfn.CONCAT('7D'!$B$9, "-", '7D'!$B$15, "-", '7D'!$S$7, "-", '7D'!$S$6, "-", '7D'!$N$5)</f>
        <v>Load received at sewage treatment works-Load received by STWs above size band 5-&lt;=7mg/l-BOD5-Treatment works consents</v>
      </c>
      <c r="F3483" t="s">
        <v>17467</v>
      </c>
      <c r="G3483" s="2610">
        <f>'7D'!$S$15</f>
        <v>0</v>
      </c>
    </row>
    <row r="3484" spans="1:7">
      <c r="A3484" t="s">
        <v>17341</v>
      </c>
      <c r="C3484" s="2602" t="str">
        <f>'7D'!$CD$15</f>
        <v>STWDB102</v>
      </c>
      <c r="D3484" t="str">
        <f>_xlfn.CONCAT('7D'!$B$9, "-", '7D'!$B$15, "-", '7D'!$T$7, "-", '7D'!$S$6, "-", '7D'!$N$5)</f>
        <v>Load received at sewage treatment works-Load received by STWs above size band 5-&gt;7 to &lt;=10mg/l-BOD5-Treatment works consents</v>
      </c>
      <c r="F3484" t="s">
        <v>17467</v>
      </c>
      <c r="G3484" s="2610">
        <f>'7D'!$T$15</f>
        <v>0</v>
      </c>
    </row>
    <row r="3485" spans="1:7">
      <c r="A3485" t="s">
        <v>17341</v>
      </c>
      <c r="C3485" s="2602" t="str">
        <f>'7D'!$CE$15</f>
        <v>STWDB103</v>
      </c>
      <c r="D3485" t="str">
        <f>_xlfn.CONCAT('7D'!$B$9, "-", '7D'!$B$15, "-", '7D'!$U$7, "-", '7D'!$S$6, "-", '7D'!$N$5)</f>
        <v>Load received at sewage treatment works-Load received by STWs above size band 5-&gt;10 to &lt;=20mg/l-BOD5-Treatment works consents</v>
      </c>
      <c r="F3485" t="s">
        <v>17467</v>
      </c>
      <c r="G3485" s="2610">
        <f>'7D'!$U$15</f>
        <v>27363</v>
      </c>
    </row>
    <row r="3486" spans="1:7">
      <c r="A3486" t="s">
        <v>17341</v>
      </c>
      <c r="C3486" s="2602" t="str">
        <f>'7D'!$CF$15</f>
        <v>STWDB104</v>
      </c>
      <c r="D3486" t="str">
        <f>_xlfn.CONCAT('7D'!$B$9, "-", '7D'!$B$15, "-", '7D'!$V$7, "-", '7D'!$S$6, "-", '7D'!$N$5)</f>
        <v>Load received at sewage treatment works-Load received by STWs above size band 5-&gt;20mg/l-BOD5-Treatment works consents</v>
      </c>
      <c r="F3486" t="s">
        <v>17467</v>
      </c>
      <c r="G3486" s="2610">
        <f>'7D'!$V$15</f>
        <v>153890</v>
      </c>
    </row>
    <row r="3487" spans="1:7">
      <c r="A3487" t="s">
        <v>17341</v>
      </c>
      <c r="C3487" s="2602" t="str">
        <f>'7D'!$CG$15</f>
        <v>STWDB105</v>
      </c>
      <c r="D3487" t="str">
        <f>_xlfn.CONCAT('7D'!$B$9, "-", '7D'!$B$15, "-", '7D'!$W$7, "-", '7D'!$S$6, "-", '7D'!$N$5)</f>
        <v>Load received at sewage treatment works-Load received by STWs above size band 5-No permit-BOD5-Treatment works consents</v>
      </c>
      <c r="F3487" t="s">
        <v>17467</v>
      </c>
      <c r="G3487" s="2610">
        <f>'7D'!$W$15</f>
        <v>0</v>
      </c>
    </row>
    <row r="3488" spans="1:7">
      <c r="A3488" t="s">
        <v>17341</v>
      </c>
      <c r="C3488" s="2602" t="str">
        <f>'7D'!$CH$15</f>
        <v>STWDB106</v>
      </c>
      <c r="D3488" t="str">
        <f>_xlfn.CONCAT('7D'!$B$9, "-", '7D'!$B$15, "-", '7D'!$X$7, "-", '7D'!$S$6, "-", '7D'!$N$5)</f>
        <v>Load received at sewage treatment works-Load received by STWs above size band 5-Total-BOD5-Treatment works consents</v>
      </c>
      <c r="F3488" t="s">
        <v>17467</v>
      </c>
      <c r="G3488" s="2610">
        <f>'7D'!$X$15</f>
        <v>181253</v>
      </c>
    </row>
    <row r="3489" spans="1:7">
      <c r="A3489" t="s">
        <v>17341</v>
      </c>
      <c r="C3489" s="2602" t="str">
        <f>'7D'!$CI$15</f>
        <v>STWDA101</v>
      </c>
      <c r="D3489" t="str">
        <f>_xlfn.CONCAT('7D'!$B$9, "-", '7D'!$B$15, "-", '7D'!$Y$7, "-", '7D'!$Y$6, "-", '7D'!$N$5)</f>
        <v>Load received at sewage treatment works-Load received by STWs above size band 5-&lt;=1mg/l-Ammonia-Treatment works consents</v>
      </c>
      <c r="F3489" t="s">
        <v>17467</v>
      </c>
      <c r="G3489" s="2610">
        <f>'7D'!$Y$15</f>
        <v>0</v>
      </c>
    </row>
    <row r="3490" spans="1:7">
      <c r="A3490" t="s">
        <v>17341</v>
      </c>
      <c r="C3490" s="2602" t="str">
        <f>'7D'!$CJ$15</f>
        <v>STWDA102</v>
      </c>
      <c r="D3490" t="str">
        <f>_xlfn.CONCAT('7D'!$B$9, "-", '7D'!$B$15, "-", '7D'!$Z$7, "-", '7D'!$Y$6, "-", '7D'!$N$5)</f>
        <v>Load received at sewage treatment works-Load received by STWs above size band 5-&gt;1 to &lt;=3mg/l-Ammonia-Treatment works consents</v>
      </c>
      <c r="F3490" t="s">
        <v>17467</v>
      </c>
      <c r="G3490" s="2610">
        <f>'7D'!$Z$15</f>
        <v>0</v>
      </c>
    </row>
    <row r="3491" spans="1:7">
      <c r="A3491" t="s">
        <v>17341</v>
      </c>
      <c r="C3491" s="2602" t="str">
        <f>'7D'!$CK$15</f>
        <v>STWDA103</v>
      </c>
      <c r="D3491" t="str">
        <f>_xlfn.CONCAT('7D'!$B$9, "-", '7D'!$B$15, "-", '7D'!$AA$7, "-", '7D'!$Y$6, "-", '7D'!$N$5)</f>
        <v>Load received at sewage treatment works-Load received by STWs above size band 5-&gt;3 to &lt;=10mg/l-Ammonia-Treatment works consents</v>
      </c>
      <c r="F3491" t="s">
        <v>17467</v>
      </c>
      <c r="G3491" s="2610">
        <f>'7D'!$AA$15</f>
        <v>42084</v>
      </c>
    </row>
    <row r="3492" spans="1:7">
      <c r="A3492" t="s">
        <v>17341</v>
      </c>
      <c r="C3492" s="2602" t="str">
        <f>'7D'!$CL$15</f>
        <v>STWDA104</v>
      </c>
      <c r="D3492" t="str">
        <f>_xlfn.CONCAT('7D'!$B$9, "-", '7D'!$B$15, "-", '7D'!$AB$7, "-", '7D'!$Y$6, "-", '7D'!$N$5)</f>
        <v>Load received at sewage treatment works-Load received by STWs above size band 5-&gt;10mg/l-Ammonia-Treatment works consents</v>
      </c>
      <c r="F3492" t="s">
        <v>17467</v>
      </c>
      <c r="G3492" s="2610">
        <f>'7D'!$AB$15</f>
        <v>91693</v>
      </c>
    </row>
    <row r="3493" spans="1:7">
      <c r="A3493" t="s">
        <v>17341</v>
      </c>
      <c r="C3493" s="2602" t="str">
        <f>'7D'!$CM$15</f>
        <v>STWDA105</v>
      </c>
      <c r="D3493" t="str">
        <f>_xlfn.CONCAT('7D'!$B$9, "-", '7D'!$B$15, "-", '7D'!$AC$7, "-", '7D'!$Y$6, "-", '7D'!$N$5)</f>
        <v>Load received at sewage treatment works-Load received by STWs above size band 5-No permit-Ammonia-Treatment works consents</v>
      </c>
      <c r="F3493" t="s">
        <v>17467</v>
      </c>
      <c r="G3493" s="2610">
        <f>'7D'!$AC$15</f>
        <v>47476</v>
      </c>
    </row>
    <row r="3494" spans="1:7">
      <c r="A3494" t="s">
        <v>17341</v>
      </c>
      <c r="C3494" s="2602" t="str">
        <f>'7D'!$CN$15</f>
        <v>STWDA106</v>
      </c>
      <c r="D3494" t="str">
        <f>_xlfn.CONCAT('7D'!$B$9, "-", '7D'!$B$15, "-", '7D'!$AD$7, "-", '7D'!$Y$6, "-", '7D'!$N$5)</f>
        <v>Load received at sewage treatment works-Load received by STWs above size band 5-Total-Ammonia-Treatment works consents</v>
      </c>
      <c r="F3494" t="s">
        <v>17467</v>
      </c>
      <c r="G3494" s="2610">
        <f>'7D'!$AD$15</f>
        <v>181253</v>
      </c>
    </row>
    <row r="3495" spans="1:7">
      <c r="A3495" t="s">
        <v>17341</v>
      </c>
      <c r="C3495" s="2602" t="str">
        <f>'7D'!$BO$16</f>
        <v>STWD121</v>
      </c>
      <c r="D3495" t="str">
        <f>_xlfn.CONCAT('7D'!$B$9, "-", '7D'!$B$16, "-", '7D'!$E$6, "-", '7D'!$E$6, "-", '7D'!$E$5)</f>
        <v>Load received at sewage treatment works-Total load received-Primary-Primary-Treatment categories</v>
      </c>
      <c r="F3495" t="s">
        <v>17467</v>
      </c>
      <c r="G3495" s="2610">
        <f>'7D'!$E$16</f>
        <v>130</v>
      </c>
    </row>
    <row r="3496" spans="1:7">
      <c r="A3496" t="s">
        <v>17341</v>
      </c>
      <c r="C3496" s="2602" t="str">
        <f>'7D'!$BP$16</f>
        <v>STWD122</v>
      </c>
      <c r="D3496" t="str">
        <f>_xlfn.CONCAT('7D'!$B$9, "-", '7D'!$B$16, "-", '7D'!$F$7, "-", '7D'!$F$6, "-", '7D'!$E$5)</f>
        <v>Load received at sewage treatment works-Total load received-Activated Sludge-Secondary-Treatment categories</v>
      </c>
      <c r="F3496" t="s">
        <v>17467</v>
      </c>
      <c r="G3496" s="2610">
        <f>'7D'!$F$16</f>
        <v>131239</v>
      </c>
    </row>
    <row r="3497" spans="1:7">
      <c r="A3497" t="s">
        <v>17341</v>
      </c>
      <c r="C3497" s="2602" t="str">
        <f>'7D'!$BQ$16</f>
        <v>STWD123</v>
      </c>
      <c r="D3497" t="str">
        <f>_xlfn.CONCAT('7D'!$B$9, "-", '7D'!$B$16, "-", '7D'!$G$7, "-", '7D'!$F$6, "-", '7D'!$E$5)</f>
        <v>Load received at sewage treatment works-Total load received-Biological-Secondary-Treatment categories</v>
      </c>
      <c r="F3497" t="s">
        <v>17467</v>
      </c>
      <c r="G3497" s="2610">
        <f>'7D'!$G$16</f>
        <v>24993</v>
      </c>
    </row>
    <row r="3498" spans="1:7">
      <c r="A3498" t="s">
        <v>17341</v>
      </c>
      <c r="C3498" s="2602" t="str">
        <f>'7D'!$BR$16</f>
        <v>STWD124</v>
      </c>
      <c r="D3498" t="str">
        <f>_xlfn.CONCAT('7D'!$B$9, "-", '7D'!$B$16, "-", '7D'!$H$7, "-", '7D'!$H$6, "-", '7D'!$E$5)</f>
        <v>Load received at sewage treatment works-Total load received-A1-Tertiary-Treatment categories</v>
      </c>
      <c r="F3498" t="s">
        <v>17467</v>
      </c>
      <c r="G3498" s="2610">
        <f>'7D'!$H$16</f>
        <v>6052</v>
      </c>
    </row>
    <row r="3499" spans="1:7">
      <c r="A3499" t="s">
        <v>17341</v>
      </c>
      <c r="C3499" s="2602" t="str">
        <f>'7D'!$BS$16</f>
        <v>STWD125</v>
      </c>
      <c r="D3499" t="str">
        <f>_xlfn.CONCAT('7D'!$B$9, "-", '7D'!$B$16, "-", '7D'!$I$7, "-", '7D'!$H$6, "-", '7D'!$E$5)</f>
        <v>Load received at sewage treatment works-Total load received-A2-Tertiary-Treatment categories</v>
      </c>
      <c r="F3499" t="s">
        <v>17467</v>
      </c>
      <c r="G3499" s="2610">
        <f>'7D'!$I$16</f>
        <v>55583</v>
      </c>
    </row>
    <row r="3500" spans="1:7">
      <c r="A3500" t="s">
        <v>17341</v>
      </c>
      <c r="C3500" s="2602" t="str">
        <f>'7D'!$BT$16</f>
        <v>STWD126</v>
      </c>
      <c r="D3500" t="str">
        <f>_xlfn.CONCAT('7D'!$B$9, "-", '7D'!$B$16, "-", '7D'!$J$7, "-", '7D'!$H$6, "-", '7D'!$E$5)</f>
        <v>Load received at sewage treatment works-Total load received-B1-Tertiary-Treatment categories</v>
      </c>
      <c r="F3500" t="s">
        <v>17467</v>
      </c>
      <c r="G3500" s="2610">
        <f>'7D'!$J$16</f>
        <v>7833</v>
      </c>
    </row>
    <row r="3501" spans="1:7">
      <c r="A3501" t="s">
        <v>17341</v>
      </c>
      <c r="C3501" s="2602" t="str">
        <f>'7D'!$BU$16</f>
        <v>STWD127</v>
      </c>
      <c r="D3501" t="str">
        <f>_xlfn.CONCAT('7D'!$B$9, "-", '7D'!$B$16, "-", '7D'!$K$7, "-", '7D'!$H$6, "-", '7D'!$E$5)</f>
        <v>Load received at sewage treatment works-Total load received-B2-Tertiary-Treatment categories</v>
      </c>
      <c r="F3501" t="s">
        <v>17467</v>
      </c>
      <c r="G3501" s="2610">
        <f>'7D'!$K$16</f>
        <v>17637</v>
      </c>
    </row>
    <row r="3502" spans="1:7">
      <c r="A3502" t="s">
        <v>17341</v>
      </c>
      <c r="C3502" s="2602" t="str">
        <f>'7D'!$BV$16</f>
        <v>STWD128</v>
      </c>
      <c r="D3502" t="str">
        <f>_xlfn.CONCAT('7D'!$B$9, "-", '7D'!$B$16, "-", '7D'!$L$6, "-", '7D'!$L$6, "-", '7D'!$E$5)</f>
        <v>Load received at sewage treatment works-Total load received-Total-Total-Treatment categories</v>
      </c>
      <c r="F3502" t="s">
        <v>17467</v>
      </c>
      <c r="G3502" s="2610">
        <f>'7D'!$L$16</f>
        <v>243467</v>
      </c>
    </row>
    <row r="3503" spans="1:7">
      <c r="A3503" t="s">
        <v>17341</v>
      </c>
      <c r="C3503" s="2602" t="str">
        <f>'7D'!$BX$16</f>
        <v>STWDP121</v>
      </c>
      <c r="D3503" t="str">
        <f>_xlfn.CONCAT('7D'!$B$9, "-", '7D'!$B$16, "-", '7D'!$N$7, "-", '7D'!$N$6, "-", '7D'!$N$5)</f>
        <v>Load received at sewage treatment works-Total load received-&lt;=0.5mg/l-Phosphorus-Treatment works consents</v>
      </c>
      <c r="F3503" t="s">
        <v>17467</v>
      </c>
      <c r="G3503" s="2610">
        <f>'7D'!$N$16</f>
        <v>140</v>
      </c>
    </row>
    <row r="3504" spans="1:7">
      <c r="A3504" t="s">
        <v>17341</v>
      </c>
      <c r="C3504" s="2602" t="str">
        <f>'7D'!$BY$16</f>
        <v>STWDP122</v>
      </c>
      <c r="D3504" t="str">
        <f>_xlfn.CONCAT('7D'!$B$9, "-", '7D'!$B$16, "-", '7D'!$O$7, "-", '7D'!$N$6, "-", '7D'!$N$5)</f>
        <v>Load received at sewage treatment works-Total load received-&gt;0.5 to &lt;=1mg/l-Phosphorus-Treatment works consents</v>
      </c>
      <c r="F3504" t="s">
        <v>17467</v>
      </c>
      <c r="G3504" s="2610">
        <f>'7D'!$O$16</f>
        <v>31747</v>
      </c>
    </row>
    <row r="3505" spans="1:7">
      <c r="A3505" t="s">
        <v>17341</v>
      </c>
      <c r="C3505" s="2602" t="str">
        <f>'7D'!$BZ$16</f>
        <v>STWDP123</v>
      </c>
      <c r="D3505" t="str">
        <f>_xlfn.CONCAT('7D'!$B$9, "-", '7D'!$B$16, "-", '7D'!$P$7, "-", '7D'!$N$6, "-", '7D'!$N$5)</f>
        <v>Load received at sewage treatment works-Total load received-&gt;1mg/l-Phosphorus-Treatment works consents</v>
      </c>
      <c r="F3505" t="s">
        <v>17467</v>
      </c>
      <c r="G3505" s="2610">
        <f>'7D'!$P$16</f>
        <v>21734</v>
      </c>
    </row>
    <row r="3506" spans="1:7">
      <c r="A3506" t="s">
        <v>17341</v>
      </c>
      <c r="C3506" s="2602" t="str">
        <f>'7D'!$CA$16</f>
        <v>STWDP124</v>
      </c>
      <c r="D3506" t="str">
        <f>_xlfn.CONCAT('7D'!$B$9, "-", '7D'!$B$16, "-", '7D'!$Q$7, "-", '7D'!$N$6, "-", '7D'!$N$5)</f>
        <v>Load received at sewage treatment works-Total load received-No permit-Phosphorus-Treatment works consents</v>
      </c>
      <c r="F3506" t="s">
        <v>17467</v>
      </c>
      <c r="G3506" s="2610">
        <f>'7D'!$Q$16</f>
        <v>189848</v>
      </c>
    </row>
    <row r="3507" spans="1:7">
      <c r="A3507" t="s">
        <v>17341</v>
      </c>
      <c r="C3507" s="2602" t="str">
        <f>'7D'!$CB$16</f>
        <v>STWDP125</v>
      </c>
      <c r="D3507" t="str">
        <f>_xlfn.CONCAT('7D'!$B$9, "-", '7D'!$B$16, "-", '7D'!$R$7, "-", '7D'!$N$6, "-", '7D'!$N$5)</f>
        <v>Load received at sewage treatment works-Total load received-Total-Phosphorus-Treatment works consents</v>
      </c>
      <c r="F3507" t="s">
        <v>17467</v>
      </c>
      <c r="G3507" s="2610">
        <f>'7D'!$R$16</f>
        <v>243469</v>
      </c>
    </row>
    <row r="3508" spans="1:7">
      <c r="A3508" t="s">
        <v>17341</v>
      </c>
      <c r="C3508" s="2602" t="str">
        <f>'7D'!$CC$16</f>
        <v>STWDB121</v>
      </c>
      <c r="D3508" t="str">
        <f>_xlfn.CONCAT('7D'!$B$9, "-", '7D'!$B$16, "-", '7D'!$S$7, "-", '7D'!$S$6, "-", '7D'!$N$5)</f>
        <v>Load received at sewage treatment works-Total load received-&lt;=7mg/l-BOD5-Treatment works consents</v>
      </c>
      <c r="F3508" t="s">
        <v>17467</v>
      </c>
      <c r="G3508" s="2610">
        <f>'7D'!$S$16</f>
        <v>760</v>
      </c>
    </row>
    <row r="3509" spans="1:7">
      <c r="A3509" t="s">
        <v>17341</v>
      </c>
      <c r="C3509" s="2602" t="str">
        <f>'7D'!$CD$16</f>
        <v>STWDB122</v>
      </c>
      <c r="D3509" t="str">
        <f>_xlfn.CONCAT('7D'!$B$9, "-", '7D'!$B$16, "-", '7D'!$T$7, "-", '7D'!$S$6, "-", '7D'!$N$5)</f>
        <v>Load received at sewage treatment works-Total load received-&gt;7 to &lt;=10mg/l-BOD5-Treatment works consents</v>
      </c>
      <c r="F3509" t="s">
        <v>17467</v>
      </c>
      <c r="G3509" s="2610">
        <f>'7D'!$T$16</f>
        <v>5281</v>
      </c>
    </row>
    <row r="3510" spans="1:7">
      <c r="A3510" t="s">
        <v>17341</v>
      </c>
      <c r="C3510" s="2602" t="str">
        <f>'7D'!$CE$16</f>
        <v>STWDB123</v>
      </c>
      <c r="D3510" t="str">
        <f>_xlfn.CONCAT('7D'!$B$9, "-", '7D'!$B$16, "-", '7D'!$U$7, "-", '7D'!$S$6, "-", '7D'!$N$5)</f>
        <v>Load received at sewage treatment works-Total load received-&gt;10 to &lt;=20mg/l-BOD5-Treatment works consents</v>
      </c>
      <c r="F3510" t="s">
        <v>17467</v>
      </c>
      <c r="G3510" s="2610">
        <f>'7D'!$U$16</f>
        <v>37345</v>
      </c>
    </row>
    <row r="3511" spans="1:7">
      <c r="A3511" t="s">
        <v>17341</v>
      </c>
      <c r="C3511" s="2602" t="str">
        <f>'7D'!$CF$16</f>
        <v>STWDB124</v>
      </c>
      <c r="D3511" t="str">
        <f>_xlfn.CONCAT('7D'!$B$9, "-", '7D'!$B$16, "-", '7D'!$V$7, "-", '7D'!$S$6, "-", '7D'!$N$5)</f>
        <v>Load received at sewage treatment works-Total load received-&gt;20mg/l-BOD5-Treatment works consents</v>
      </c>
      <c r="F3511" t="s">
        <v>17467</v>
      </c>
      <c r="G3511" s="2610">
        <f>'7D'!$V$16</f>
        <v>199117</v>
      </c>
    </row>
    <row r="3512" spans="1:7">
      <c r="A3512" t="s">
        <v>17341</v>
      </c>
      <c r="C3512" s="2602" t="str">
        <f>'7D'!$CG$16</f>
        <v>STWDB125</v>
      </c>
      <c r="D3512" t="str">
        <f>_xlfn.CONCAT('7D'!$B$9, "-", '7D'!$B$16, "-", '7D'!$W$7, "-", '7D'!$S$6, "-", '7D'!$N$5)</f>
        <v>Load received at sewage treatment works-Total load received-No permit-BOD5-Treatment works consents</v>
      </c>
      <c r="F3512" t="s">
        <v>17467</v>
      </c>
      <c r="G3512" s="2610">
        <f>'7D'!$W$16</f>
        <v>966</v>
      </c>
    </row>
    <row r="3513" spans="1:7">
      <c r="A3513" t="s">
        <v>17341</v>
      </c>
      <c r="C3513" s="2602" t="str">
        <f>'7D'!$CH$16</f>
        <v>STWDB126</v>
      </c>
      <c r="D3513" t="str">
        <f>_xlfn.CONCAT('7D'!$B$9, "-", '7D'!$B$16, "-", '7D'!$X$7, "-", '7D'!$S$6, "-", '7D'!$N$5)</f>
        <v>Load received at sewage treatment works-Total load received-Total-BOD5-Treatment works consents</v>
      </c>
      <c r="F3513" t="s">
        <v>17467</v>
      </c>
      <c r="G3513" s="2610">
        <f>'7D'!$X$16</f>
        <v>243469</v>
      </c>
    </row>
    <row r="3514" spans="1:7">
      <c r="A3514" t="s">
        <v>17341</v>
      </c>
      <c r="C3514" s="2602" t="str">
        <f>'7D'!$CI$16</f>
        <v>STWDA121</v>
      </c>
      <c r="D3514" t="str">
        <f>_xlfn.CONCAT('7D'!$B$9, "-", '7D'!$B$16, "-", '7D'!$Y$7, "-", '7D'!$Y$6, "-", '7D'!$N$5)</f>
        <v>Load received at sewage treatment works-Total load received-&lt;=1mg/l-Ammonia-Treatment works consents</v>
      </c>
      <c r="F3514" t="s">
        <v>17467</v>
      </c>
      <c r="G3514" s="2610">
        <f>'7D'!$Y$16</f>
        <v>0</v>
      </c>
    </row>
    <row r="3515" spans="1:7">
      <c r="A3515" t="s">
        <v>17341</v>
      </c>
      <c r="C3515" s="2602" t="str">
        <f>'7D'!$CJ$16</f>
        <v>STWDA122</v>
      </c>
      <c r="D3515" t="str">
        <f>_xlfn.CONCAT('7D'!$B$9, "-", '7D'!$B$16, "-", '7D'!$Z$7, "-", '7D'!$Y$6, "-", '7D'!$N$5)</f>
        <v>Load received at sewage treatment works-Total load received-&gt;1 to &lt;=3mg/l-Ammonia-Treatment works consents</v>
      </c>
      <c r="F3515" t="s">
        <v>17467</v>
      </c>
      <c r="G3515" s="2610">
        <f>'7D'!$Z$16</f>
        <v>5578</v>
      </c>
    </row>
    <row r="3516" spans="1:7">
      <c r="A3516" t="s">
        <v>17341</v>
      </c>
      <c r="C3516" s="2602" t="str">
        <f>'7D'!$CK$16</f>
        <v>STWDA123</v>
      </c>
      <c r="D3516" t="str">
        <f>_xlfn.CONCAT('7D'!$B$9, "-", '7D'!$B$16, "-", '7D'!$AA$7, "-", '7D'!$Y$6, "-", '7D'!$N$5)</f>
        <v>Load received at sewage treatment works-Total load received-&gt;3 to &lt;=10mg/l-Ammonia-Treatment works consents</v>
      </c>
      <c r="F3516" t="s">
        <v>17467</v>
      </c>
      <c r="G3516" s="2610">
        <f>'7D'!$AA$16</f>
        <v>56577</v>
      </c>
    </row>
    <row r="3517" spans="1:7">
      <c r="A3517" t="s">
        <v>17341</v>
      </c>
      <c r="C3517" s="2602" t="str">
        <f>'7D'!$CL$16</f>
        <v>STWDA124</v>
      </c>
      <c r="D3517" t="str">
        <f>_xlfn.CONCAT('7D'!$B$9, "-", '7D'!$B$16, "-", '7D'!$AB$7, "-", '7D'!$Y$6, "-", '7D'!$N$5)</f>
        <v>Load received at sewage treatment works-Total load received-&gt;10mg/l-Ammonia-Treatment works consents</v>
      </c>
      <c r="F3517" t="s">
        <v>17467</v>
      </c>
      <c r="G3517" s="2610">
        <f>'7D'!$AB$16</f>
        <v>105839</v>
      </c>
    </row>
    <row r="3518" spans="1:7">
      <c r="A3518" t="s">
        <v>17341</v>
      </c>
      <c r="C3518" s="2602" t="str">
        <f>'7D'!$CM$16</f>
        <v>STWDA125</v>
      </c>
      <c r="D3518" t="str">
        <f>_xlfn.CONCAT('7D'!$B$9, "-", '7D'!$B$16, "-", '7D'!$AC$7, "-", '7D'!$Y$6, "-", '7D'!$N$5)</f>
        <v>Load received at sewage treatment works-Total load received-No permit-Ammonia-Treatment works consents</v>
      </c>
      <c r="F3518" t="s">
        <v>17467</v>
      </c>
      <c r="G3518" s="2610">
        <f>'7D'!$AC$16</f>
        <v>75475</v>
      </c>
    </row>
    <row r="3519" spans="1:7">
      <c r="A3519" t="s">
        <v>17341</v>
      </c>
      <c r="C3519" s="2602" t="str">
        <f>'7D'!$CN$16</f>
        <v>STWDA126</v>
      </c>
      <c r="D3519" t="str">
        <f>_xlfn.CONCAT('7D'!$B$9, "-", '7D'!$B$16, "-", '7D'!$AD$7, "-", '7D'!$Y$6, "-", '7D'!$N$5)</f>
        <v>Load received at sewage treatment works-Total load received-Total-Ammonia-Treatment works consents</v>
      </c>
      <c r="F3519" t="s">
        <v>17467</v>
      </c>
      <c r="G3519" s="2610">
        <f>'7D'!$AD$16</f>
        <v>243469</v>
      </c>
    </row>
    <row r="3520" spans="1:7">
      <c r="A3520" t="s">
        <v>17341</v>
      </c>
      <c r="C3520" s="2602" t="str">
        <f>'7D'!$BV$17</f>
        <v>STWD130</v>
      </c>
      <c r="D3520" t="str">
        <f>_xlfn.CONCAT('7D'!$B$9, "-", '7D'!$B$17, "-", '7D'!$L$6, "-", '7D'!$L$6, "-", '7D'!$E$5)</f>
        <v>Load received at sewage treatment works-Load received from trade effluent customers at treatment works -Total-Total-Treatment categories</v>
      </c>
      <c r="F3520" t="s">
        <v>17467</v>
      </c>
      <c r="G3520" s="2610">
        <f>'7D'!$L$17</f>
        <v>18759</v>
      </c>
    </row>
    <row r="3521" spans="1:7">
      <c r="A3521" t="s">
        <v>17341</v>
      </c>
      <c r="C3521" t="str">
        <f>'7D'!$BO$20</f>
        <v>STWC001</v>
      </c>
      <c r="D3521" t="str">
        <f>_xlfn.CONCAT('7D'!$B$19, "-", '7D'!$B$20, "-", '7D'!$E$6, "-", '7D'!$E$6, "-", '7D'!$E$5)</f>
        <v>Number of sewage treatment works-STWs in size band 1-Primary-Primary-Treatment categories</v>
      </c>
      <c r="F3521" t="s">
        <v>17467</v>
      </c>
      <c r="G3521" s="2610">
        <f>'7D'!$E$20</f>
        <v>64</v>
      </c>
    </row>
    <row r="3522" spans="1:7">
      <c r="A3522" t="s">
        <v>17341</v>
      </c>
      <c r="C3522" t="str">
        <f>'7D'!$BP$20</f>
        <v>STWC002</v>
      </c>
      <c r="D3522" t="str">
        <f>_xlfn.CONCAT('7D'!$B$19, "-", '7D'!$B$20, "-", '7D'!$F$7, "-", '7D'!$F$6, "-", '7D'!$E$5)</f>
        <v>Number of sewage treatment works-STWs in size band 1-Activated Sludge-Secondary-Treatment categories</v>
      </c>
      <c r="F3522" t="s">
        <v>17467</v>
      </c>
      <c r="G3522" s="2610">
        <f>'7D'!$F$20</f>
        <v>38</v>
      </c>
    </row>
    <row r="3523" spans="1:7">
      <c r="A3523" t="s">
        <v>17341</v>
      </c>
      <c r="C3523" t="str">
        <f>'7D'!$BQ$20</f>
        <v>STWC003</v>
      </c>
      <c r="D3523" t="str">
        <f>_xlfn.CONCAT('7D'!$B$19, "-", '7D'!$B$20, "-", '7D'!$G$7, "-", '7D'!$F$6, "-", '7D'!$E$5)</f>
        <v>Number of sewage treatment works-STWs in size band 1-Biological-Secondary-Treatment categories</v>
      </c>
      <c r="F3523" t="s">
        <v>17467</v>
      </c>
      <c r="G3523" s="2610">
        <f>'7D'!$G$20</f>
        <v>336</v>
      </c>
    </row>
    <row r="3524" spans="1:7">
      <c r="A3524" t="s">
        <v>17341</v>
      </c>
      <c r="C3524" t="str">
        <f>'7D'!$BR$20</f>
        <v>STWC004</v>
      </c>
      <c r="D3524" t="str">
        <f>_xlfn.CONCAT('7D'!$B$19, "-", '7D'!$B$20, "-", '7D'!$H$7, "-", '7D'!$H$6, "-", '7D'!$E$5)</f>
        <v>Number of sewage treatment works-STWs in size band 1-A1-Tertiary-Treatment categories</v>
      </c>
      <c r="F3524" t="s">
        <v>17467</v>
      </c>
      <c r="G3524" s="2610">
        <f>'7D'!$H$20</f>
        <v>13</v>
      </c>
    </row>
    <row r="3525" spans="1:7">
      <c r="A3525" t="s">
        <v>17341</v>
      </c>
      <c r="C3525" t="str">
        <f>'7D'!$BS$20</f>
        <v>STWC005</v>
      </c>
      <c r="D3525" t="str">
        <f>_xlfn.CONCAT('7D'!$B$19, "-", '7D'!$B$20, "-", '7D'!$I$7, "-", '7D'!$H$6, "-", '7D'!$E$5)</f>
        <v>Number of sewage treatment works-STWs in size band 1-A2-Tertiary-Treatment categories</v>
      </c>
      <c r="F3525" t="s">
        <v>17467</v>
      </c>
      <c r="G3525" s="2610">
        <f>'7D'!$I$20</f>
        <v>2</v>
      </c>
    </row>
    <row r="3526" spans="1:7">
      <c r="A3526" t="s">
        <v>17341</v>
      </c>
      <c r="C3526" t="str">
        <f>'7D'!$BT$20</f>
        <v>STWC006</v>
      </c>
      <c r="D3526" t="str">
        <f>_xlfn.CONCAT('7D'!$B$19, "-", '7D'!$B$20, "-", '7D'!$J$7, "-", '7D'!$H$6, "-", '7D'!$E$5)</f>
        <v>Number of sewage treatment works-STWs in size band 1-B1-Tertiary-Treatment categories</v>
      </c>
      <c r="F3526" t="s">
        <v>17467</v>
      </c>
      <c r="G3526" s="2610">
        <f>'7D'!$J$20</f>
        <v>29</v>
      </c>
    </row>
    <row r="3527" spans="1:7">
      <c r="A3527" t="s">
        <v>17341</v>
      </c>
      <c r="C3527" t="str">
        <f>'7D'!$BU$20</f>
        <v>STWC007</v>
      </c>
      <c r="D3527" t="str">
        <f>_xlfn.CONCAT('7D'!$B$19, "-", '7D'!$B$20, "-", '7D'!$K$7, "-", '7D'!$H$6, "-", '7D'!$E$5)</f>
        <v>Number of sewage treatment works-STWs in size band 1-B2-Tertiary-Treatment categories</v>
      </c>
      <c r="F3527" t="s">
        <v>17467</v>
      </c>
      <c r="G3527" s="2610">
        <f>'7D'!$K$20</f>
        <v>0</v>
      </c>
    </row>
    <row r="3528" spans="1:7">
      <c r="A3528" t="s">
        <v>17341</v>
      </c>
      <c r="C3528" s="2602" t="str">
        <f>'7D'!$BV$20</f>
        <v>STWC108</v>
      </c>
      <c r="D3528" t="str">
        <f>_xlfn.CONCAT('7D'!$B$19, "-", '7D'!$B$20, "-", '7D'!$L$6, "-", '7D'!$L$6, "-", '7D'!$E$5)</f>
        <v>Number of sewage treatment works-STWs in size band 1-Total-Total-Treatment categories</v>
      </c>
      <c r="F3528" t="s">
        <v>17467</v>
      </c>
      <c r="G3528" s="2610">
        <f>'7D'!$L$20</f>
        <v>482</v>
      </c>
    </row>
    <row r="3529" spans="1:7">
      <c r="A3529" t="s">
        <v>17341</v>
      </c>
      <c r="C3529" t="str">
        <f>'7D'!$BX$20</f>
        <v>STWCP001</v>
      </c>
      <c r="D3529" t="str">
        <f>_xlfn.CONCAT('7D'!$B$19, "-", '7D'!$B$20, "-", '7D'!$N$7, "-", '7D'!$N$6, "-", '7D'!$N$5)</f>
        <v>Number of sewage treatment works-STWs in size band 1-&lt;=0.5mg/l-Phosphorus-Treatment works consents</v>
      </c>
      <c r="F3529" t="s">
        <v>17467</v>
      </c>
      <c r="G3529" s="2610">
        <f>'7D'!$N$20</f>
        <v>0</v>
      </c>
    </row>
    <row r="3530" spans="1:7">
      <c r="A3530" t="s">
        <v>17341</v>
      </c>
      <c r="C3530" t="str">
        <f>'7D'!$BY$20</f>
        <v>STWCP002</v>
      </c>
      <c r="D3530" t="str">
        <f>_xlfn.CONCAT('7D'!$B$19, "-", '7D'!$B$20, "-", '7D'!$O$7, "-", '7D'!$N$6, "-", '7D'!$N$5)</f>
        <v>Number of sewage treatment works-STWs in size band 1-&gt;0.5 to &lt;=1mg/l-Phosphorus-Treatment works consents</v>
      </c>
      <c r="F3530" t="s">
        <v>17467</v>
      </c>
      <c r="G3530" s="2610">
        <f>'7D'!$O$20</f>
        <v>0</v>
      </c>
    </row>
    <row r="3531" spans="1:7">
      <c r="A3531" t="s">
        <v>17341</v>
      </c>
      <c r="C3531" t="str">
        <f>'7D'!$BZ$20</f>
        <v>STWCP003</v>
      </c>
      <c r="D3531" t="str">
        <f>_xlfn.CONCAT('7D'!$B$19, "-", '7D'!$B$20, "-", '7D'!$P$7, "-", '7D'!$N$6, "-", '7D'!$N$5)</f>
        <v>Number of sewage treatment works-STWs in size band 1-&gt;1mg/l-Phosphorus-Treatment works consents</v>
      </c>
      <c r="F3531" t="s">
        <v>17467</v>
      </c>
      <c r="G3531" s="2610">
        <f>'7D'!$P$20</f>
        <v>0</v>
      </c>
    </row>
    <row r="3532" spans="1:7">
      <c r="A3532" t="s">
        <v>17341</v>
      </c>
      <c r="C3532" t="str">
        <f>'7D'!$CA$20</f>
        <v>STWCP004</v>
      </c>
      <c r="D3532" t="str">
        <f>_xlfn.CONCAT('7D'!$B$19, "-", '7D'!$B$20, "-", '7D'!$Q$7, "-", '7D'!$N$6, "-", '7D'!$N$5)</f>
        <v>Number of sewage treatment works-STWs in size band 1-No permit-Phosphorus-Treatment works consents</v>
      </c>
      <c r="F3532" t="s">
        <v>17467</v>
      </c>
      <c r="G3532" s="2610">
        <f>'7D'!$Q$20</f>
        <v>482</v>
      </c>
    </row>
    <row r="3533" spans="1:7">
      <c r="A3533" t="s">
        <v>17341</v>
      </c>
      <c r="C3533" s="2602" t="str">
        <f>'7D'!$CB$20</f>
        <v>STWCP005</v>
      </c>
      <c r="D3533" t="str">
        <f>_xlfn.CONCAT('7D'!$B$19, "-", '7D'!$B$20, "-", '7D'!$R$7, "-", '7D'!$N$6, "-", '7D'!$N$5)</f>
        <v>Number of sewage treatment works-STWs in size band 1-Total-Phosphorus-Treatment works consents</v>
      </c>
      <c r="F3533" t="s">
        <v>17467</v>
      </c>
      <c r="G3533" s="2610">
        <f>'7D'!$R$20</f>
        <v>482</v>
      </c>
    </row>
    <row r="3534" spans="1:7">
      <c r="A3534" t="s">
        <v>17341</v>
      </c>
      <c r="C3534" t="str">
        <f>'7D'!$CC$20</f>
        <v>STWCB001</v>
      </c>
      <c r="D3534" t="str">
        <f>_xlfn.CONCAT('7D'!$B$19, "-", '7D'!$B$20, "-", '7D'!$S$7, "-", '7D'!$S$6, "-", '7D'!$N$5)</f>
        <v>Number of sewage treatment works-STWs in size band 1-&lt;=7mg/l-BOD5-Treatment works consents</v>
      </c>
      <c r="F3534" t="s">
        <v>17467</v>
      </c>
      <c r="G3534" s="2610">
        <f>'7D'!$S$20</f>
        <v>0</v>
      </c>
    </row>
    <row r="3535" spans="1:7">
      <c r="A3535" t="s">
        <v>17341</v>
      </c>
      <c r="C3535" t="str">
        <f>'7D'!$CD$20</f>
        <v>STWCB002</v>
      </c>
      <c r="D3535" t="str">
        <f>_xlfn.CONCAT('7D'!$B$19, "-", '7D'!$B$20, "-", '7D'!$T$7, "-", '7D'!$S$6, "-", '7D'!$N$5)</f>
        <v>Number of sewage treatment works-STWs in size band 1-&gt;7 to &lt;=10mg/l-BOD5-Treatment works consents</v>
      </c>
      <c r="F3535" t="s">
        <v>17467</v>
      </c>
      <c r="G3535" s="2610">
        <f>'7D'!$T$20</f>
        <v>1</v>
      </c>
    </row>
    <row r="3536" spans="1:7">
      <c r="A3536" t="s">
        <v>17341</v>
      </c>
      <c r="C3536" t="str">
        <f>'7D'!$CE$20</f>
        <v>STWCB003</v>
      </c>
      <c r="D3536" t="str">
        <f>_xlfn.CONCAT('7D'!$B$19, "-", '7D'!$B$20, "-", '7D'!$U$7, "-", '7D'!$S$6, "-", '7D'!$N$5)</f>
        <v>Number of sewage treatment works-STWs in size band 1-&gt;10 to &lt;=20mg/l-BOD5-Treatment works consents</v>
      </c>
      <c r="F3536" t="s">
        <v>17467</v>
      </c>
      <c r="G3536" s="2610">
        <f>'7D'!$U$20</f>
        <v>38</v>
      </c>
    </row>
    <row r="3537" spans="1:7">
      <c r="A3537" t="s">
        <v>17341</v>
      </c>
      <c r="C3537" t="str">
        <f>'7D'!$CF$20</f>
        <v>STWCB004</v>
      </c>
      <c r="D3537" t="str">
        <f>_xlfn.CONCAT('7D'!$B$19, "-", '7D'!$B$20, "-", '7D'!$V$7, "-", '7D'!$S$6, "-", '7D'!$N$5)</f>
        <v>Number of sewage treatment works-STWs in size band 1-&gt;20mg/l-BOD5-Treatment works consents</v>
      </c>
      <c r="F3537" t="s">
        <v>17467</v>
      </c>
      <c r="G3537" s="2610">
        <f>'7D'!$V$20</f>
        <v>179</v>
      </c>
    </row>
    <row r="3538" spans="1:7">
      <c r="A3538" t="s">
        <v>17341</v>
      </c>
      <c r="C3538" t="str">
        <f>'7D'!$CG$20</f>
        <v>STWCB005</v>
      </c>
      <c r="D3538" t="str">
        <f>_xlfn.CONCAT('7D'!$B$19, "-", '7D'!$B$20, "-", '7D'!$W$7, "-", '7D'!$S$6, "-", '7D'!$N$5)</f>
        <v>Number of sewage treatment works-STWs in size band 1-No permit-BOD5-Treatment works consents</v>
      </c>
      <c r="F3538" t="s">
        <v>17467</v>
      </c>
      <c r="G3538" s="2610">
        <f>'7D'!$W$20</f>
        <v>264</v>
      </c>
    </row>
    <row r="3539" spans="1:7">
      <c r="A3539" t="s">
        <v>17341</v>
      </c>
      <c r="C3539" s="2602" t="str">
        <f>'7D'!$CH$20</f>
        <v>STWCB006</v>
      </c>
      <c r="D3539" t="str">
        <f>_xlfn.CONCAT('7D'!$B$19, "-", '7D'!$B$20, "-", '7D'!$X$7, "-", '7D'!$S$6, "-", '7D'!$N$5)</f>
        <v>Number of sewage treatment works-STWs in size band 1-Total-BOD5-Treatment works consents</v>
      </c>
      <c r="F3539" t="s">
        <v>17467</v>
      </c>
      <c r="G3539" s="2610">
        <f>'7D'!$X$20</f>
        <v>482</v>
      </c>
    </row>
    <row r="3540" spans="1:7">
      <c r="A3540" t="s">
        <v>17341</v>
      </c>
      <c r="C3540" t="str">
        <f>'7D'!$CI$20</f>
        <v>STWCA001</v>
      </c>
      <c r="D3540" t="str">
        <f>_xlfn.CONCAT('7D'!$B$19, "-", '7D'!$B$20, "-", '7D'!$Y$7, "-", '7D'!$Y$6, "-", '7D'!$N$5)</f>
        <v>Number of sewage treatment works-STWs in size band 1-&lt;=1mg/l-Ammonia-Treatment works consents</v>
      </c>
      <c r="F3540" t="s">
        <v>17467</v>
      </c>
      <c r="G3540" s="2610">
        <f>'7D'!$Y$20</f>
        <v>0</v>
      </c>
    </row>
    <row r="3541" spans="1:7">
      <c r="A3541" t="s">
        <v>17341</v>
      </c>
      <c r="C3541" t="str">
        <f>'7D'!$CJ$20</f>
        <v>STWCA002</v>
      </c>
      <c r="D3541" t="str">
        <f>_xlfn.CONCAT('7D'!$B$19, "-", '7D'!$B$20, "-", '7D'!$Z$7, "-", '7D'!$Y$6, "-", '7D'!$N$5)</f>
        <v>Number of sewage treatment works-STWs in size band 1-&gt;1 to &lt;=3mg/l-Ammonia-Treatment works consents</v>
      </c>
      <c r="F3541" t="s">
        <v>17467</v>
      </c>
      <c r="G3541" s="2610">
        <f>'7D'!$Z$20</f>
        <v>3</v>
      </c>
    </row>
    <row r="3542" spans="1:7">
      <c r="A3542" t="s">
        <v>17341</v>
      </c>
      <c r="C3542" t="str">
        <f>'7D'!$CK$20</f>
        <v>STWCA003</v>
      </c>
      <c r="D3542" t="str">
        <f>_xlfn.CONCAT('7D'!$B$19, "-", '7D'!$B$20, "-", '7D'!$AA$7, "-", '7D'!$Y$6, "-", '7D'!$N$5)</f>
        <v>Number of sewage treatment works-STWs in size band 1-&gt;3 to &lt;=10mg/l-Ammonia-Treatment works consents</v>
      </c>
      <c r="F3542" t="s">
        <v>17467</v>
      </c>
      <c r="G3542" s="2610">
        <f>'7D'!$AA$20</f>
        <v>32</v>
      </c>
    </row>
    <row r="3543" spans="1:7">
      <c r="A3543" t="s">
        <v>17341</v>
      </c>
      <c r="C3543" t="str">
        <f>'7D'!$CL$20</f>
        <v>STWCA004</v>
      </c>
      <c r="D3543" t="str">
        <f>_xlfn.CONCAT('7D'!$B$19, "-", '7D'!$B$20, "-", '7D'!$AB$7, "-", '7D'!$Y$6, "-", '7D'!$N$5)</f>
        <v>Number of sewage treatment works-STWs in size band 1-&gt;10mg/l-Ammonia-Treatment works consents</v>
      </c>
      <c r="F3543" t="s">
        <v>17467</v>
      </c>
      <c r="G3543" s="2610">
        <f>'7D'!$AB$20</f>
        <v>62</v>
      </c>
    </row>
    <row r="3544" spans="1:7">
      <c r="A3544" t="s">
        <v>17341</v>
      </c>
      <c r="C3544" t="str">
        <f>'7D'!$CM$20</f>
        <v>STWCA005</v>
      </c>
      <c r="D3544" t="str">
        <f>_xlfn.CONCAT('7D'!$B$19, "-", '7D'!$B$20, "-", '7D'!$AC$7, "-", '7D'!$Y$6, "-", '7D'!$N$5)</f>
        <v>Number of sewage treatment works-STWs in size band 1-No permit-Ammonia-Treatment works consents</v>
      </c>
      <c r="F3544" t="s">
        <v>17467</v>
      </c>
      <c r="G3544" s="2610">
        <f>'7D'!$AC$20</f>
        <v>385</v>
      </c>
    </row>
    <row r="3545" spans="1:7">
      <c r="A3545" t="s">
        <v>17341</v>
      </c>
      <c r="C3545" s="2602" t="str">
        <f>'7D'!$CN$20</f>
        <v>STWCA006</v>
      </c>
      <c r="D3545" t="str">
        <f>_xlfn.CONCAT('7D'!$B$19, "-", '7D'!$B$20, "-", '7D'!$AD$7, "-", '7D'!$Y$6, "-", '7D'!$N$5)</f>
        <v>Number of sewage treatment works-STWs in size band 1-Total-Ammonia-Treatment works consents</v>
      </c>
      <c r="F3545" t="s">
        <v>17467</v>
      </c>
      <c r="G3545" s="2610">
        <f>'7D'!$AD$20</f>
        <v>482</v>
      </c>
    </row>
    <row r="3546" spans="1:7">
      <c r="A3546" t="s">
        <v>17341</v>
      </c>
      <c r="C3546" t="str">
        <f>'7D'!$BO$21</f>
        <v>STWC015</v>
      </c>
      <c r="D3546" t="str">
        <f>_xlfn.CONCAT('7D'!$B$19, "-", '7D'!$B$21, "-", '7D'!$E$6, "-", '7D'!$E$6, "-", '7D'!$E$5)</f>
        <v>Number of sewage treatment works-STWs in size band 2-Primary-Primary-Treatment categories</v>
      </c>
      <c r="F3546" t="s">
        <v>17467</v>
      </c>
      <c r="G3546" s="2610">
        <f>'7D'!$E$21</f>
        <v>1</v>
      </c>
    </row>
    <row r="3547" spans="1:7">
      <c r="A3547" t="s">
        <v>17341</v>
      </c>
      <c r="C3547" t="str">
        <f>'7D'!$BP$21</f>
        <v>STWC016</v>
      </c>
      <c r="D3547" t="str">
        <f>_xlfn.CONCAT('7D'!$B$19, "-", '7D'!$B$21, "-", '7D'!$F$7, "-", '7D'!$F$6, "-", '7D'!$E$5)</f>
        <v>Number of sewage treatment works-STWs in size band 2-Activated Sludge-Secondary-Treatment categories</v>
      </c>
      <c r="F3547" t="s">
        <v>17467</v>
      </c>
      <c r="G3547" s="2610">
        <f>'7D'!$F$21</f>
        <v>12</v>
      </c>
    </row>
    <row r="3548" spans="1:7">
      <c r="A3548" t="s">
        <v>17341</v>
      </c>
      <c r="C3548" t="str">
        <f>'7D'!$BQ$21</f>
        <v>STWC017</v>
      </c>
      <c r="D3548" t="str">
        <f>_xlfn.CONCAT('7D'!$B$19, "-", '7D'!$B$21, "-", '7D'!$G$7, "-", '7D'!$F$6, "-", '7D'!$E$5)</f>
        <v>Number of sewage treatment works-STWs in size band 2-Biological-Secondary-Treatment categories</v>
      </c>
      <c r="F3548" t="s">
        <v>17467</v>
      </c>
      <c r="G3548" s="2610">
        <f>'7D'!$G$21</f>
        <v>72</v>
      </c>
    </row>
    <row r="3549" spans="1:7">
      <c r="A3549" t="s">
        <v>17341</v>
      </c>
      <c r="C3549" t="str">
        <f>'7D'!$BR$21</f>
        <v>STWC018</v>
      </c>
      <c r="D3549" t="str">
        <f>_xlfn.CONCAT('7D'!$B$19, "-", '7D'!$B$21, "-", '7D'!$H$7, "-", '7D'!$H$6, "-", '7D'!$E$5)</f>
        <v>Number of sewage treatment works-STWs in size band 2-A1-Tertiary-Treatment categories</v>
      </c>
      <c r="F3549" t="s">
        <v>17467</v>
      </c>
      <c r="G3549" s="2610">
        <f>'7D'!$H$21</f>
        <v>1</v>
      </c>
    </row>
    <row r="3550" spans="1:7">
      <c r="A3550" t="s">
        <v>17341</v>
      </c>
      <c r="C3550" t="str">
        <f>'7D'!$BS$21</f>
        <v>STWC019</v>
      </c>
      <c r="D3550" t="str">
        <f>_xlfn.CONCAT('7D'!$B$19, "-", '7D'!$B$21, "-", '7D'!$I$7, "-", '7D'!$H$6, "-", '7D'!$E$5)</f>
        <v>Number of sewage treatment works-STWs in size band 2-A2-Tertiary-Treatment categories</v>
      </c>
      <c r="F3550" t="s">
        <v>17467</v>
      </c>
      <c r="G3550" s="2610">
        <f>'7D'!$I$21</f>
        <v>1</v>
      </c>
    </row>
    <row r="3551" spans="1:7">
      <c r="A3551" t="s">
        <v>17341</v>
      </c>
      <c r="C3551" t="str">
        <f>'7D'!$BT$21</f>
        <v>STWC020</v>
      </c>
      <c r="D3551" t="str">
        <f>_xlfn.CONCAT('7D'!$B$19, "-", '7D'!$B$21, "-", '7D'!$J$7, "-", '7D'!$H$6, "-", '7D'!$E$5)</f>
        <v>Number of sewage treatment works-STWs in size band 2-B1-Tertiary-Treatment categories</v>
      </c>
      <c r="F3551" t="s">
        <v>17467</v>
      </c>
      <c r="G3551" s="2610">
        <f>'7D'!$J$21</f>
        <v>13</v>
      </c>
    </row>
    <row r="3552" spans="1:7">
      <c r="A3552" t="s">
        <v>17341</v>
      </c>
      <c r="C3552" t="str">
        <f>'7D'!$BU$21</f>
        <v>STWC021</v>
      </c>
      <c r="D3552" t="str">
        <f>_xlfn.CONCAT('7D'!$B$19, "-", '7D'!$B$21, "-", '7D'!$K$7, "-", '7D'!$H$6, "-", '7D'!$E$5)</f>
        <v>Number of sewage treatment works-STWs in size band 2-B2-Tertiary-Treatment categories</v>
      </c>
      <c r="F3552" t="s">
        <v>17467</v>
      </c>
      <c r="G3552" s="2610">
        <f>'7D'!$K$21</f>
        <v>0</v>
      </c>
    </row>
    <row r="3553" spans="1:7">
      <c r="A3553" t="s">
        <v>17341</v>
      </c>
      <c r="C3553" s="2602" t="str">
        <f>'7D'!$BV$21</f>
        <v>STWC109</v>
      </c>
      <c r="D3553" t="str">
        <f>_xlfn.CONCAT('7D'!$B$19, "-", '7D'!$B$21, "-", '7D'!$L$6, "-", '7D'!$L$6, "-", '7D'!$E$5)</f>
        <v>Number of sewage treatment works-STWs in size band 2-Total-Total-Treatment categories</v>
      </c>
      <c r="F3553" t="s">
        <v>17467</v>
      </c>
      <c r="G3553" s="2610">
        <f>'7D'!$L$21</f>
        <v>100</v>
      </c>
    </row>
    <row r="3554" spans="1:7">
      <c r="A3554" t="s">
        <v>17341</v>
      </c>
      <c r="C3554" t="str">
        <f>'7D'!$BX$21</f>
        <v>STWCP015</v>
      </c>
      <c r="D3554" t="str">
        <f>_xlfn.CONCAT('7D'!$B$19, "-", '7D'!$B$21, "-", '7D'!$N$7, "-", '7D'!$N$6, "-", '7D'!$N$5)</f>
        <v>Number of sewage treatment works-STWs in size band 2-&lt;=0.5mg/l-Phosphorus-Treatment works consents</v>
      </c>
      <c r="F3554" t="s">
        <v>17467</v>
      </c>
      <c r="G3554" s="2610">
        <f>'7D'!$N$21</f>
        <v>0</v>
      </c>
    </row>
    <row r="3555" spans="1:7">
      <c r="A3555" t="s">
        <v>17341</v>
      </c>
      <c r="C3555" t="str">
        <f>'7D'!$BY$21</f>
        <v>STWCP016</v>
      </c>
      <c r="D3555" t="str">
        <f>_xlfn.CONCAT('7D'!$B$19, "-", '7D'!$B$21, "-", '7D'!$O$7, "-", '7D'!$N$6, "-", '7D'!$N$5)</f>
        <v>Number of sewage treatment works-STWs in size band 2-&gt;0.5 to &lt;=1mg/l-Phosphorus-Treatment works consents</v>
      </c>
      <c r="F3555" t="s">
        <v>17467</v>
      </c>
      <c r="G3555" s="2610">
        <f>'7D'!$O$21</f>
        <v>0</v>
      </c>
    </row>
    <row r="3556" spans="1:7">
      <c r="A3556" t="s">
        <v>17341</v>
      </c>
      <c r="C3556" t="str">
        <f>'7D'!$BZ$21</f>
        <v>STWCP017</v>
      </c>
      <c r="D3556" t="str">
        <f>_xlfn.CONCAT('7D'!$B$19, "-", '7D'!$B$21, "-", '7D'!$P$7, "-", '7D'!$N$6, "-", '7D'!$N$5)</f>
        <v>Number of sewage treatment works-STWs in size band 2-&gt;1mg/l-Phosphorus-Treatment works consents</v>
      </c>
      <c r="F3556" t="s">
        <v>17467</v>
      </c>
      <c r="G3556" s="2610">
        <f>'7D'!$P$21</f>
        <v>3</v>
      </c>
    </row>
    <row r="3557" spans="1:7">
      <c r="A3557" t="s">
        <v>17341</v>
      </c>
      <c r="C3557" t="str">
        <f>'7D'!$CA$21</f>
        <v>STWCP018</v>
      </c>
      <c r="D3557" t="str">
        <f>_xlfn.CONCAT('7D'!$B$19, "-", '7D'!$B$21, "-", '7D'!$Q$7, "-", '7D'!$N$6, "-", '7D'!$N$5)</f>
        <v>Number of sewage treatment works-STWs in size band 2-No permit-Phosphorus-Treatment works consents</v>
      </c>
      <c r="F3557" t="s">
        <v>17467</v>
      </c>
      <c r="G3557" s="2610">
        <f>'7D'!$Q$21</f>
        <v>97</v>
      </c>
    </row>
    <row r="3558" spans="1:7">
      <c r="A3558" t="s">
        <v>17341</v>
      </c>
      <c r="C3558" s="2602" t="str">
        <f>'7D'!$CB$21</f>
        <v>STWCP019</v>
      </c>
      <c r="D3558" t="str">
        <f>_xlfn.CONCAT('7D'!$B$19, "-", '7D'!$B$21, "-", '7D'!$R$7, "-", '7D'!$N$6, "-", '7D'!$N$5)</f>
        <v>Number of sewage treatment works-STWs in size band 2-Total-Phosphorus-Treatment works consents</v>
      </c>
      <c r="F3558" t="s">
        <v>17467</v>
      </c>
      <c r="G3558" s="2610">
        <f>'7D'!$R$21</f>
        <v>100</v>
      </c>
    </row>
    <row r="3559" spans="1:7">
      <c r="A3559" t="s">
        <v>17341</v>
      </c>
      <c r="C3559" t="str">
        <f>'7D'!$CC$21</f>
        <v>STWCB015</v>
      </c>
      <c r="D3559" t="str">
        <f>_xlfn.CONCAT('7D'!$B$19, "-", '7D'!$B$21, "-", '7D'!$S$7, "-", '7D'!$S$6, "-", '7D'!$N$5)</f>
        <v>Number of sewage treatment works-STWs in size band 2-&lt;=7mg/l-BOD5-Treatment works consents</v>
      </c>
      <c r="F3559" t="s">
        <v>17467</v>
      </c>
      <c r="G3559" s="2610">
        <f>'7D'!$S$21</f>
        <v>0</v>
      </c>
    </row>
    <row r="3560" spans="1:7">
      <c r="A3560" t="s">
        <v>17341</v>
      </c>
      <c r="C3560" t="str">
        <f>'7D'!$CD$21</f>
        <v>STWCB016</v>
      </c>
      <c r="D3560" t="str">
        <f>_xlfn.CONCAT('7D'!$B$19, "-", '7D'!$B$21, "-", '7D'!$T$7, "-", '7D'!$S$6, "-", '7D'!$N$5)</f>
        <v>Number of sewage treatment works-STWs in size band 2-&gt;7 to &lt;=10mg/l-BOD5-Treatment works consents</v>
      </c>
      <c r="F3560" t="s">
        <v>17467</v>
      </c>
      <c r="G3560" s="2610">
        <f>'7D'!$T$21</f>
        <v>2</v>
      </c>
    </row>
    <row r="3561" spans="1:7">
      <c r="A3561" t="s">
        <v>17341</v>
      </c>
      <c r="C3561" t="str">
        <f>'7D'!$CE$21</f>
        <v>STWCB017</v>
      </c>
      <c r="D3561" t="str">
        <f>_xlfn.CONCAT('7D'!$B$19, "-", '7D'!$B$21, "-", '7D'!$U$7, "-", '7D'!$S$6, "-", '7D'!$N$5)</f>
        <v>Number of sewage treatment works-STWs in size band 2-&gt;10 to &lt;=20mg/l-BOD5-Treatment works consents</v>
      </c>
      <c r="F3561" t="s">
        <v>17467</v>
      </c>
      <c r="G3561" s="2610">
        <f>'7D'!$U$21</f>
        <v>12</v>
      </c>
    </row>
    <row r="3562" spans="1:7">
      <c r="A3562" t="s">
        <v>17341</v>
      </c>
      <c r="C3562" t="str">
        <f>'7D'!$CF$21</f>
        <v>STWCB018</v>
      </c>
      <c r="D3562" t="str">
        <f>_xlfn.CONCAT('7D'!$B$19, "-", '7D'!$B$21, "-", '7D'!$V$7, "-", '7D'!$S$6, "-", '7D'!$N$5)</f>
        <v>Number of sewage treatment works-STWs in size band 2-&gt;20mg/l-BOD5-Treatment works consents</v>
      </c>
      <c r="F3562" t="s">
        <v>17467</v>
      </c>
      <c r="G3562" s="2610">
        <f>'7D'!$V$21</f>
        <v>83</v>
      </c>
    </row>
    <row r="3563" spans="1:7">
      <c r="A3563" t="s">
        <v>17341</v>
      </c>
      <c r="C3563" t="str">
        <f>'7D'!$CG$21</f>
        <v>STWCB019</v>
      </c>
      <c r="D3563" t="str">
        <f>_xlfn.CONCAT('7D'!$B$19, "-", '7D'!$B$21, "-", '7D'!$W$7, "-", '7D'!$S$6, "-", '7D'!$N$5)</f>
        <v>Number of sewage treatment works-STWs in size band 2-No permit-BOD5-Treatment works consents</v>
      </c>
      <c r="F3563" t="s">
        <v>17467</v>
      </c>
      <c r="G3563" s="2610">
        <f>'7D'!$W$21</f>
        <v>3</v>
      </c>
    </row>
    <row r="3564" spans="1:7">
      <c r="A3564" t="s">
        <v>17341</v>
      </c>
      <c r="C3564" s="2602" t="str">
        <f>'7D'!$CH$21</f>
        <v>STWCB020</v>
      </c>
      <c r="D3564" t="str">
        <f>_xlfn.CONCAT('7D'!$B$19, "-", '7D'!$B$21, "-", '7D'!$X$7, "-", '7D'!$S$6, "-", '7D'!$N$5)</f>
        <v>Number of sewage treatment works-STWs in size band 2-Total-BOD5-Treatment works consents</v>
      </c>
      <c r="F3564" t="s">
        <v>17467</v>
      </c>
      <c r="G3564" s="2610">
        <f>'7D'!$X$21</f>
        <v>100</v>
      </c>
    </row>
    <row r="3565" spans="1:7">
      <c r="A3565" t="s">
        <v>17341</v>
      </c>
      <c r="C3565" t="str">
        <f>'7D'!$CI$21</f>
        <v>STWCA015</v>
      </c>
      <c r="D3565" t="str">
        <f>_xlfn.CONCAT('7D'!$B$19, "-", '7D'!$B$21, "-", '7D'!$Y$7, "-", '7D'!$Y$6, "-", '7D'!$N$5)</f>
        <v>Number of sewage treatment works-STWs in size band 2-&lt;=1mg/l-Ammonia-Treatment works consents</v>
      </c>
      <c r="F3565" t="s">
        <v>17467</v>
      </c>
      <c r="G3565" s="2610">
        <f>'7D'!$Y$21</f>
        <v>0</v>
      </c>
    </row>
    <row r="3566" spans="1:7">
      <c r="A3566" t="s">
        <v>17341</v>
      </c>
      <c r="C3566" t="str">
        <f>'7D'!$CJ$21</f>
        <v>STWCA016</v>
      </c>
      <c r="D3566" t="str">
        <f>_xlfn.CONCAT('7D'!$B$19, "-", '7D'!$B$21, "-", '7D'!$Z$7, "-", '7D'!$Y$6, "-", '7D'!$N$5)</f>
        <v>Number of sewage treatment works-STWs in size band 2-&gt;1 to &lt;=3mg/l-Ammonia-Treatment works consents</v>
      </c>
      <c r="F3566" t="s">
        <v>17467</v>
      </c>
      <c r="G3566" s="2610">
        <f>'7D'!$Z$21</f>
        <v>1</v>
      </c>
    </row>
    <row r="3567" spans="1:7">
      <c r="A3567" t="s">
        <v>17341</v>
      </c>
      <c r="C3567" t="str">
        <f>'7D'!$CK$21</f>
        <v>STWCA017</v>
      </c>
      <c r="D3567" t="str">
        <f>_xlfn.CONCAT('7D'!$B$19, "-", '7D'!$B$21, "-", '7D'!$AA$7, "-", '7D'!$Y$6, "-", '7D'!$N$5)</f>
        <v>Number of sewage treatment works-STWs in size band 2-&gt;3 to &lt;=10mg/l-Ammonia-Treatment works consents</v>
      </c>
      <c r="F3567" t="s">
        <v>17467</v>
      </c>
      <c r="G3567" s="2610">
        <f>'7D'!$AA$21</f>
        <v>21</v>
      </c>
    </row>
    <row r="3568" spans="1:7">
      <c r="A3568" t="s">
        <v>17341</v>
      </c>
      <c r="C3568" t="str">
        <f>'7D'!$CL$21</f>
        <v>STWCA018</v>
      </c>
      <c r="D3568" t="str">
        <f>_xlfn.CONCAT('7D'!$B$19, "-", '7D'!$B$21, "-", '7D'!$AB$7, "-", '7D'!$Y$6, "-", '7D'!$N$5)</f>
        <v>Number of sewage treatment works-STWs in size band 2-&gt;10mg/l-Ammonia-Treatment works consents</v>
      </c>
      <c r="F3568" t="s">
        <v>17467</v>
      </c>
      <c r="G3568" s="2610">
        <f>'7D'!$AB$21</f>
        <v>28</v>
      </c>
    </row>
    <row r="3569" spans="1:7">
      <c r="A3569" t="s">
        <v>17341</v>
      </c>
      <c r="C3569" t="str">
        <f>'7D'!$CM$21</f>
        <v>STWCA019</v>
      </c>
      <c r="D3569" t="str">
        <f>_xlfn.CONCAT('7D'!$B$19, "-", '7D'!$B$21, "-", '7D'!$AC$7, "-", '7D'!$Y$6, "-", '7D'!$N$5)</f>
        <v>Number of sewage treatment works-STWs in size band 2-No permit-Ammonia-Treatment works consents</v>
      </c>
      <c r="F3569" t="s">
        <v>17467</v>
      </c>
      <c r="G3569" s="2610">
        <f>'7D'!$AC$21</f>
        <v>50</v>
      </c>
    </row>
    <row r="3570" spans="1:7">
      <c r="A3570" t="s">
        <v>17341</v>
      </c>
      <c r="C3570" s="2602" t="str">
        <f>'7D'!$CN$21</f>
        <v>STWCA020</v>
      </c>
      <c r="D3570" t="str">
        <f>_xlfn.CONCAT('7D'!$B$19, "-", '7D'!$B$21, "-", '7D'!$AD$7, "-", '7D'!$Y$6, "-", '7D'!$N$5)</f>
        <v>Number of sewage treatment works-STWs in size band 2-Total-Ammonia-Treatment works consents</v>
      </c>
      <c r="F3570" t="s">
        <v>17467</v>
      </c>
      <c r="G3570" s="2610">
        <f>'7D'!$AD$21</f>
        <v>100</v>
      </c>
    </row>
    <row r="3571" spans="1:7">
      <c r="A3571" t="s">
        <v>17341</v>
      </c>
      <c r="C3571" t="str">
        <f>'7D'!$BO$22</f>
        <v>STWC029</v>
      </c>
      <c r="D3571" t="str">
        <f>_xlfn.CONCAT('7D'!$B$19, "-", '7D'!$B$22, "-", '7D'!$E$6, "-", '7D'!$E$6, "-", '7D'!$E$5)</f>
        <v>Number of sewage treatment works-STWs in size band 3-Primary-Primary-Treatment categories</v>
      </c>
      <c r="F3571" t="s">
        <v>17467</v>
      </c>
      <c r="G3571" s="2610">
        <f>'7D'!$E$22</f>
        <v>0</v>
      </c>
    </row>
    <row r="3572" spans="1:7">
      <c r="A3572" t="s">
        <v>17341</v>
      </c>
      <c r="C3572" t="str">
        <f>'7D'!$BP$22</f>
        <v>STWC030</v>
      </c>
      <c r="D3572" t="str">
        <f>_xlfn.CONCAT('7D'!$B$19, "-", '7D'!$B$22, "-", '7D'!$F$7, "-", '7D'!$F$6, "-", '7D'!$E$5)</f>
        <v>Number of sewage treatment works-STWs in size band 3-Activated Sludge-Secondary-Treatment categories</v>
      </c>
      <c r="F3572" t="s">
        <v>17467</v>
      </c>
      <c r="G3572" s="2610">
        <f>'7D'!$F$22</f>
        <v>20</v>
      </c>
    </row>
    <row r="3573" spans="1:7">
      <c r="A3573" t="s">
        <v>17341</v>
      </c>
      <c r="C3573" t="str">
        <f>'7D'!$BQ$22</f>
        <v>STWC031</v>
      </c>
      <c r="D3573" t="str">
        <f>_xlfn.CONCAT('7D'!$B$19, "-", '7D'!$B$22, "-", '7D'!$G$7, "-", '7D'!$F$6, "-", '7D'!$E$5)</f>
        <v>Number of sewage treatment works-STWs in size band 3-Biological-Secondary-Treatment categories</v>
      </c>
      <c r="F3573" t="s">
        <v>17467</v>
      </c>
      <c r="G3573" s="2610">
        <f>'7D'!$G$22</f>
        <v>77</v>
      </c>
    </row>
    <row r="3574" spans="1:7">
      <c r="A3574" t="s">
        <v>17341</v>
      </c>
      <c r="C3574" t="str">
        <f>'7D'!$BR$22</f>
        <v>STWC032</v>
      </c>
      <c r="D3574" t="str">
        <f>_xlfn.CONCAT('7D'!$B$19, "-", '7D'!$B$22, "-", '7D'!$H$7, "-", '7D'!$H$6, "-", '7D'!$E$5)</f>
        <v>Number of sewage treatment works-STWs in size band 3-A1-Tertiary-Treatment categories</v>
      </c>
      <c r="F3574" t="s">
        <v>17467</v>
      </c>
      <c r="G3574" s="2610">
        <f>'7D'!$H$22</f>
        <v>2</v>
      </c>
    </row>
    <row r="3575" spans="1:7">
      <c r="A3575" t="s">
        <v>17341</v>
      </c>
      <c r="C3575" t="str">
        <f>'7D'!$BS$22</f>
        <v>STWC033</v>
      </c>
      <c r="D3575" t="str">
        <f>_xlfn.CONCAT('7D'!$B$19, "-", '7D'!$B$22, "-", '7D'!$I$7, "-", '7D'!$H$6, "-", '7D'!$E$5)</f>
        <v>Number of sewage treatment works-STWs in size band 3-A2-Tertiary-Treatment categories</v>
      </c>
      <c r="F3575" t="s">
        <v>17467</v>
      </c>
      <c r="G3575" s="2610">
        <f>'7D'!$I$22</f>
        <v>5</v>
      </c>
    </row>
    <row r="3576" spans="1:7">
      <c r="A3576" t="s">
        <v>17341</v>
      </c>
      <c r="C3576" t="str">
        <f>'7D'!$BT$22</f>
        <v>STWC034</v>
      </c>
      <c r="D3576" t="str">
        <f>_xlfn.CONCAT('7D'!$B$19, "-", '7D'!$B$22, "-", '7D'!$J$7, "-", '7D'!$H$6, "-", '7D'!$E$5)</f>
        <v>Number of sewage treatment works-STWs in size band 3-B1-Tertiary-Treatment categories</v>
      </c>
      <c r="F3576" t="s">
        <v>17467</v>
      </c>
      <c r="G3576" s="2610">
        <f>'7D'!$J$22</f>
        <v>12</v>
      </c>
    </row>
    <row r="3577" spans="1:7">
      <c r="A3577" t="s">
        <v>17341</v>
      </c>
      <c r="C3577" t="str">
        <f>'7D'!$BU$22</f>
        <v>STWC035</v>
      </c>
      <c r="D3577" t="str">
        <f>_xlfn.CONCAT('7D'!$B$19, "-", '7D'!$B$22, "-", '7D'!$K$7, "-", '7D'!$H$6, "-", '7D'!$E$5)</f>
        <v>Number of sewage treatment works-STWs in size band 3-B2-Tertiary-Treatment categories</v>
      </c>
      <c r="F3577" t="s">
        <v>17467</v>
      </c>
      <c r="G3577" s="2610">
        <f>'7D'!$K$22</f>
        <v>3</v>
      </c>
    </row>
    <row r="3578" spans="1:7">
      <c r="A3578" t="s">
        <v>17341</v>
      </c>
      <c r="C3578" s="2602" t="str">
        <f>'7D'!$BV$22</f>
        <v>STWC110</v>
      </c>
      <c r="D3578" t="str">
        <f>_xlfn.CONCAT('7D'!$B$19, "-", '7D'!$B$22, "-", '7D'!$L$6, "-", '7D'!$L$6, "-", '7D'!$E$5)</f>
        <v>Number of sewage treatment works-STWs in size band 3-Total-Total-Treatment categories</v>
      </c>
      <c r="F3578" t="s">
        <v>17467</v>
      </c>
      <c r="G3578" s="2610">
        <f>'7D'!$L$22</f>
        <v>119</v>
      </c>
    </row>
    <row r="3579" spans="1:7">
      <c r="A3579" t="s">
        <v>17341</v>
      </c>
      <c r="C3579" t="str">
        <f>'7D'!$BX$22</f>
        <v>STWCP029</v>
      </c>
      <c r="D3579" t="str">
        <f>_xlfn.CONCAT('7D'!$B$19, "-", '7D'!$B$22, "-", '7D'!$N$7, "-", '7D'!$N$6, "-", '7D'!$N$5)</f>
        <v>Number of sewage treatment works-STWs in size band 3-&lt;=0.5mg/l-Phosphorus-Treatment works consents</v>
      </c>
      <c r="F3579" t="s">
        <v>17467</v>
      </c>
      <c r="G3579" s="2610">
        <f>'7D'!$N$22</f>
        <v>1</v>
      </c>
    </row>
    <row r="3580" spans="1:7">
      <c r="A3580" t="s">
        <v>17341</v>
      </c>
      <c r="C3580" t="str">
        <f>'7D'!$BY$22</f>
        <v>STWCP030</v>
      </c>
      <c r="D3580" t="str">
        <f>_xlfn.CONCAT('7D'!$B$19, "-", '7D'!$B$22, "-", '7D'!$O$7, "-", '7D'!$N$6, "-", '7D'!$N$5)</f>
        <v>Number of sewage treatment works-STWs in size band 3-&gt;0.5 to &lt;=1mg/l-Phosphorus-Treatment works consents</v>
      </c>
      <c r="F3580" t="s">
        <v>17467</v>
      </c>
      <c r="G3580" s="2610">
        <f>'7D'!$O$22</f>
        <v>2</v>
      </c>
    </row>
    <row r="3581" spans="1:7">
      <c r="A3581" t="s">
        <v>17341</v>
      </c>
      <c r="C3581" t="str">
        <f>'7D'!$BZ$22</f>
        <v>STWCP031</v>
      </c>
      <c r="D3581" t="str">
        <f>_xlfn.CONCAT('7D'!$B$19, "-", '7D'!$B$22, "-", '7D'!$P$7, "-", '7D'!$N$6, "-", '7D'!$N$5)</f>
        <v>Number of sewage treatment works-STWs in size band 3-&gt;1mg/l-Phosphorus-Treatment works consents</v>
      </c>
      <c r="F3581" t="s">
        <v>17467</v>
      </c>
      <c r="G3581" s="2610">
        <f>'7D'!$P$22</f>
        <v>0</v>
      </c>
    </row>
    <row r="3582" spans="1:7">
      <c r="A3582" t="s">
        <v>17341</v>
      </c>
      <c r="C3582" t="str">
        <f>'7D'!$CA$22</f>
        <v>STWCP032</v>
      </c>
      <c r="D3582" t="str">
        <f>_xlfn.CONCAT('7D'!$B$19, "-", '7D'!$B$22, "-", '7D'!$Q$7, "-", '7D'!$N$6, "-", '7D'!$N$5)</f>
        <v>Number of sewage treatment works-STWs in size band 3-No permit-Phosphorus-Treatment works consents</v>
      </c>
      <c r="F3582" t="s">
        <v>17467</v>
      </c>
      <c r="G3582" s="2610">
        <f>'7D'!$Q$22</f>
        <v>116</v>
      </c>
    </row>
    <row r="3583" spans="1:7">
      <c r="A3583" t="s">
        <v>17341</v>
      </c>
      <c r="C3583" s="2602" t="str">
        <f>'7D'!$CB$22</f>
        <v>STWCP033</v>
      </c>
      <c r="D3583" t="str">
        <f>_xlfn.CONCAT('7D'!$B$19, "-", '7D'!$B$22, "-", '7D'!$R$7, "-", '7D'!$N$6, "-", '7D'!$N$5)</f>
        <v>Number of sewage treatment works-STWs in size band 3-Total-Phosphorus-Treatment works consents</v>
      </c>
      <c r="F3583" t="s">
        <v>17467</v>
      </c>
      <c r="G3583" s="2610">
        <f>'7D'!$R$22</f>
        <v>119</v>
      </c>
    </row>
    <row r="3584" spans="1:7">
      <c r="A3584" t="s">
        <v>17341</v>
      </c>
      <c r="C3584" t="str">
        <f>'7D'!$CC$22</f>
        <v>STWCB029</v>
      </c>
      <c r="D3584" t="str">
        <f>_xlfn.CONCAT('7D'!$B$19, "-", '7D'!$B$22, "-", '7D'!$S$7, "-", '7D'!$S$6, "-", '7D'!$N$5)</f>
        <v>Number of sewage treatment works-STWs in size band 3-&lt;=7mg/l-BOD5-Treatment works consents</v>
      </c>
      <c r="F3584" t="s">
        <v>17467</v>
      </c>
      <c r="G3584" s="2610">
        <f>'7D'!$S$22</f>
        <v>0</v>
      </c>
    </row>
    <row r="3585" spans="1:7">
      <c r="A3585" t="s">
        <v>17341</v>
      </c>
      <c r="C3585" t="str">
        <f>'7D'!$CD$22</f>
        <v>STWCB030</v>
      </c>
      <c r="D3585" t="str">
        <f>_xlfn.CONCAT('7D'!$B$19, "-", '7D'!$B$22, "-", '7D'!$T$7, "-", '7D'!$S$6, "-", '7D'!$N$5)</f>
        <v>Number of sewage treatment works-STWs in size band 3-&gt;7 to &lt;=10mg/l-BOD5-Treatment works consents</v>
      </c>
      <c r="F3585" t="s">
        <v>17467</v>
      </c>
      <c r="G3585" s="2610">
        <f>'7D'!$T$22</f>
        <v>3</v>
      </c>
    </row>
    <row r="3586" spans="1:7">
      <c r="A3586" t="s">
        <v>17341</v>
      </c>
      <c r="C3586" t="str">
        <f>'7D'!$CE$22</f>
        <v>STWCB031</v>
      </c>
      <c r="D3586" t="str">
        <f>_xlfn.CONCAT('7D'!$B$19, "-", '7D'!$B$22, "-", '7D'!$U$7, "-", '7D'!$S$6, "-", '7D'!$N$5)</f>
        <v>Number of sewage treatment works-STWs in size band 3-&gt;10 to &lt;=20mg/l-BOD5-Treatment works consents</v>
      </c>
      <c r="F3586" t="s">
        <v>17467</v>
      </c>
      <c r="G3586" s="2610">
        <f>'7D'!$U$22</f>
        <v>19</v>
      </c>
    </row>
    <row r="3587" spans="1:7">
      <c r="A3587" t="s">
        <v>17341</v>
      </c>
      <c r="C3587" t="str">
        <f>'7D'!$CF$22</f>
        <v>STWCB032</v>
      </c>
      <c r="D3587" t="str">
        <f>_xlfn.CONCAT('7D'!$B$19, "-", '7D'!$B$22, "-", '7D'!$V$7, "-", '7D'!$S$6, "-", '7D'!$N$5)</f>
        <v>Number of sewage treatment works-STWs in size band 3-&gt;20mg/l-BOD5-Treatment works consents</v>
      </c>
      <c r="F3587" t="s">
        <v>17467</v>
      </c>
      <c r="G3587" s="2610">
        <f>'7D'!$V$22</f>
        <v>96</v>
      </c>
    </row>
    <row r="3588" spans="1:7">
      <c r="A3588" t="s">
        <v>17341</v>
      </c>
      <c r="C3588" t="str">
        <f>'7D'!$CG$22</f>
        <v>STWCB033</v>
      </c>
      <c r="D3588" t="str">
        <f>_xlfn.CONCAT('7D'!$B$19, "-", '7D'!$B$22, "-", '7D'!$W$7, "-", '7D'!$S$6, "-", '7D'!$N$5)</f>
        <v>Number of sewage treatment works-STWs in size band 3-No permit-BOD5-Treatment works consents</v>
      </c>
      <c r="F3588" t="s">
        <v>17467</v>
      </c>
      <c r="G3588" s="2610">
        <f>'7D'!$W$22</f>
        <v>1</v>
      </c>
    </row>
    <row r="3589" spans="1:7">
      <c r="A3589" t="s">
        <v>17341</v>
      </c>
      <c r="C3589" s="2602" t="str">
        <f>'7D'!$CH$22</f>
        <v>STWCB034</v>
      </c>
      <c r="D3589" t="str">
        <f>_xlfn.CONCAT('7D'!$B$19, "-", '7D'!$B$22, "-", '7D'!$X$7, "-", '7D'!$S$6, "-", '7D'!$N$5)</f>
        <v>Number of sewage treatment works-STWs in size band 3-Total-BOD5-Treatment works consents</v>
      </c>
      <c r="F3589" t="s">
        <v>17467</v>
      </c>
      <c r="G3589" s="2610">
        <f>'7D'!$X$22</f>
        <v>119</v>
      </c>
    </row>
    <row r="3590" spans="1:7">
      <c r="A3590" t="s">
        <v>17341</v>
      </c>
      <c r="C3590" t="str">
        <f>'7D'!$CI$22</f>
        <v>STWCA029</v>
      </c>
      <c r="D3590" t="str">
        <f>_xlfn.CONCAT('7D'!$B$19, "-", '7D'!$B$22, "-", '7D'!$Y$7, "-", '7D'!$Y$6, "-", '7D'!$N$5)</f>
        <v>Number of sewage treatment works-STWs in size band 3-&lt;=1mg/l-Ammonia-Treatment works consents</v>
      </c>
      <c r="F3590" t="s">
        <v>17467</v>
      </c>
      <c r="G3590" s="2610">
        <f>'7D'!$Y$22</f>
        <v>0</v>
      </c>
    </row>
    <row r="3591" spans="1:7">
      <c r="A3591" t="s">
        <v>17341</v>
      </c>
      <c r="C3591" t="str">
        <f>'7D'!$CJ$22</f>
        <v>STWCA030</v>
      </c>
      <c r="D3591" t="str">
        <f>_xlfn.CONCAT('7D'!$B$19, "-", '7D'!$B$22, "-", '7D'!$Z$7, "-", '7D'!$Y$6, "-", '7D'!$N$5)</f>
        <v>Number of sewage treatment works-STWs in size band 3-&gt;1 to &lt;=3mg/l-Ammonia-Treatment works consents</v>
      </c>
      <c r="F3591" t="s">
        <v>17467</v>
      </c>
      <c r="G3591" s="2610">
        <f>'7D'!$Z$22</f>
        <v>3</v>
      </c>
    </row>
    <row r="3592" spans="1:7">
      <c r="A3592" t="s">
        <v>17341</v>
      </c>
      <c r="C3592" t="str">
        <f>'7D'!$CK$22</f>
        <v>STWCA031</v>
      </c>
      <c r="D3592" t="str">
        <f>_xlfn.CONCAT('7D'!$B$19, "-", '7D'!$B$22, "-", '7D'!$AA$7, "-", '7D'!$Y$6, "-", '7D'!$N$5)</f>
        <v>Number of sewage treatment works-STWs in size band 3-&gt;3 to &lt;=10mg/l-Ammonia-Treatment works consents</v>
      </c>
      <c r="F3592" t="s">
        <v>17467</v>
      </c>
      <c r="G3592" s="2610">
        <f>'7D'!$AA$22</f>
        <v>24</v>
      </c>
    </row>
    <row r="3593" spans="1:7">
      <c r="A3593" t="s">
        <v>17341</v>
      </c>
      <c r="C3593" t="str">
        <f>'7D'!$CL$22</f>
        <v>STWCA032</v>
      </c>
      <c r="D3593" t="str">
        <f>_xlfn.CONCAT('7D'!$B$19, "-", '7D'!$B$22, "-", '7D'!$AB$7, "-", '7D'!$Y$6, "-", '7D'!$N$5)</f>
        <v>Number of sewage treatment works-STWs in size band 3-&gt;10mg/l-Ammonia-Treatment works consents</v>
      </c>
      <c r="F3593" t="s">
        <v>17467</v>
      </c>
      <c r="G3593" s="2610">
        <f>'7D'!$AB$22</f>
        <v>33</v>
      </c>
    </row>
    <row r="3594" spans="1:7">
      <c r="A3594" t="s">
        <v>17341</v>
      </c>
      <c r="C3594" t="str">
        <f>'7D'!$CM$22</f>
        <v>STWCA033</v>
      </c>
      <c r="D3594" t="str">
        <f>_xlfn.CONCAT('7D'!$B$19, "-", '7D'!$B$22, "-", '7D'!$AC$7, "-", '7D'!$Y$6, "-", '7D'!$N$5)</f>
        <v>Number of sewage treatment works-STWs in size band 3-No permit-Ammonia-Treatment works consents</v>
      </c>
      <c r="F3594" t="s">
        <v>17467</v>
      </c>
      <c r="G3594" s="2610">
        <f>'7D'!$AC$22</f>
        <v>59</v>
      </c>
    </row>
    <row r="3595" spans="1:7">
      <c r="A3595" t="s">
        <v>17341</v>
      </c>
      <c r="C3595" s="2602" t="str">
        <f>'7D'!$CN$22</f>
        <v>STWCA034</v>
      </c>
      <c r="D3595" t="str">
        <f>_xlfn.CONCAT('7D'!$B$19, "-", '7D'!$B$22, "-", '7D'!$AD$7, "-", '7D'!$Y$6, "-", '7D'!$N$5)</f>
        <v>Number of sewage treatment works-STWs in size band 3-Total-Ammonia-Treatment works consents</v>
      </c>
      <c r="F3595" t="s">
        <v>17467</v>
      </c>
      <c r="G3595" s="2610">
        <f>'7D'!$AD$22</f>
        <v>119</v>
      </c>
    </row>
    <row r="3596" spans="1:7">
      <c r="A3596" t="s">
        <v>17341</v>
      </c>
      <c r="C3596" t="str">
        <f>'7D'!$BO$23</f>
        <v>STWC043</v>
      </c>
      <c r="D3596" t="str">
        <f>_xlfn.CONCAT('7D'!$B$19, "-", '7D'!$B$23, "-", '7D'!$E$6, "-", '7D'!$E$6, "-", '7D'!$E$5)</f>
        <v>Number of sewage treatment works-STWs in size band 4-Primary-Primary-Treatment categories</v>
      </c>
      <c r="F3596" t="s">
        <v>17467</v>
      </c>
      <c r="G3596" s="2610">
        <f>'7D'!$E$23</f>
        <v>0</v>
      </c>
    </row>
    <row r="3597" spans="1:7">
      <c r="A3597" t="s">
        <v>17341</v>
      </c>
      <c r="C3597" t="str">
        <f>'7D'!$BP$23</f>
        <v>STWC044</v>
      </c>
      <c r="D3597" t="str">
        <f>_xlfn.CONCAT('7D'!$B$19, "-", '7D'!$B$23, "-", '7D'!$F$7, "-", '7D'!$F$6, "-", '7D'!$E$5)</f>
        <v>Number of sewage treatment works-STWs in size band 4-Activated Sludge-Secondary-Treatment categories</v>
      </c>
      <c r="F3597" t="s">
        <v>17467</v>
      </c>
      <c r="G3597" s="2610">
        <f>'7D'!$F$23</f>
        <v>15</v>
      </c>
    </row>
    <row r="3598" spans="1:7">
      <c r="A3598" t="s">
        <v>17341</v>
      </c>
      <c r="C3598" t="str">
        <f>'7D'!$BQ$23</f>
        <v>STWC045</v>
      </c>
      <c r="D3598" t="str">
        <f>_xlfn.CONCAT('7D'!$B$19, "-", '7D'!$B$23, "-", '7D'!$G$7, "-", '7D'!$F$6, "-", '7D'!$E$5)</f>
        <v>Number of sewage treatment works-STWs in size band 4-Biological-Secondary-Treatment categories</v>
      </c>
      <c r="F3598" t="s">
        <v>17467</v>
      </c>
      <c r="G3598" s="2610">
        <f>'7D'!$G$23</f>
        <v>34</v>
      </c>
    </row>
    <row r="3599" spans="1:7">
      <c r="A3599" t="s">
        <v>17341</v>
      </c>
      <c r="C3599" t="str">
        <f>'7D'!$BR$23</f>
        <v>STWC046</v>
      </c>
      <c r="D3599" t="str">
        <f>_xlfn.CONCAT('7D'!$B$19, "-", '7D'!$B$23, "-", '7D'!$H$7, "-", '7D'!$H$6, "-", '7D'!$E$5)</f>
        <v>Number of sewage treatment works-STWs in size band 4-A1-Tertiary-Treatment categories</v>
      </c>
      <c r="F3599" t="s">
        <v>17467</v>
      </c>
      <c r="G3599" s="2610">
        <f>'7D'!$H$23</f>
        <v>3</v>
      </c>
    </row>
    <row r="3600" spans="1:7">
      <c r="A3600" t="s">
        <v>17341</v>
      </c>
      <c r="C3600" t="str">
        <f>'7D'!$BS$23</f>
        <v>STWC047</v>
      </c>
      <c r="D3600" t="str">
        <f>_xlfn.CONCAT('7D'!$B$19, "-", '7D'!$B$23, "-", '7D'!$I$7, "-", '7D'!$H$6, "-", '7D'!$E$5)</f>
        <v>Number of sewage treatment works-STWs in size band 4-A2-Tertiary-Treatment categories</v>
      </c>
      <c r="F3600" t="s">
        <v>17467</v>
      </c>
      <c r="G3600" s="2610">
        <f>'7D'!$I$23</f>
        <v>8</v>
      </c>
    </row>
    <row r="3601" spans="1:7">
      <c r="A3601" t="s">
        <v>17341</v>
      </c>
      <c r="C3601" t="str">
        <f>'7D'!$BT$23</f>
        <v>STWC048</v>
      </c>
      <c r="D3601" t="str">
        <f>_xlfn.CONCAT('7D'!$B$19, "-", '7D'!$B$23, "-", '7D'!$J$7, "-", '7D'!$H$6, "-", '7D'!$E$5)</f>
        <v>Number of sewage treatment works-STWs in size band 4-B1-Tertiary-Treatment categories</v>
      </c>
      <c r="F3601" t="s">
        <v>17467</v>
      </c>
      <c r="G3601" s="2610">
        <f>'7D'!$J$23</f>
        <v>6</v>
      </c>
    </row>
    <row r="3602" spans="1:7">
      <c r="A3602" t="s">
        <v>17341</v>
      </c>
      <c r="C3602" t="str">
        <f>'7D'!$BU$23</f>
        <v>STWC049</v>
      </c>
      <c r="D3602" t="str">
        <f>_xlfn.CONCAT('7D'!$B$19, "-", '7D'!$B$23, "-", '7D'!$K$7, "-", '7D'!$H$6, "-", '7D'!$E$5)</f>
        <v>Number of sewage treatment works-STWs in size band 4-B2-Tertiary-Treatment categories</v>
      </c>
      <c r="F3602" t="s">
        <v>17467</v>
      </c>
      <c r="G3602" s="2610">
        <f>'7D'!$K$23</f>
        <v>10</v>
      </c>
    </row>
    <row r="3603" spans="1:7">
      <c r="A3603" t="s">
        <v>17341</v>
      </c>
      <c r="C3603" s="2602" t="str">
        <f>'7D'!$BV$23</f>
        <v>STWC111</v>
      </c>
      <c r="D3603" t="str">
        <f>_xlfn.CONCAT('7D'!$B$19, "-", '7D'!$B$23, "-", '7D'!$L$6, "-", '7D'!$L$6, "-", '7D'!$E$5)</f>
        <v>Number of sewage treatment works-STWs in size band 4-Total-Total-Treatment categories</v>
      </c>
      <c r="F3603" t="s">
        <v>17467</v>
      </c>
      <c r="G3603" s="2610">
        <f>'7D'!$L$23</f>
        <v>76</v>
      </c>
    </row>
    <row r="3604" spans="1:7">
      <c r="A3604" t="s">
        <v>17341</v>
      </c>
      <c r="C3604" t="str">
        <f>'7D'!$BX$23</f>
        <v>STWCP043</v>
      </c>
      <c r="D3604" t="str">
        <f>_xlfn.CONCAT('7D'!$B$19, "-", '7D'!$B$23, "-", '7D'!$N$7, "-", '7D'!$N$6, "-", '7D'!$N$5)</f>
        <v>Number of sewage treatment works-STWs in size band 4-&lt;=0.5mg/l-Phosphorus-Treatment works consents</v>
      </c>
      <c r="F3604" t="s">
        <v>17467</v>
      </c>
      <c r="G3604" s="2610">
        <f>'7D'!$N$23</f>
        <v>0</v>
      </c>
    </row>
    <row r="3605" spans="1:7">
      <c r="A3605" t="s">
        <v>17341</v>
      </c>
      <c r="C3605" t="str">
        <f>'7D'!$BY$23</f>
        <v>STWCP044</v>
      </c>
      <c r="D3605" t="str">
        <f>_xlfn.CONCAT('7D'!$B$19, "-", '7D'!$B$23, "-", '7D'!$O$7, "-", '7D'!$N$6, "-", '7D'!$N$5)</f>
        <v>Number of sewage treatment works-STWs in size band 4-&gt;0.5 to &lt;=1mg/l-Phosphorus-Treatment works consents</v>
      </c>
      <c r="F3605" t="s">
        <v>17467</v>
      </c>
      <c r="G3605" s="2610">
        <f>'7D'!$O$23</f>
        <v>12</v>
      </c>
    </row>
    <row r="3606" spans="1:7">
      <c r="A3606" t="s">
        <v>17341</v>
      </c>
      <c r="C3606" t="str">
        <f>'7D'!$BZ$23</f>
        <v>STWCP045</v>
      </c>
      <c r="D3606" t="str">
        <f>_xlfn.CONCAT('7D'!$B$19, "-", '7D'!$B$23, "-", '7D'!$P$7, "-", '7D'!$N$6, "-", '7D'!$N$5)</f>
        <v>Number of sewage treatment works-STWs in size band 4-&gt;1mg/l-Phosphorus-Treatment works consents</v>
      </c>
      <c r="F3606" t="s">
        <v>17467</v>
      </c>
      <c r="G3606" s="2610">
        <f>'7D'!$P$23</f>
        <v>4</v>
      </c>
    </row>
    <row r="3607" spans="1:7">
      <c r="A3607" t="s">
        <v>17341</v>
      </c>
      <c r="C3607" t="str">
        <f>'7D'!$CA$23</f>
        <v>STWCP046</v>
      </c>
      <c r="D3607" t="str">
        <f>_xlfn.CONCAT('7D'!$B$19, "-", '7D'!$B$23, "-", '7D'!$Q$7, "-", '7D'!$N$6, "-", '7D'!$N$5)</f>
        <v>Number of sewage treatment works-STWs in size band 4-No permit-Phosphorus-Treatment works consents</v>
      </c>
      <c r="F3607" t="s">
        <v>17467</v>
      </c>
      <c r="G3607" s="2610">
        <f>'7D'!$Q$23</f>
        <v>60</v>
      </c>
    </row>
    <row r="3608" spans="1:7">
      <c r="A3608" t="s">
        <v>17341</v>
      </c>
      <c r="C3608" s="2602" t="str">
        <f>'7D'!$CB$23</f>
        <v>STWCP047</v>
      </c>
      <c r="D3608" t="str">
        <f>_xlfn.CONCAT('7D'!$B$19, "-", '7D'!$B$23, "-", '7D'!$R$7, "-", '7D'!$N$6, "-", '7D'!$N$5)</f>
        <v>Number of sewage treatment works-STWs in size band 4-Total-Phosphorus-Treatment works consents</v>
      </c>
      <c r="F3608" t="s">
        <v>17467</v>
      </c>
      <c r="G3608" s="2610">
        <f>'7D'!$R$23</f>
        <v>76</v>
      </c>
    </row>
    <row r="3609" spans="1:7">
      <c r="A3609" t="s">
        <v>17341</v>
      </c>
      <c r="C3609" t="str">
        <f>'7D'!$CC$23</f>
        <v>STWCB043</v>
      </c>
      <c r="D3609" t="str">
        <f>_xlfn.CONCAT('7D'!$B$19, "-", '7D'!$B$23, "-", '7D'!$S$7, "-", '7D'!$S$6, "-", '7D'!$N$5)</f>
        <v>Number of sewage treatment works-STWs in size band 4-&lt;=7mg/l-BOD5-Treatment works consents</v>
      </c>
      <c r="F3609" t="s">
        <v>17467</v>
      </c>
      <c r="G3609" s="2610">
        <f>'7D'!$S$23</f>
        <v>1</v>
      </c>
    </row>
    <row r="3610" spans="1:7">
      <c r="A3610" t="s">
        <v>17341</v>
      </c>
      <c r="C3610" t="str">
        <f>'7D'!$CD$23</f>
        <v>STWCB044</v>
      </c>
      <c r="D3610" t="str">
        <f>_xlfn.CONCAT('7D'!$B$19, "-", '7D'!$B$23, "-", '7D'!$T$7, "-", '7D'!$S$6, "-", '7D'!$N$5)</f>
        <v>Number of sewage treatment works-STWs in size band 4-&gt;7 to &lt;=10mg/l-BOD5-Treatment works consents</v>
      </c>
      <c r="F3610" t="s">
        <v>17467</v>
      </c>
      <c r="G3610" s="2610">
        <f>'7D'!$T$23</f>
        <v>4</v>
      </c>
    </row>
    <row r="3611" spans="1:7">
      <c r="A3611" t="s">
        <v>17341</v>
      </c>
      <c r="C3611" t="str">
        <f>'7D'!$CE$23</f>
        <v>STWCB045</v>
      </c>
      <c r="D3611" t="str">
        <f>_xlfn.CONCAT('7D'!$B$19, "-", '7D'!$B$23, "-", '7D'!$U$7, "-", '7D'!$S$6, "-", '7D'!$N$5)</f>
        <v>Number of sewage treatment works-STWs in size band 4-&gt;10 to &lt;=20mg/l-BOD5-Treatment works consents</v>
      </c>
      <c r="F3611" t="s">
        <v>17467</v>
      </c>
      <c r="G3611" s="2610">
        <f>'7D'!$U$23</f>
        <v>15</v>
      </c>
    </row>
    <row r="3612" spans="1:7">
      <c r="A3612" t="s">
        <v>17341</v>
      </c>
      <c r="C3612" t="str">
        <f>'7D'!$CF$23</f>
        <v>STWCB046</v>
      </c>
      <c r="D3612" t="str">
        <f>_xlfn.CONCAT('7D'!$B$19, "-", '7D'!$B$23, "-", '7D'!$V$7, "-", '7D'!$S$6, "-", '7D'!$N$5)</f>
        <v>Number of sewage treatment works-STWs in size band 4-&gt;20mg/l-BOD5-Treatment works consents</v>
      </c>
      <c r="F3612" t="s">
        <v>17467</v>
      </c>
      <c r="G3612" s="2610">
        <f>'7D'!$V$23</f>
        <v>56</v>
      </c>
    </row>
    <row r="3613" spans="1:7">
      <c r="A3613" t="s">
        <v>17341</v>
      </c>
      <c r="C3613" t="str">
        <f>'7D'!$CG$23</f>
        <v>STWCB047</v>
      </c>
      <c r="D3613" t="str">
        <f>_xlfn.CONCAT('7D'!$B$19, "-", '7D'!$B$23, "-", '7D'!$W$7, "-", '7D'!$S$6, "-", '7D'!$N$5)</f>
        <v>Number of sewage treatment works-STWs in size band 4-No permit-BOD5-Treatment works consents</v>
      </c>
      <c r="F3613" t="s">
        <v>17467</v>
      </c>
      <c r="G3613" s="2610">
        <f>'7D'!$W$23</f>
        <v>0</v>
      </c>
    </row>
    <row r="3614" spans="1:7">
      <c r="A3614" t="s">
        <v>17341</v>
      </c>
      <c r="C3614" s="2602" t="str">
        <f>'7D'!$CH$23</f>
        <v>STWCB048</v>
      </c>
      <c r="D3614" t="str">
        <f>_xlfn.CONCAT('7D'!$B$19, "-", '7D'!$B$23, "-", '7D'!$X$7, "-", '7D'!$S$6, "-", '7D'!$N$5)</f>
        <v>Number of sewage treatment works-STWs in size band 4-Total-BOD5-Treatment works consents</v>
      </c>
      <c r="F3614" t="s">
        <v>17467</v>
      </c>
      <c r="G3614" s="2610">
        <f>'7D'!$X$23</f>
        <v>76</v>
      </c>
    </row>
    <row r="3615" spans="1:7">
      <c r="A3615" t="s">
        <v>17341</v>
      </c>
      <c r="C3615" t="str">
        <f>'7D'!$CI$23</f>
        <v>STWCA043</v>
      </c>
      <c r="D3615" t="str">
        <f>_xlfn.CONCAT('7D'!$B$19, "-", '7D'!$B$23, "-", '7D'!$Y$7, "-", '7D'!$Y$6, "-", '7D'!$N$5)</f>
        <v>Number of sewage treatment works-STWs in size band 4-&lt;=1mg/l-Ammonia-Treatment works consents</v>
      </c>
      <c r="F3615" t="s">
        <v>17467</v>
      </c>
      <c r="G3615" s="2610">
        <f>'7D'!$Y$23</f>
        <v>0</v>
      </c>
    </row>
    <row r="3616" spans="1:7">
      <c r="A3616" t="s">
        <v>17341</v>
      </c>
      <c r="C3616" t="str">
        <f>'7D'!$CJ$23</f>
        <v>STWCA044</v>
      </c>
      <c r="D3616" t="str">
        <f>_xlfn.CONCAT('7D'!$B$19, "-", '7D'!$B$23, "-", '7D'!$Z$7, "-", '7D'!$Y$6, "-", '7D'!$N$5)</f>
        <v>Number of sewage treatment works-STWs in size band 4-&gt;1 to &lt;=3mg/l-Ammonia-Treatment works consents</v>
      </c>
      <c r="F3616" t="s">
        <v>17467</v>
      </c>
      <c r="G3616" s="2610">
        <f>'7D'!$Z$23</f>
        <v>3</v>
      </c>
    </row>
    <row r="3617" spans="1:7">
      <c r="A3617" t="s">
        <v>17341</v>
      </c>
      <c r="C3617" t="str">
        <f>'7D'!$CK$23</f>
        <v>STWCA045</v>
      </c>
      <c r="D3617" t="str">
        <f>_xlfn.CONCAT('7D'!$B$19, "-", '7D'!$B$23, "-", '7D'!$AA$7, "-", '7D'!$Y$6, "-", '7D'!$N$5)</f>
        <v>Number of sewage treatment works-STWs in size band 4-&gt;3 to &lt;=10mg/l-Ammonia-Treatment works consents</v>
      </c>
      <c r="F3617" t="s">
        <v>17467</v>
      </c>
      <c r="G3617" s="2610">
        <f>'7D'!$AA$23</f>
        <v>22</v>
      </c>
    </row>
    <row r="3618" spans="1:7">
      <c r="A3618" t="s">
        <v>17341</v>
      </c>
      <c r="C3618" t="str">
        <f>'7D'!$CL$23</f>
        <v>STWCA046</v>
      </c>
      <c r="D3618" t="str">
        <f>_xlfn.CONCAT('7D'!$B$19, "-", '7D'!$B$23, "-", '7D'!$AB$7, "-", '7D'!$Y$6, "-", '7D'!$N$5)</f>
        <v>Number of sewage treatment works-STWs in size band 4-&gt;10mg/l-Ammonia-Treatment works consents</v>
      </c>
      <c r="F3618" t="s">
        <v>17467</v>
      </c>
      <c r="G3618" s="2610">
        <f>'7D'!$AB$23</f>
        <v>19</v>
      </c>
    </row>
    <row r="3619" spans="1:7">
      <c r="A3619" t="s">
        <v>17341</v>
      </c>
      <c r="C3619" t="str">
        <f>'7D'!$CM$23</f>
        <v>STWCA047</v>
      </c>
      <c r="D3619" t="str">
        <f>_xlfn.CONCAT('7D'!$B$19, "-", '7D'!$B$23, "-", '7D'!$AC$7, "-", '7D'!$Y$6, "-", '7D'!$N$5)</f>
        <v>Number of sewage treatment works-STWs in size band 4-No permit-Ammonia-Treatment works consents</v>
      </c>
      <c r="F3619" t="s">
        <v>17467</v>
      </c>
      <c r="G3619" s="2610">
        <f>'7D'!$AC$23</f>
        <v>32</v>
      </c>
    </row>
    <row r="3620" spans="1:7">
      <c r="A3620" t="s">
        <v>17341</v>
      </c>
      <c r="C3620" s="2602" t="str">
        <f>'7D'!$CN$23</f>
        <v>STWCA048</v>
      </c>
      <c r="D3620" t="str">
        <f>_xlfn.CONCAT('7D'!$B$19, "-", '7D'!$B$23, "-", '7D'!$AD$7, "-", '7D'!$Y$6, "-", '7D'!$N$5)</f>
        <v>Number of sewage treatment works-STWs in size band 4-Total-Ammonia-Treatment works consents</v>
      </c>
      <c r="F3620" t="s">
        <v>17467</v>
      </c>
      <c r="G3620" s="2610">
        <f>'7D'!$AD$23</f>
        <v>76</v>
      </c>
    </row>
    <row r="3621" spans="1:7">
      <c r="A3621" t="s">
        <v>17341</v>
      </c>
      <c r="C3621" t="str">
        <f>'7D'!$BO$24</f>
        <v>STWC057</v>
      </c>
      <c r="D3621" t="str">
        <f>_xlfn.CONCAT('7D'!$B$19, "-", '7D'!$B$24, "-", '7D'!$E$6, "-", '7D'!$E$6, "-", '7D'!$E$5)</f>
        <v>Number of sewage treatment works-STWs in size band 5-Primary-Primary-Treatment categories</v>
      </c>
      <c r="F3621" t="s">
        <v>17467</v>
      </c>
      <c r="G3621" s="2610">
        <f>'7D'!$E$24</f>
        <v>0</v>
      </c>
    </row>
    <row r="3622" spans="1:7">
      <c r="A3622" t="s">
        <v>17341</v>
      </c>
      <c r="C3622" t="str">
        <f>'7D'!$BP$24</f>
        <v>STWC058</v>
      </c>
      <c r="D3622" t="str">
        <f>_xlfn.CONCAT('7D'!$B$19, "-", '7D'!$B$24, "-", '7D'!$F$7, "-", '7D'!$F$6, "-", '7D'!$E$5)</f>
        <v>Number of sewage treatment works-STWs in size band 5-Activated Sludge-Secondary-Treatment categories</v>
      </c>
      <c r="F3622" t="s">
        <v>17467</v>
      </c>
      <c r="G3622" s="2610">
        <f>'7D'!$F$24</f>
        <v>6</v>
      </c>
    </row>
    <row r="3623" spans="1:7">
      <c r="A3623" t="s">
        <v>17341</v>
      </c>
      <c r="C3623" t="str">
        <f>'7D'!$BQ$24</f>
        <v>STWC059</v>
      </c>
      <c r="D3623" t="str">
        <f>_xlfn.CONCAT('7D'!$B$19, "-", '7D'!$B$24, "-", '7D'!$G$7, "-", '7D'!$F$6, "-", '7D'!$E$5)</f>
        <v>Number of sewage treatment works-STWs in size band 5-Biological-Secondary-Treatment categories</v>
      </c>
      <c r="F3623" t="s">
        <v>17467</v>
      </c>
      <c r="G3623" s="2610">
        <f>'7D'!$G$24</f>
        <v>4</v>
      </c>
    </row>
    <row r="3624" spans="1:7">
      <c r="A3624" t="s">
        <v>17341</v>
      </c>
      <c r="C3624" t="str">
        <f>'7D'!$BR$24</f>
        <v>STWC060</v>
      </c>
      <c r="D3624" t="str">
        <f>_xlfn.CONCAT('7D'!$B$19, "-", '7D'!$B$24, "-", '7D'!$H$7, "-", '7D'!$H$6, "-", '7D'!$E$5)</f>
        <v>Number of sewage treatment works-STWs in size band 5-A1-Tertiary-Treatment categories</v>
      </c>
      <c r="F3624" t="s">
        <v>17467</v>
      </c>
      <c r="G3624" s="2610">
        <f>'7D'!$H$24</f>
        <v>4</v>
      </c>
    </row>
    <row r="3625" spans="1:7">
      <c r="A3625" t="s">
        <v>17341</v>
      </c>
      <c r="C3625" t="str">
        <f>'7D'!$BS$24</f>
        <v>STWC061</v>
      </c>
      <c r="D3625" t="str">
        <f>_xlfn.CONCAT('7D'!$B$19, "-", '7D'!$B$24, "-", '7D'!$I$7, "-", '7D'!$H$6, "-", '7D'!$E$5)</f>
        <v>Number of sewage treatment works-STWs in size band 5-A2-Tertiary-Treatment categories</v>
      </c>
      <c r="F3625" t="s">
        <v>17467</v>
      </c>
      <c r="G3625" s="2610">
        <f>'7D'!$I$24</f>
        <v>4</v>
      </c>
    </row>
    <row r="3626" spans="1:7">
      <c r="A3626" t="s">
        <v>17341</v>
      </c>
      <c r="C3626" t="str">
        <f>'7D'!$BT$24</f>
        <v>STWC062</v>
      </c>
      <c r="D3626" t="str">
        <f>_xlfn.CONCAT('7D'!$B$19, "-", '7D'!$B$24, "-", '7D'!$J$7, "-", '7D'!$H$6, "-", '7D'!$E$5)</f>
        <v>Number of sewage treatment works-STWs in size band 5-B1-Tertiary-Treatment categories</v>
      </c>
      <c r="F3626" t="s">
        <v>17467</v>
      </c>
      <c r="G3626" s="2610">
        <f>'7D'!$J$24</f>
        <v>6</v>
      </c>
    </row>
    <row r="3627" spans="1:7">
      <c r="A3627" t="s">
        <v>17341</v>
      </c>
      <c r="C3627" t="str">
        <f>'7D'!$BU$24</f>
        <v>STWC063</v>
      </c>
      <c r="D3627" t="str">
        <f>_xlfn.CONCAT('7D'!$B$19, "-", '7D'!$B$24, "-", '7D'!$K$7, "-", '7D'!$H$6, "-", '7D'!$E$5)</f>
        <v>Number of sewage treatment works-STWs in size band 5-B2-Tertiary-Treatment categories</v>
      </c>
      <c r="F3627" t="s">
        <v>17467</v>
      </c>
      <c r="G3627" s="2610">
        <f>'7D'!$K$24</f>
        <v>4</v>
      </c>
    </row>
    <row r="3628" spans="1:7">
      <c r="A3628" t="s">
        <v>17341</v>
      </c>
      <c r="C3628" s="2602" t="str">
        <f>'7D'!$BV$24</f>
        <v>STWC112</v>
      </c>
      <c r="D3628" t="str">
        <f>_xlfn.CONCAT('7D'!$B$19, "-", '7D'!$B$24, "-", '7D'!$L$6, "-", '7D'!$L$6, "-", '7D'!$E$5)</f>
        <v>Number of sewage treatment works-STWs in size band 5-Total-Total-Treatment categories</v>
      </c>
      <c r="F3628" t="s">
        <v>17467</v>
      </c>
      <c r="G3628" s="2610">
        <f>'7D'!$L$24</f>
        <v>28</v>
      </c>
    </row>
    <row r="3629" spans="1:7">
      <c r="A3629" t="s">
        <v>17341</v>
      </c>
      <c r="C3629" t="str">
        <f>'7D'!$BX$24</f>
        <v>STWCP057</v>
      </c>
      <c r="D3629" t="str">
        <f>_xlfn.CONCAT('7D'!$B$19, "-", '7D'!$B$24, "-", '7D'!$N$7, "-", '7D'!$N$6, "-", '7D'!$N$5)</f>
        <v>Number of sewage treatment works-STWs in size band 5-&lt;=0.5mg/l-Phosphorus-Treatment works consents</v>
      </c>
      <c r="F3629" t="s">
        <v>17467</v>
      </c>
      <c r="G3629" s="2610">
        <f>'7D'!$N$24</f>
        <v>0</v>
      </c>
    </row>
    <row r="3630" spans="1:7">
      <c r="A3630" t="s">
        <v>17341</v>
      </c>
      <c r="C3630" t="str">
        <f>'7D'!$BY$24</f>
        <v>STWCP058</v>
      </c>
      <c r="D3630" t="str">
        <f>_xlfn.CONCAT('7D'!$B$19, "-", '7D'!$B$24, "-", '7D'!$O$7, "-", '7D'!$N$6, "-", '7D'!$N$5)</f>
        <v>Number of sewage treatment works-STWs in size band 5-&gt;0.5 to &lt;=1mg/l-Phosphorus-Treatment works consents</v>
      </c>
      <c r="F3630" t="s">
        <v>17467</v>
      </c>
      <c r="G3630" s="2610">
        <f>'7D'!$O$24</f>
        <v>8</v>
      </c>
    </row>
    <row r="3631" spans="1:7">
      <c r="A3631" t="s">
        <v>17341</v>
      </c>
      <c r="C3631" t="str">
        <f>'7D'!$BZ$24</f>
        <v>STWCP059</v>
      </c>
      <c r="D3631" t="str">
        <f>_xlfn.CONCAT('7D'!$B$19, "-", '7D'!$B$24, "-", '7D'!$P$7, "-", '7D'!$N$6, "-", '7D'!$N$5)</f>
        <v>Number of sewage treatment works-STWs in size band 5-&gt;1mg/l-Phosphorus-Treatment works consents</v>
      </c>
      <c r="F3631" t="s">
        <v>17467</v>
      </c>
      <c r="G3631" s="2610">
        <f>'7D'!$P$24</f>
        <v>7</v>
      </c>
    </row>
    <row r="3632" spans="1:7">
      <c r="A3632" t="s">
        <v>17341</v>
      </c>
      <c r="C3632" t="str">
        <f>'7D'!$CA$24</f>
        <v>STWCP060</v>
      </c>
      <c r="D3632" t="str">
        <f>_xlfn.CONCAT('7D'!$B$19, "-", '7D'!$B$24, "-", '7D'!$Q$7, "-", '7D'!$N$6, "-", '7D'!$N$5)</f>
        <v>Number of sewage treatment works-STWs in size band 5-No permit-Phosphorus-Treatment works consents</v>
      </c>
      <c r="F3632" t="s">
        <v>17467</v>
      </c>
      <c r="G3632" s="2610">
        <f>'7D'!$Q$24</f>
        <v>13</v>
      </c>
    </row>
    <row r="3633" spans="1:7">
      <c r="A3633" t="s">
        <v>17341</v>
      </c>
      <c r="C3633" s="2602" t="str">
        <f>'7D'!$CB$24</f>
        <v>STWCP061</v>
      </c>
      <c r="D3633" t="str">
        <f>_xlfn.CONCAT('7D'!$B$19, "-", '7D'!$B$24, "-", '7D'!$R$7, "-", '7D'!$N$6, "-", '7D'!$N$5)</f>
        <v>Number of sewage treatment works-STWs in size band 5-Total-Phosphorus-Treatment works consents</v>
      </c>
      <c r="F3633" t="s">
        <v>17467</v>
      </c>
      <c r="G3633" s="2610">
        <f>'7D'!$R$24</f>
        <v>28</v>
      </c>
    </row>
    <row r="3634" spans="1:7">
      <c r="A3634" t="s">
        <v>17341</v>
      </c>
      <c r="C3634" t="str">
        <f>'7D'!$CC$24</f>
        <v>STWCB057</v>
      </c>
      <c r="D3634" t="str">
        <f>_xlfn.CONCAT('7D'!$B$19, "-", '7D'!$B$24, "-", '7D'!$S$7, "-", '7D'!$S$6, "-", '7D'!$N$5)</f>
        <v>Number of sewage treatment works-STWs in size band 5-&lt;=7mg/l-BOD5-Treatment works consents</v>
      </c>
      <c r="F3634" t="s">
        <v>17467</v>
      </c>
      <c r="G3634" s="2610">
        <f>'7D'!$S$24</f>
        <v>1</v>
      </c>
    </row>
    <row r="3635" spans="1:7">
      <c r="A3635" t="s">
        <v>17341</v>
      </c>
      <c r="C3635" t="str">
        <f>'7D'!$CD$24</f>
        <v>STWCB058</v>
      </c>
      <c r="D3635" t="str">
        <f>_xlfn.CONCAT('7D'!$B$19, "-", '7D'!$B$24, "-", '7D'!$T$7, "-", '7D'!$S$6, "-", '7D'!$N$5)</f>
        <v>Number of sewage treatment works-STWs in size band 5-&gt;7 to &lt;=10mg/l-BOD5-Treatment works consents</v>
      </c>
      <c r="F3635" t="s">
        <v>17467</v>
      </c>
      <c r="G3635" s="2610">
        <f>'7D'!$T$24</f>
        <v>4</v>
      </c>
    </row>
    <row r="3636" spans="1:7">
      <c r="A3636" t="s">
        <v>17341</v>
      </c>
      <c r="C3636" t="str">
        <f>'7D'!$CE$24</f>
        <v>STWCB059</v>
      </c>
      <c r="D3636" t="str">
        <f>_xlfn.CONCAT('7D'!$B$19, "-", '7D'!$B$24, "-", '7D'!$U$7, "-", '7D'!$S$6, "-", '7D'!$N$5)</f>
        <v>Number of sewage treatment works-STWs in size band 5-&gt;10 to &lt;=20mg/l-BOD5-Treatment works consents</v>
      </c>
      <c r="F3636" t="s">
        <v>17467</v>
      </c>
      <c r="G3636" s="2610">
        <f>'7D'!$U$24</f>
        <v>4</v>
      </c>
    </row>
    <row r="3637" spans="1:7">
      <c r="A3637" t="s">
        <v>17341</v>
      </c>
      <c r="C3637" t="str">
        <f>'7D'!$CF$24</f>
        <v>STWCB060</v>
      </c>
      <c r="D3637" t="str">
        <f>_xlfn.CONCAT('7D'!$B$19, "-", '7D'!$B$24, "-", '7D'!$V$7, "-", '7D'!$S$6, "-", '7D'!$N$5)</f>
        <v>Number of sewage treatment works-STWs in size band 5-&gt;20mg/l-BOD5-Treatment works consents</v>
      </c>
      <c r="F3637" t="s">
        <v>17467</v>
      </c>
      <c r="G3637" s="2610">
        <f>'7D'!$V$24</f>
        <v>19</v>
      </c>
    </row>
    <row r="3638" spans="1:7">
      <c r="A3638" t="s">
        <v>17341</v>
      </c>
      <c r="C3638" t="str">
        <f>'7D'!$CG$24</f>
        <v>STWCB061</v>
      </c>
      <c r="D3638" t="str">
        <f>_xlfn.CONCAT('7D'!$B$19, "-", '7D'!$B$24, "-", '7D'!$W$7, "-", '7D'!$S$6, "-", '7D'!$N$5)</f>
        <v>Number of sewage treatment works-STWs in size band 5-No permit-BOD5-Treatment works consents</v>
      </c>
      <c r="F3638" t="s">
        <v>17467</v>
      </c>
      <c r="G3638" s="2610">
        <f>'7D'!$W$24</f>
        <v>0</v>
      </c>
    </row>
    <row r="3639" spans="1:7">
      <c r="A3639" t="s">
        <v>17341</v>
      </c>
      <c r="C3639" s="2602" t="str">
        <f>'7D'!$CH$24</f>
        <v>STWCB062</v>
      </c>
      <c r="D3639" t="str">
        <f>_xlfn.CONCAT('7D'!$B$19, "-", '7D'!$B$24, "-", '7D'!$X$7, "-", '7D'!$S$6, "-", '7D'!$N$5)</f>
        <v>Number of sewage treatment works-STWs in size band 5-Total-BOD5-Treatment works consents</v>
      </c>
      <c r="F3639" t="s">
        <v>17467</v>
      </c>
      <c r="G3639" s="2610">
        <f>'7D'!$X$24</f>
        <v>28</v>
      </c>
    </row>
    <row r="3640" spans="1:7">
      <c r="A3640" t="s">
        <v>17341</v>
      </c>
      <c r="C3640" t="str">
        <f>'7D'!$CI$24</f>
        <v>STWCA057</v>
      </c>
      <c r="D3640" t="str">
        <f>_xlfn.CONCAT('7D'!$B$19, "-", '7D'!$B$24, "-", '7D'!$Y$7, "-", '7D'!$Y$6, "-", '7D'!$N$5)</f>
        <v>Number of sewage treatment works-STWs in size band 5-&lt;=1mg/l-Ammonia-Treatment works consents</v>
      </c>
      <c r="F3640" t="s">
        <v>17467</v>
      </c>
      <c r="G3640" s="2610">
        <f>'7D'!$Y$24</f>
        <v>0</v>
      </c>
    </row>
    <row r="3641" spans="1:7">
      <c r="A3641" t="s">
        <v>17341</v>
      </c>
      <c r="C3641" t="str">
        <f>'7D'!$CJ$24</f>
        <v>STWCA058</v>
      </c>
      <c r="D3641" t="str">
        <f>_xlfn.CONCAT('7D'!$B$19, "-", '7D'!$B$24, "-", '7D'!$Z$7, "-", '7D'!$Y$6, "-", '7D'!$N$5)</f>
        <v>Number of sewage treatment works-STWs in size band 5-&gt;1 to &lt;=3mg/l-Ammonia-Treatment works consents</v>
      </c>
      <c r="F3641" t="s">
        <v>17467</v>
      </c>
      <c r="G3641" s="2610">
        <f>'7D'!$Z$24</f>
        <v>5</v>
      </c>
    </row>
    <row r="3642" spans="1:7">
      <c r="A3642" t="s">
        <v>17341</v>
      </c>
      <c r="C3642" t="str">
        <f>'7D'!$CK$24</f>
        <v>STWCA059</v>
      </c>
      <c r="D3642" t="str">
        <f>_xlfn.CONCAT('7D'!$B$19, "-", '7D'!$B$24, "-", '7D'!$AA$7, "-", '7D'!$Y$6, "-", '7D'!$N$5)</f>
        <v>Number of sewage treatment works-STWs in size band 5-&gt;3 to &lt;=10mg/l-Ammonia-Treatment works consents</v>
      </c>
      <c r="F3642" t="s">
        <v>17467</v>
      </c>
      <c r="G3642" s="2610">
        <f>'7D'!$AA$24</f>
        <v>7</v>
      </c>
    </row>
    <row r="3643" spans="1:7">
      <c r="A3643" t="s">
        <v>17341</v>
      </c>
      <c r="C3643" t="str">
        <f>'7D'!$CL$24</f>
        <v>STWCA060</v>
      </c>
      <c r="D3643" t="str">
        <f>_xlfn.CONCAT('7D'!$B$19, "-", '7D'!$B$24, "-", '7D'!$AB$7, "-", '7D'!$Y$6, "-", '7D'!$N$5)</f>
        <v>Number of sewage treatment works-STWs in size band 5-&gt;10mg/l-Ammonia-Treatment works consents</v>
      </c>
      <c r="F3643" t="s">
        <v>17467</v>
      </c>
      <c r="G3643" s="2610">
        <f>'7D'!$AB$24</f>
        <v>6</v>
      </c>
    </row>
    <row r="3644" spans="1:7">
      <c r="A3644" t="s">
        <v>17341</v>
      </c>
      <c r="C3644" t="str">
        <f>'7D'!$CM$24</f>
        <v>STWCA061</v>
      </c>
      <c r="D3644" t="str">
        <f>_xlfn.CONCAT('7D'!$B$19, "-", '7D'!$B$24, "-", '7D'!$AC$7, "-", '7D'!$Y$6, "-", '7D'!$N$5)</f>
        <v>Number of sewage treatment works-STWs in size band 5-No permit-Ammonia-Treatment works consents</v>
      </c>
      <c r="F3644" t="s">
        <v>17467</v>
      </c>
      <c r="G3644" s="2610">
        <f>'7D'!$AC$24</f>
        <v>10</v>
      </c>
    </row>
    <row r="3645" spans="1:7">
      <c r="A3645" t="s">
        <v>17341</v>
      </c>
      <c r="C3645" s="2602" t="str">
        <f>'7D'!$CN$24</f>
        <v>STWCA062</v>
      </c>
      <c r="D3645" t="str">
        <f>_xlfn.CONCAT('7D'!$B$19, "-", '7D'!$B$24, "-", '7D'!$AD$7, "-", '7D'!$Y$6, "-", '7D'!$N$5)</f>
        <v>Number of sewage treatment works-STWs in size band 5-Total-Ammonia-Treatment works consents</v>
      </c>
      <c r="F3645" t="s">
        <v>17467</v>
      </c>
      <c r="G3645" s="2610">
        <f>'7D'!$AD$24</f>
        <v>28</v>
      </c>
    </row>
    <row r="3646" spans="1:7">
      <c r="A3646" t="s">
        <v>17341</v>
      </c>
      <c r="C3646" t="str">
        <f>'7D'!$BO$25</f>
        <v>STWC101</v>
      </c>
      <c r="D3646" t="str">
        <f>_xlfn.CONCAT('7D'!$B$19, "-", '7D'!$B$25, "-", '7D'!$E$6, "-", '7D'!$E$6, "-", '7D'!$E$5)</f>
        <v>Number of sewage treatment works-STWs above size band 5-Primary-Primary-Treatment categories</v>
      </c>
      <c r="F3646" t="s">
        <v>17467</v>
      </c>
      <c r="G3646" s="2610">
        <f>'7D'!$E$25</f>
        <v>0</v>
      </c>
    </row>
    <row r="3647" spans="1:7">
      <c r="A3647" t="s">
        <v>17341</v>
      </c>
      <c r="C3647" t="str">
        <f>'7D'!$BP$25</f>
        <v>STWC102</v>
      </c>
      <c r="D3647" t="str">
        <f>_xlfn.CONCAT('7D'!$B$19, "-", '7D'!$B$25, "-", '7D'!$F$7, "-", '7D'!$F$6, "-", '7D'!$E$5)</f>
        <v>Number of sewage treatment works-STWs above size band 5-Activated Sludge-Secondary-Treatment categories</v>
      </c>
      <c r="F3647" t="s">
        <v>17467</v>
      </c>
      <c r="G3647" s="2610">
        <f>'7D'!$F$25</f>
        <v>9</v>
      </c>
    </row>
    <row r="3648" spans="1:7">
      <c r="A3648" t="s">
        <v>17341</v>
      </c>
      <c r="C3648" t="str">
        <f>'7D'!$BQ$25</f>
        <v>STWC103</v>
      </c>
      <c r="D3648" t="str">
        <f>_xlfn.CONCAT('7D'!$B$19, "-", '7D'!$B$25, "-", '7D'!$G$7, "-", '7D'!$F$6, "-", '7D'!$E$5)</f>
        <v>Number of sewage treatment works-STWs above size band 5-Biological-Secondary-Treatment categories</v>
      </c>
      <c r="F3648" t="s">
        <v>17467</v>
      </c>
      <c r="G3648" s="2610">
        <f>'7D'!$G$25</f>
        <v>1</v>
      </c>
    </row>
    <row r="3649" spans="1:7">
      <c r="A3649" t="s">
        <v>17341</v>
      </c>
      <c r="C3649" t="str">
        <f>'7D'!$BR$25</f>
        <v>STWC104</v>
      </c>
      <c r="D3649" t="str">
        <f>_xlfn.CONCAT('7D'!$B$19, "-", '7D'!$B$25, "-", '7D'!$H$7, "-", '7D'!$H$6, "-", '7D'!$E$5)</f>
        <v>Number of sewage treatment works-STWs above size band 5-A1-Tertiary-Treatment categories</v>
      </c>
      <c r="F3649" t="s">
        <v>17467</v>
      </c>
      <c r="G3649" s="2610">
        <f>'7D'!$H$25</f>
        <v>0</v>
      </c>
    </row>
    <row r="3650" spans="1:7">
      <c r="A3650" t="s">
        <v>17341</v>
      </c>
      <c r="C3650" t="str">
        <f>'7D'!$BS$25</f>
        <v>STWC105</v>
      </c>
      <c r="D3650" t="str">
        <f>_xlfn.CONCAT('7D'!$B$19, "-", '7D'!$B$25, "-", '7D'!$I$7, "-", '7D'!$H$6, "-", '7D'!$E$5)</f>
        <v>Number of sewage treatment works-STWs above size band 5-A2-Tertiary-Treatment categories</v>
      </c>
      <c r="F3650" t="s">
        <v>17467</v>
      </c>
      <c r="G3650" s="2610">
        <f>'7D'!$I$25</f>
        <v>10</v>
      </c>
    </row>
    <row r="3651" spans="1:7">
      <c r="A3651" t="s">
        <v>17341</v>
      </c>
      <c r="C3651" t="str">
        <f>'7D'!$BT$25</f>
        <v>STWC106</v>
      </c>
      <c r="D3651" t="str">
        <f>_xlfn.CONCAT('7D'!$B$19, "-", '7D'!$B$25, "-", '7D'!$J$7, "-", '7D'!$H$6, "-", '7D'!$E$5)</f>
        <v>Number of sewage treatment works-STWs above size band 5-B1-Tertiary-Treatment categories</v>
      </c>
      <c r="F3651" t="s">
        <v>17467</v>
      </c>
      <c r="G3651" s="2610">
        <f>'7D'!$J$25</f>
        <v>0</v>
      </c>
    </row>
    <row r="3652" spans="1:7">
      <c r="A3652" t="s">
        <v>17341</v>
      </c>
      <c r="C3652" t="str">
        <f>'7D'!$BU$25</f>
        <v>STWC107</v>
      </c>
      <c r="D3652" t="str">
        <f>_xlfn.CONCAT('7D'!$B$19, "-", '7D'!$B$25, "-", '7D'!$K$7, "-", '7D'!$H$6, "-", '7D'!$E$5)</f>
        <v>Number of sewage treatment works-STWs above size band 5-B2-Tertiary-Treatment categories</v>
      </c>
      <c r="F3652" t="s">
        <v>17467</v>
      </c>
      <c r="G3652" s="2610">
        <f>'7D'!$K$25</f>
        <v>3</v>
      </c>
    </row>
    <row r="3653" spans="1:7">
      <c r="A3653" t="s">
        <v>17341</v>
      </c>
      <c r="C3653" s="2602" t="str">
        <f>'7D'!$BV$25</f>
        <v>STWC114</v>
      </c>
      <c r="D3653" t="str">
        <f>_xlfn.CONCAT('7D'!$B$19, "-", '7D'!$B$25, "-", '7D'!$L$6, "-", '7D'!$L$6, "-", '7D'!$E$5)</f>
        <v>Number of sewage treatment works-STWs above size band 5-Total-Total-Treatment categories</v>
      </c>
      <c r="F3653" t="s">
        <v>17467</v>
      </c>
      <c r="G3653" s="2610">
        <f>'7D'!$L$25</f>
        <v>23</v>
      </c>
    </row>
    <row r="3654" spans="1:7">
      <c r="A3654" t="s">
        <v>17341</v>
      </c>
      <c r="C3654" t="str">
        <f>'7D'!$BX$25</f>
        <v>STWCP101</v>
      </c>
      <c r="D3654" t="str">
        <f>_xlfn.CONCAT('7D'!$B$19, "-", '7D'!$B$25, "-", '7D'!$N$7, "-", '7D'!$N$6, "-", '7D'!$N$5)</f>
        <v>Number of sewage treatment works-STWs above size band 5-&lt;=0.5mg/l-Phosphorus-Treatment works consents</v>
      </c>
      <c r="F3654" t="s">
        <v>17467</v>
      </c>
      <c r="G3654" s="2610">
        <f>'7D'!$N$25</f>
        <v>0</v>
      </c>
    </row>
    <row r="3655" spans="1:7">
      <c r="A3655" t="s">
        <v>17341</v>
      </c>
      <c r="C3655" t="str">
        <f>'7D'!$BY$25</f>
        <v>STWCP102</v>
      </c>
      <c r="D3655" t="str">
        <f>_xlfn.CONCAT('7D'!$B$19, "-", '7D'!$B$25, "-", '7D'!$O$7, "-", '7D'!$N$6, "-", '7D'!$N$5)</f>
        <v>Number of sewage treatment works-STWs above size band 5-&gt;0.5 to &lt;=1mg/l-Phosphorus-Treatment works consents</v>
      </c>
      <c r="F3655" t="s">
        <v>17467</v>
      </c>
      <c r="G3655" s="2610">
        <f>'7D'!$O$25</f>
        <v>5</v>
      </c>
    </row>
    <row r="3656" spans="1:7">
      <c r="A3656" t="s">
        <v>17341</v>
      </c>
      <c r="C3656" t="str">
        <f>'7D'!$BZ$25</f>
        <v>STWCP103</v>
      </c>
      <c r="D3656" t="str">
        <f>_xlfn.CONCAT('7D'!$B$19, "-", '7D'!$B$25, "-", '7D'!$P$7, "-", '7D'!$N$6, "-", '7D'!$N$5)</f>
        <v>Number of sewage treatment works-STWs above size band 5-&gt;1mg/l-Phosphorus-Treatment works consents</v>
      </c>
      <c r="F3656" t="s">
        <v>17467</v>
      </c>
      <c r="G3656" s="2610">
        <f>'7D'!$P$25</f>
        <v>4</v>
      </c>
    </row>
    <row r="3657" spans="1:7">
      <c r="A3657" t="s">
        <v>17341</v>
      </c>
      <c r="C3657" t="str">
        <f>'7D'!$CA$25</f>
        <v>STWCP104</v>
      </c>
      <c r="D3657" t="str">
        <f>_xlfn.CONCAT('7D'!$B$19, "-", '7D'!$B$25, "-", '7D'!$Q$7, "-", '7D'!$N$6, "-", '7D'!$N$5)</f>
        <v>Number of sewage treatment works-STWs above size band 5-No permit-Phosphorus-Treatment works consents</v>
      </c>
      <c r="F3657" t="s">
        <v>17467</v>
      </c>
      <c r="G3657" s="2610">
        <f>'7D'!$Q$25</f>
        <v>14</v>
      </c>
    </row>
    <row r="3658" spans="1:7">
      <c r="A3658" t="s">
        <v>17341</v>
      </c>
      <c r="C3658" s="2602" t="str">
        <f>'7D'!$CB$25</f>
        <v>STWCP105</v>
      </c>
      <c r="D3658" t="str">
        <f>_xlfn.CONCAT('7D'!$B$19, "-", '7D'!$B$25, "-", '7D'!$R$7, "-", '7D'!$N$6, "-", '7D'!$N$5)</f>
        <v>Number of sewage treatment works-STWs above size band 5-Total-Phosphorus-Treatment works consents</v>
      </c>
      <c r="F3658" t="s">
        <v>17467</v>
      </c>
      <c r="G3658" s="2610">
        <f>'7D'!$R$25</f>
        <v>23</v>
      </c>
    </row>
    <row r="3659" spans="1:7">
      <c r="A3659" t="s">
        <v>17341</v>
      </c>
      <c r="C3659" t="str">
        <f>'7D'!$CC$25</f>
        <v>STWCB101</v>
      </c>
      <c r="D3659" t="str">
        <f>_xlfn.CONCAT('7D'!$B$19, "-", '7D'!$B$25, "-", '7D'!$S$7, "-", '7D'!$S$6, "-", '7D'!$N$5)</f>
        <v>Number of sewage treatment works-STWs above size band 5-&lt;=7mg/l-BOD5-Treatment works consents</v>
      </c>
      <c r="F3659" t="s">
        <v>17467</v>
      </c>
      <c r="G3659" s="2610">
        <f>'7D'!$S$25</f>
        <v>0</v>
      </c>
    </row>
    <row r="3660" spans="1:7">
      <c r="A3660" t="s">
        <v>17341</v>
      </c>
      <c r="C3660" t="str">
        <f>'7D'!$CD$25</f>
        <v>STWCB102</v>
      </c>
      <c r="D3660" t="str">
        <f>_xlfn.CONCAT('7D'!$B$19, "-", '7D'!$B$25, "-", '7D'!$T$7, "-", '7D'!$S$6, "-", '7D'!$N$5)</f>
        <v>Number of sewage treatment works-STWs above size band 5-&gt;7 to &lt;=10mg/l-BOD5-Treatment works consents</v>
      </c>
      <c r="F3660" t="s">
        <v>17467</v>
      </c>
      <c r="G3660" s="2610">
        <f>'7D'!$T$25</f>
        <v>0</v>
      </c>
    </row>
    <row r="3661" spans="1:7">
      <c r="A3661" t="s">
        <v>17341</v>
      </c>
      <c r="C3661" t="str">
        <f>'7D'!$CE$25</f>
        <v>STWCB103</v>
      </c>
      <c r="D3661" t="str">
        <f>_xlfn.CONCAT('7D'!$B$19, "-", '7D'!$B$25, "-", '7D'!$U$7, "-", '7D'!$S$6, "-", '7D'!$N$5)</f>
        <v>Number of sewage treatment works-STWs above size band 5-&gt;10 to &lt;=20mg/l-BOD5-Treatment works consents</v>
      </c>
      <c r="F3661" t="s">
        <v>17467</v>
      </c>
      <c r="G3661" s="2610">
        <f>'7D'!$U$25</f>
        <v>4</v>
      </c>
    </row>
    <row r="3662" spans="1:7">
      <c r="A3662" t="s">
        <v>17341</v>
      </c>
      <c r="C3662" t="str">
        <f>'7D'!$CF$25</f>
        <v>STWCB104</v>
      </c>
      <c r="D3662" t="str">
        <f>_xlfn.CONCAT('7D'!$B$19, "-", '7D'!$B$25, "-", '7D'!$V$7, "-", '7D'!$S$6, "-", '7D'!$N$5)</f>
        <v>Number of sewage treatment works-STWs above size band 5-&gt;20mg/l-BOD5-Treatment works consents</v>
      </c>
      <c r="F3662" t="s">
        <v>17467</v>
      </c>
      <c r="G3662" s="2610">
        <f>'7D'!$V$25</f>
        <v>19</v>
      </c>
    </row>
    <row r="3663" spans="1:7">
      <c r="A3663" t="s">
        <v>17341</v>
      </c>
      <c r="C3663" t="str">
        <f>'7D'!$CG$25</f>
        <v>STWCB105</v>
      </c>
      <c r="D3663" t="str">
        <f>_xlfn.CONCAT('7D'!$B$19, "-", '7D'!$B$25, "-", '7D'!$W$7, "-", '7D'!$S$6, "-", '7D'!$N$5)</f>
        <v>Number of sewage treatment works-STWs above size band 5-No permit-BOD5-Treatment works consents</v>
      </c>
      <c r="F3663" t="s">
        <v>17467</v>
      </c>
      <c r="G3663" s="2610">
        <f>'7D'!$W$25</f>
        <v>0</v>
      </c>
    </row>
    <row r="3664" spans="1:7">
      <c r="A3664" t="s">
        <v>17341</v>
      </c>
      <c r="C3664" s="2602" t="str">
        <f>'7D'!$CH$25</f>
        <v>STWCB106</v>
      </c>
      <c r="D3664" t="str">
        <f>_xlfn.CONCAT('7D'!$B$19, "-", '7D'!$B$25, "-", '7D'!$X$7, "-", '7D'!$S$6, "-", '7D'!$N$5)</f>
        <v>Number of sewage treatment works-STWs above size band 5-Total-BOD5-Treatment works consents</v>
      </c>
      <c r="F3664" t="s">
        <v>17467</v>
      </c>
      <c r="G3664" s="2610">
        <f>'7D'!$X$25</f>
        <v>23</v>
      </c>
    </row>
    <row r="3665" spans="1:7">
      <c r="A3665" t="s">
        <v>17341</v>
      </c>
      <c r="C3665" t="str">
        <f>'7D'!$CI$25</f>
        <v>STWCA101</v>
      </c>
      <c r="D3665" t="str">
        <f>_xlfn.CONCAT('7D'!$B$19, "-", '7D'!$B$25, "-", '7D'!$Y$7, "-", '7D'!$Y$6, "-", '7D'!$N$5)</f>
        <v>Number of sewage treatment works-STWs above size band 5-&lt;=1mg/l-Ammonia-Treatment works consents</v>
      </c>
      <c r="F3665" t="s">
        <v>17467</v>
      </c>
      <c r="G3665" s="2610">
        <f>'7D'!$Y$25</f>
        <v>0</v>
      </c>
    </row>
    <row r="3666" spans="1:7">
      <c r="A3666" t="s">
        <v>17341</v>
      </c>
      <c r="C3666" t="str">
        <f>'7D'!$CJ$25</f>
        <v>STWCA102</v>
      </c>
      <c r="D3666" t="str">
        <f>_xlfn.CONCAT('7D'!$B$19, "-", '7D'!$B$25, "-", '7D'!$Z$7, "-", '7D'!$Y$6, "-", '7D'!$N$5)</f>
        <v>Number of sewage treatment works-STWs above size band 5-&gt;1 to &lt;=3mg/l-Ammonia-Treatment works consents</v>
      </c>
      <c r="F3666" t="s">
        <v>17467</v>
      </c>
      <c r="G3666" s="2610">
        <f>'7D'!$Z$25</f>
        <v>0</v>
      </c>
    </row>
    <row r="3667" spans="1:7">
      <c r="A3667" t="s">
        <v>17341</v>
      </c>
      <c r="C3667" t="str">
        <f>'7D'!$CK$25</f>
        <v>STWCA103</v>
      </c>
      <c r="D3667" t="str">
        <f>_xlfn.CONCAT('7D'!$B$19, "-", '7D'!$B$25, "-", '7D'!$AA$7, "-", '7D'!$Y$6, "-", '7D'!$N$5)</f>
        <v>Number of sewage treatment works-STWs above size band 5-&gt;3 to &lt;=10mg/l-Ammonia-Treatment works consents</v>
      </c>
      <c r="F3667" t="s">
        <v>17467</v>
      </c>
      <c r="G3667" s="2610">
        <f>'7D'!$AA$25</f>
        <v>9</v>
      </c>
    </row>
    <row r="3668" spans="1:7">
      <c r="A3668" t="s">
        <v>17341</v>
      </c>
      <c r="C3668" t="str">
        <f>'7D'!$CL$25</f>
        <v>STWCA104</v>
      </c>
      <c r="D3668" t="str">
        <f>_xlfn.CONCAT('7D'!$B$19, "-", '7D'!$B$25, "-", '7D'!$AB$7, "-", '7D'!$Y$6, "-", '7D'!$N$5)</f>
        <v>Number of sewage treatment works-STWs above size band 5-&gt;10mg/l-Ammonia-Treatment works consents</v>
      </c>
      <c r="F3668" t="s">
        <v>17467</v>
      </c>
      <c r="G3668" s="2610">
        <f>'7D'!$AB$25</f>
        <v>7</v>
      </c>
    </row>
    <row r="3669" spans="1:7">
      <c r="A3669" t="s">
        <v>17341</v>
      </c>
      <c r="C3669" t="str">
        <f>'7D'!$CM$25</f>
        <v>STWCA105</v>
      </c>
      <c r="D3669" t="str">
        <f>_xlfn.CONCAT('7D'!$B$19, "-", '7D'!$B$25, "-", '7D'!$AC$7, "-", '7D'!$Y$6, "-", '7D'!$N$5)</f>
        <v>Number of sewage treatment works-STWs above size band 5-No permit-Ammonia-Treatment works consents</v>
      </c>
      <c r="F3669" t="s">
        <v>17467</v>
      </c>
      <c r="G3669" s="2610">
        <f>'7D'!$AC$25</f>
        <v>7</v>
      </c>
    </row>
    <row r="3670" spans="1:7">
      <c r="A3670" t="s">
        <v>17341</v>
      </c>
      <c r="C3670" s="2602" t="str">
        <f>'7D'!$CN$25</f>
        <v>STWCA106</v>
      </c>
      <c r="D3670" t="str">
        <f>_xlfn.CONCAT('7D'!$B$19, "-", '7D'!$B$25, "-", '7D'!$AD$7, "-", '7D'!$Y$6, "-", '7D'!$N$5)</f>
        <v>Number of sewage treatment works-STWs above size band 5-Total-Ammonia-Treatment works consents</v>
      </c>
      <c r="F3670" t="s">
        <v>17467</v>
      </c>
      <c r="G3670" s="2610">
        <f>'7D'!$AD$25</f>
        <v>23</v>
      </c>
    </row>
    <row r="3671" spans="1:7">
      <c r="A3671" t="s">
        <v>17341</v>
      </c>
      <c r="C3671" s="2602" t="str">
        <f>'7D'!$BO$26</f>
        <v>STWC121</v>
      </c>
      <c r="D3671" t="str">
        <f>_xlfn.CONCAT('7D'!$B$19, "-", '7D'!$B$26, "-", '7D'!$E$6, "-", '7D'!$E$6, "-", '7D'!$E$5)</f>
        <v>Number of sewage treatment works-Total number of works-Primary-Primary-Treatment categories</v>
      </c>
      <c r="F3671" t="s">
        <v>17467</v>
      </c>
      <c r="G3671" s="2610">
        <f>'7D'!$E$26</f>
        <v>65</v>
      </c>
    </row>
    <row r="3672" spans="1:7">
      <c r="A3672" t="s">
        <v>17341</v>
      </c>
      <c r="C3672" s="2602" t="str">
        <f>'7D'!$BP$26</f>
        <v>STWC122</v>
      </c>
      <c r="D3672" t="str">
        <f>_xlfn.CONCAT('7D'!$B$19, "-", '7D'!$B$26, "-", '7D'!$F$7, "-", '7D'!$F$6, "-", '7D'!$E$5)</f>
        <v>Number of sewage treatment works-Total number of works-Activated Sludge-Secondary-Treatment categories</v>
      </c>
      <c r="F3672" t="s">
        <v>17467</v>
      </c>
      <c r="G3672" s="2610">
        <f>'7D'!$F$26</f>
        <v>100</v>
      </c>
    </row>
    <row r="3673" spans="1:7">
      <c r="A3673" t="s">
        <v>17341</v>
      </c>
      <c r="C3673" s="2602" t="str">
        <f>'7D'!$BQ$26</f>
        <v>STWC123</v>
      </c>
      <c r="D3673" t="str">
        <f>_xlfn.CONCAT('7D'!$B$19, "-", '7D'!$B$26, "-", '7D'!$G$7, "-", '7D'!$F$6, "-", '7D'!$E$5)</f>
        <v>Number of sewage treatment works-Total number of works-Biological-Secondary-Treatment categories</v>
      </c>
      <c r="F3673" t="s">
        <v>17467</v>
      </c>
      <c r="G3673" s="2610">
        <f>'7D'!$G$26</f>
        <v>524</v>
      </c>
    </row>
    <row r="3674" spans="1:7">
      <c r="A3674" t="s">
        <v>17341</v>
      </c>
      <c r="C3674" s="2602" t="str">
        <f>'7D'!$BR$26</f>
        <v>STWC124</v>
      </c>
      <c r="D3674" t="str">
        <f>_xlfn.CONCAT('7D'!$B$19, "-", '7D'!$B$26, "-", '7D'!$H$7, "-", '7D'!$H$6, "-", '7D'!$E$5)</f>
        <v>Number of sewage treatment works-Total number of works-A1-Tertiary-Treatment categories</v>
      </c>
      <c r="F3674" t="s">
        <v>17467</v>
      </c>
      <c r="G3674" s="2610">
        <f>'7D'!$H$26</f>
        <v>23</v>
      </c>
    </row>
    <row r="3675" spans="1:7">
      <c r="A3675" t="s">
        <v>17341</v>
      </c>
      <c r="C3675" s="2602" t="str">
        <f>'7D'!$BS$26</f>
        <v>STWC125</v>
      </c>
      <c r="D3675" t="str">
        <f>_xlfn.CONCAT('7D'!$B$19, "-", '7D'!$B$26, "-", '7D'!$I$7, "-", '7D'!$H$6, "-", '7D'!$E$5)</f>
        <v>Number of sewage treatment works-Total number of works-A2-Tertiary-Treatment categories</v>
      </c>
      <c r="F3675" t="s">
        <v>17467</v>
      </c>
      <c r="G3675" s="2610">
        <f>'7D'!$I$26</f>
        <v>30</v>
      </c>
    </row>
    <row r="3676" spans="1:7">
      <c r="A3676" t="s">
        <v>17341</v>
      </c>
      <c r="C3676" s="2602" t="str">
        <f>'7D'!$BT$26</f>
        <v>STWC126</v>
      </c>
      <c r="D3676" t="str">
        <f>_xlfn.CONCAT('7D'!$B$19, "-", '7D'!$B$26, "-", '7D'!$J$7, "-", '7D'!$H$6, "-", '7D'!$E$5)</f>
        <v>Number of sewage treatment works-Total number of works-B1-Tertiary-Treatment categories</v>
      </c>
      <c r="F3676" t="s">
        <v>17467</v>
      </c>
      <c r="G3676" s="2610">
        <f>'7D'!$J$26</f>
        <v>66</v>
      </c>
    </row>
    <row r="3677" spans="1:7">
      <c r="A3677" t="s">
        <v>17341</v>
      </c>
      <c r="C3677" s="2602" t="str">
        <f>'7D'!$BU$26</f>
        <v>STWC127</v>
      </c>
      <c r="D3677" t="str">
        <f>_xlfn.CONCAT('7D'!$B$19, "-", '7D'!$B$26, "-", '7D'!$K$7, "-", '7D'!$H$6, "-", '7D'!$E$5)</f>
        <v>Number of sewage treatment works-Total number of works-B2-Tertiary-Treatment categories</v>
      </c>
      <c r="F3677" t="s">
        <v>17467</v>
      </c>
      <c r="G3677" s="2610">
        <f>'7D'!$K$26</f>
        <v>20</v>
      </c>
    </row>
    <row r="3678" spans="1:7">
      <c r="A3678" t="s">
        <v>17341</v>
      </c>
      <c r="C3678" s="2602" t="str">
        <f>'7D'!$BV$26</f>
        <v>STWC115</v>
      </c>
      <c r="D3678" t="str">
        <f>_xlfn.CONCAT('7D'!$B$19, "-", '7D'!$B$26, "-", '7D'!$L$6, "-", '7D'!$L$6, "-", '7D'!$E$5)</f>
        <v>Number of sewage treatment works-Total number of works-Total-Total-Treatment categories</v>
      </c>
      <c r="F3678" t="s">
        <v>17467</v>
      </c>
      <c r="G3678" s="2610">
        <f>'7D'!$L$26</f>
        <v>828</v>
      </c>
    </row>
    <row r="3679" spans="1:7">
      <c r="A3679" t="s">
        <v>17341</v>
      </c>
      <c r="C3679" s="2602" t="str">
        <f>'7D'!$BX$26</f>
        <v>STWCP121</v>
      </c>
      <c r="D3679" t="str">
        <f>_xlfn.CONCAT('7D'!$B$19, "-", '7D'!$B$26, "-", '7D'!$N$7, "-", '7D'!$N$6, "-", '7D'!$N$5)</f>
        <v>Number of sewage treatment works-Total number of works-&lt;=0.5mg/l-Phosphorus-Treatment works consents</v>
      </c>
      <c r="F3679" t="s">
        <v>17467</v>
      </c>
      <c r="G3679" s="2610">
        <f>'7D'!$N$26</f>
        <v>1</v>
      </c>
    </row>
    <row r="3680" spans="1:7">
      <c r="A3680" t="s">
        <v>17341</v>
      </c>
      <c r="C3680" s="2602" t="str">
        <f>'7D'!$BY$26</f>
        <v>STWCP122</v>
      </c>
      <c r="D3680" t="str">
        <f>_xlfn.CONCAT('7D'!$B$19, "-", '7D'!$B$26, "-", '7D'!$O$7, "-", '7D'!$N$6, "-", '7D'!$N$5)</f>
        <v>Number of sewage treatment works-Total number of works-&gt;0.5 to &lt;=1mg/l-Phosphorus-Treatment works consents</v>
      </c>
      <c r="F3680" t="s">
        <v>17467</v>
      </c>
      <c r="G3680" s="2610">
        <f>'7D'!$O$26</f>
        <v>27</v>
      </c>
    </row>
    <row r="3681" spans="1:7">
      <c r="A3681" t="s">
        <v>17341</v>
      </c>
      <c r="C3681" s="2602" t="str">
        <f>'7D'!$BZ$26</f>
        <v>STWCP123</v>
      </c>
      <c r="D3681" t="str">
        <f>_xlfn.CONCAT('7D'!$B$19, "-", '7D'!$B$26, "-", '7D'!$P$7, "-", '7D'!$N$6, "-", '7D'!$N$5)</f>
        <v>Number of sewage treatment works-Total number of works-&gt;1mg/l-Phosphorus-Treatment works consents</v>
      </c>
      <c r="F3681" t="s">
        <v>17467</v>
      </c>
      <c r="G3681" s="2610">
        <f>'7D'!$P$26</f>
        <v>18</v>
      </c>
    </row>
    <row r="3682" spans="1:7">
      <c r="A3682" t="s">
        <v>17341</v>
      </c>
      <c r="C3682" s="2602" t="str">
        <f>'7D'!$CA$26</f>
        <v>STWCP124</v>
      </c>
      <c r="D3682" t="str">
        <f>_xlfn.CONCAT('7D'!$B$19, "-", '7D'!$B$26, "-", '7D'!$Q$7, "-", '7D'!$N$6, "-", '7D'!$N$5)</f>
        <v>Number of sewage treatment works-Total number of works-No permit-Phosphorus-Treatment works consents</v>
      </c>
      <c r="F3682" t="s">
        <v>17467</v>
      </c>
      <c r="G3682" s="2610">
        <f>'7D'!$Q$26</f>
        <v>782</v>
      </c>
    </row>
    <row r="3683" spans="1:7">
      <c r="A3683" t="s">
        <v>17341</v>
      </c>
      <c r="C3683" s="2602" t="str">
        <f>'7D'!$CB$26</f>
        <v>STWCP125</v>
      </c>
      <c r="D3683" t="str">
        <f>_xlfn.CONCAT('7D'!$B$19, "-", '7D'!$B$26, "-", '7D'!$R$7, "-", '7D'!$N$6, "-", '7D'!$N$5)</f>
        <v>Number of sewage treatment works-Total number of works-Total-Phosphorus-Treatment works consents</v>
      </c>
      <c r="F3683" t="s">
        <v>17467</v>
      </c>
      <c r="G3683" s="2610">
        <f>'7D'!$R$26</f>
        <v>828</v>
      </c>
    </row>
    <row r="3684" spans="1:7">
      <c r="A3684" t="s">
        <v>17341</v>
      </c>
      <c r="C3684" s="2602" t="str">
        <f>'7D'!$CC$26</f>
        <v>STWCB121</v>
      </c>
      <c r="D3684" t="str">
        <f>_xlfn.CONCAT('7D'!$B$19, "-", '7D'!$B$26, "-", '7D'!$S$7, "-", '7D'!$S$6, "-", '7D'!$N$5)</f>
        <v>Number of sewage treatment works-Total number of works-&lt;=7mg/l-BOD5-Treatment works consents</v>
      </c>
      <c r="F3684" t="s">
        <v>17467</v>
      </c>
      <c r="G3684" s="2610">
        <f>'7D'!$S$26</f>
        <v>2</v>
      </c>
    </row>
    <row r="3685" spans="1:7">
      <c r="A3685" t="s">
        <v>17341</v>
      </c>
      <c r="C3685" s="2602" t="str">
        <f>'7D'!$CD$26</f>
        <v>STWCB122</v>
      </c>
      <c r="D3685" t="str">
        <f>_xlfn.CONCAT('7D'!$B$19, "-", '7D'!$B$26, "-", '7D'!$T$7, "-", '7D'!$S$6, "-", '7D'!$N$5)</f>
        <v>Number of sewage treatment works-Total number of works-&gt;7 to &lt;=10mg/l-BOD5-Treatment works consents</v>
      </c>
      <c r="F3685" t="s">
        <v>17467</v>
      </c>
      <c r="G3685" s="2610">
        <f>'7D'!$T$26</f>
        <v>14</v>
      </c>
    </row>
    <row r="3686" spans="1:7">
      <c r="A3686" t="s">
        <v>17341</v>
      </c>
      <c r="C3686" s="2602" t="str">
        <f>'7D'!$CE$26</f>
        <v>STWCB123</v>
      </c>
      <c r="D3686" t="str">
        <f>_xlfn.CONCAT('7D'!$B$19, "-", '7D'!$B$26, "-", '7D'!$U$7, "-", '7D'!$S$6, "-", '7D'!$N$5)</f>
        <v>Number of sewage treatment works-Total number of works-&gt;10 to &lt;=20mg/l-BOD5-Treatment works consents</v>
      </c>
      <c r="F3686" t="s">
        <v>17467</v>
      </c>
      <c r="G3686" s="2610">
        <f>'7D'!$U$26</f>
        <v>92</v>
      </c>
    </row>
    <row r="3687" spans="1:7">
      <c r="A3687" t="s">
        <v>17341</v>
      </c>
      <c r="C3687" s="2602" t="str">
        <f>'7D'!$CF$26</f>
        <v>STWCB124</v>
      </c>
      <c r="D3687" t="str">
        <f>_xlfn.CONCAT('7D'!$B$19, "-", '7D'!$B$26, "-", '7D'!$V$7, "-", '7D'!$S$6, "-", '7D'!$N$5)</f>
        <v>Number of sewage treatment works-Total number of works-&gt;20mg/l-BOD5-Treatment works consents</v>
      </c>
      <c r="F3687" t="s">
        <v>17467</v>
      </c>
      <c r="G3687" s="2610">
        <f>'7D'!$V$26</f>
        <v>452</v>
      </c>
    </row>
    <row r="3688" spans="1:7">
      <c r="A3688" t="s">
        <v>17341</v>
      </c>
      <c r="C3688" s="2602" t="str">
        <f>'7D'!$CG$26</f>
        <v>STWCB125</v>
      </c>
      <c r="D3688" t="str">
        <f>_xlfn.CONCAT('7D'!$B$19, "-", '7D'!$B$26, "-", '7D'!$W$7, "-", '7D'!$S$6, "-", '7D'!$N$5)</f>
        <v>Number of sewage treatment works-Total number of works-No permit-BOD5-Treatment works consents</v>
      </c>
      <c r="F3688" t="s">
        <v>17467</v>
      </c>
      <c r="G3688" s="2610">
        <f>'7D'!$W$26</f>
        <v>268</v>
      </c>
    </row>
    <row r="3689" spans="1:7">
      <c r="A3689" t="s">
        <v>17341</v>
      </c>
      <c r="C3689" s="2602" t="str">
        <f>'7D'!$CH$26</f>
        <v>STWCB126</v>
      </c>
      <c r="D3689" t="str">
        <f>_xlfn.CONCAT('7D'!$B$19, "-", '7D'!$B$26, "-", '7D'!$X$7, "-", '7D'!$S$6, "-", '7D'!$N$5)</f>
        <v>Number of sewage treatment works-Total number of works-Total-BOD5-Treatment works consents</v>
      </c>
      <c r="F3689" t="s">
        <v>17467</v>
      </c>
      <c r="G3689" s="2610">
        <f>'7D'!$X$26</f>
        <v>828</v>
      </c>
    </row>
    <row r="3690" spans="1:7">
      <c r="A3690" t="s">
        <v>17341</v>
      </c>
      <c r="C3690" s="2602" t="str">
        <f>'7D'!$CI$26</f>
        <v>STWCA121</v>
      </c>
      <c r="D3690" t="str">
        <f>_xlfn.CONCAT('7D'!$B$19, "-", '7D'!$B$26, "-", '7D'!$Y$7, "-", '7D'!$Y$6, "-", '7D'!$N$5)</f>
        <v>Number of sewage treatment works-Total number of works-&lt;=1mg/l-Ammonia-Treatment works consents</v>
      </c>
      <c r="F3690" t="s">
        <v>17467</v>
      </c>
      <c r="G3690" s="2610">
        <f>'7D'!$Y$26</f>
        <v>0</v>
      </c>
    </row>
    <row r="3691" spans="1:7">
      <c r="A3691" t="s">
        <v>17341</v>
      </c>
      <c r="C3691" s="2602" t="str">
        <f>'7D'!$CJ$26</f>
        <v>STWCA122</v>
      </c>
      <c r="D3691" t="str">
        <f>_xlfn.CONCAT('7D'!$B$19, "-", '7D'!$B$26, "-", '7D'!$Z$7, "-", '7D'!$Y$6, "-", '7D'!$N$5)</f>
        <v>Number of sewage treatment works-Total number of works-&gt;1 to &lt;=3mg/l-Ammonia-Treatment works consents</v>
      </c>
      <c r="F3691" t="s">
        <v>17467</v>
      </c>
      <c r="G3691" s="2610">
        <f>'7D'!$Z$26</f>
        <v>15</v>
      </c>
    </row>
    <row r="3692" spans="1:7">
      <c r="A3692" t="s">
        <v>17341</v>
      </c>
      <c r="C3692" s="2602" t="str">
        <f>'7D'!$CK$26</f>
        <v>STWCA123</v>
      </c>
      <c r="D3692" t="str">
        <f>_xlfn.CONCAT('7D'!$B$19, "-", '7D'!$B$26, "-", '7D'!$AA$7, "-", '7D'!$Y$6, "-", '7D'!$N$5)</f>
        <v>Number of sewage treatment works-Total number of works-&gt;3 to &lt;=10mg/l-Ammonia-Treatment works consents</v>
      </c>
      <c r="F3692" t="s">
        <v>17467</v>
      </c>
      <c r="G3692" s="2610">
        <f>'7D'!$AA$26</f>
        <v>115</v>
      </c>
    </row>
    <row r="3693" spans="1:7">
      <c r="A3693" t="s">
        <v>17341</v>
      </c>
      <c r="C3693" s="2602" t="str">
        <f>'7D'!$CL$26</f>
        <v>STWCA124</v>
      </c>
      <c r="D3693" t="str">
        <f>_xlfn.CONCAT('7D'!$B$19, "-", '7D'!$B$26, "-", '7D'!$AB$7, "-", '7D'!$Y$6, "-", '7D'!$N$5)</f>
        <v>Number of sewage treatment works-Total number of works-&gt;10mg/l-Ammonia-Treatment works consents</v>
      </c>
      <c r="F3693" t="s">
        <v>17467</v>
      </c>
      <c r="G3693" s="2610">
        <f>'7D'!$AB$26</f>
        <v>155</v>
      </c>
    </row>
    <row r="3694" spans="1:7">
      <c r="A3694" t="s">
        <v>17341</v>
      </c>
      <c r="C3694" s="2602" t="str">
        <f>'7D'!$CM$26</f>
        <v>STWCA125</v>
      </c>
      <c r="D3694" t="str">
        <f>_xlfn.CONCAT('7D'!$B$19, "-", '7D'!$B$26, "-", '7D'!$AC$7, "-", '7D'!$Y$6, "-", '7D'!$N$5)</f>
        <v>Number of sewage treatment works-Total number of works-No permit-Ammonia-Treatment works consents</v>
      </c>
      <c r="F3694" t="s">
        <v>17467</v>
      </c>
      <c r="G3694" s="2610">
        <f>'7D'!$AC$26</f>
        <v>543</v>
      </c>
    </row>
    <row r="3695" spans="1:7">
      <c r="A3695" t="s">
        <v>17341</v>
      </c>
      <c r="C3695" s="2602" t="str">
        <f>'7D'!$CN$26</f>
        <v>STWCA126</v>
      </c>
      <c r="D3695" t="str">
        <f>_xlfn.CONCAT('7D'!$B$19, "-", '7D'!$B$26, "-", '7D'!$AD$7, "-", '7D'!$Y$6, "-", '7D'!$N$5)</f>
        <v>Number of sewage treatment works-Total number of works-Total-Ammonia-Treatment works consents</v>
      </c>
      <c r="F3695" t="s">
        <v>17467</v>
      </c>
      <c r="G3695" s="2610">
        <f>'7D'!$AD$26</f>
        <v>828</v>
      </c>
    </row>
    <row r="3696" spans="1:7">
      <c r="A3696" t="s">
        <v>17341</v>
      </c>
      <c r="C3696" t="str">
        <f>'7D'!$BO$29</f>
        <v>BN1603</v>
      </c>
      <c r="D3696" t="str">
        <f>_xlfn.CONCAT('7D'!$B$28, "-", '7D'!$B$29, "-", '7D'!$E$6, "-", '7D'!$E$6, "-", '7D'!$E$5)</f>
        <v>Population equivalent-Current population equivalent served by STWs-Primary-Primary-Treatment categories</v>
      </c>
      <c r="F3696" t="s">
        <v>17467</v>
      </c>
      <c r="G3696">
        <f>'7D'!$E$29</f>
        <v>3896.5610000000001</v>
      </c>
    </row>
    <row r="3697" spans="1:7">
      <c r="A3697" t="s">
        <v>17341</v>
      </c>
      <c r="C3697" t="str">
        <f>'7D'!$BO$30</f>
        <v>S4030</v>
      </c>
      <c r="D3697" t="str">
        <f>_xlfn.CONCAT('7D'!$B$28, "-", '7D'!$B$30, "-", '7D'!$E$6, "-", '7D'!$E$6, "-", '7D'!$E$5)</f>
        <v>Population equivalent-Current population equivalent served by STWs with tightened/new P consents-Primary-Primary-Treatment categories</v>
      </c>
      <c r="F3697" t="s">
        <v>17467</v>
      </c>
      <c r="G3697">
        <f>'7D'!$E$30</f>
        <v>2.206</v>
      </c>
    </row>
    <row r="3698" spans="1:7">
      <c r="A3698" t="s">
        <v>17341</v>
      </c>
      <c r="C3698" t="str">
        <f>'7D'!$BO$31</f>
        <v>S4023</v>
      </c>
      <c r="D3698" t="str">
        <f>_xlfn.CONCAT('7D'!$B$28, "-", '7D'!$B$31, "-", '7D'!$E$6, "-", '7D'!$E$6, "-", '7D'!$E$5)</f>
        <v>Population equivalent-Current population equivalent served by STWs with tightened/new N consents-Primary-Primary-Treatment categories</v>
      </c>
      <c r="F3698" t="s">
        <v>17467</v>
      </c>
      <c r="G3698">
        <f>'7D'!$E$31</f>
        <v>0</v>
      </c>
    </row>
    <row r="3699" spans="1:7">
      <c r="A3699" t="s">
        <v>17341</v>
      </c>
      <c r="C3699" t="str">
        <f>'7D'!$BO$32</f>
        <v>S4024</v>
      </c>
      <c r="D3699" t="str">
        <f>_xlfn.CONCAT('7D'!$B$28, "-", '7D'!$B$32, "-", '7D'!$E$6, "-", '7D'!$E$6, "-", '7D'!$E$5)</f>
        <v>Population equivalent-Current population equivalent served by STWs with tightened/new sanitary parameter consents-Primary-Primary-Treatment categories</v>
      </c>
      <c r="F3699" t="s">
        <v>17467</v>
      </c>
      <c r="G3699">
        <f>'7D'!$E$32</f>
        <v>0</v>
      </c>
    </row>
    <row r="3700" spans="1:7">
      <c r="A3700" t="s">
        <v>17341</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17467</v>
      </c>
      <c r="G3700">
        <f>'7D'!$E$33</f>
        <v>0</v>
      </c>
    </row>
    <row r="3701" spans="1:7">
      <c r="A3701" t="s">
        <v>17341</v>
      </c>
      <c r="C3701" t="str">
        <f>'7D'!$BO$34</f>
        <v>S4027</v>
      </c>
      <c r="D3701" t="str">
        <f>_xlfn.CONCAT('7D'!$B$28, "-", '7D'!$B$34, "-", '7D'!$E$6, "-", '7D'!$E$6, "-", '7D'!$E$5)</f>
        <v>Population equivalent-Population equivalent treatment capacity enhancement-Primary-Primary-Treatment categories</v>
      </c>
      <c r="F3701" t="s">
        <v>17467</v>
      </c>
      <c r="G3701">
        <f>'7D'!$E$34</f>
        <v>0.624</v>
      </c>
    </row>
    <row r="3702" spans="1:7">
      <c r="A3702" t="s">
        <v>17341</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17467</v>
      </c>
      <c r="G3702">
        <f>'7D'!$E$35</f>
        <v>0</v>
      </c>
    </row>
    <row r="3703" spans="1:7">
      <c r="A3703" t="s">
        <v>17342</v>
      </c>
      <c r="C3703" t="str">
        <f>'7E'!$R$8</f>
        <v>BN1176CA</v>
      </c>
      <c r="D3703" t="str">
        <f>_xlfn.CONCAT('7E'!$B$7, "-", '7E'!$B$8, "-", '7E'!$E$5)</f>
        <v>Other-Total sewerage catchment area-Input</v>
      </c>
      <c r="F3703" t="s">
        <v>17467</v>
      </c>
      <c r="G3703" s="2610">
        <f>'7E'!$E$8</f>
        <v>1180</v>
      </c>
    </row>
    <row r="3704" spans="1:7">
      <c r="A3704" t="s">
        <v>17342</v>
      </c>
      <c r="C3704" t="str">
        <f>'7E'!$R$9</f>
        <v>BN1615</v>
      </c>
      <c r="D3704" t="str">
        <f>_xlfn.CONCAT('7E'!$B$7, "-", '7E'!$B$9, "-", '7E'!$E$5)</f>
        <v>Other-Designated bathing waters (inland and coastal)-Input</v>
      </c>
      <c r="F3704" t="s">
        <v>17467</v>
      </c>
      <c r="G3704" s="2610">
        <f>'7E'!$E$9</f>
        <v>107</v>
      </c>
    </row>
    <row r="3705" spans="1:7">
      <c r="A3705" t="s">
        <v>17342</v>
      </c>
      <c r="C3705" t="str">
        <f>'7E'!$R$10</f>
        <v>S4016</v>
      </c>
      <c r="D3705" t="str">
        <f>_xlfn.CONCAT('7E'!$B$7, "-", '7E'!$B$10, "-", '7E'!$E$5)</f>
        <v>Other-Number of intermittent discharge event duration monitorsing-Input</v>
      </c>
      <c r="F3705" t="s">
        <v>17467</v>
      </c>
      <c r="G3705" s="2610">
        <f>'7E'!$E$10</f>
        <v>8</v>
      </c>
    </row>
    <row r="3706" spans="1:7">
      <c r="A3706" t="s">
        <v>17342</v>
      </c>
      <c r="C3706" t="str">
        <f>'7E'!$R$11</f>
        <v>STWM001</v>
      </c>
      <c r="D3706" t="str">
        <f>_xlfn.CONCAT('7E'!$B$7, "-", '7E'!$B$11, "-", '7E'!$E$5)</f>
        <v>Other-Number of monitors for flow monitoring at STWs-Input</v>
      </c>
      <c r="F3706" t="s">
        <v>17467</v>
      </c>
      <c r="G3706" s="2610">
        <f>'7E'!$E$11</f>
        <v>4</v>
      </c>
    </row>
    <row r="3707" spans="1:7">
      <c r="A3707" t="s">
        <v>17342</v>
      </c>
      <c r="C3707" t="str">
        <f>'7E'!$R$12</f>
        <v>S4017</v>
      </c>
      <c r="D3707" t="str">
        <f>_xlfn.CONCAT('7E'!$B$7, "-", '7E'!$B$12, "-", '7E'!$E$5)</f>
        <v>Other-Number of odour related complaints-Input</v>
      </c>
      <c r="F3707" t="s">
        <v>17467</v>
      </c>
      <c r="G3707" s="2610">
        <f>'7E'!$E$12</f>
        <v>2960</v>
      </c>
    </row>
    <row r="3708" spans="1:7">
      <c r="A3708" t="s">
        <v>17342</v>
      </c>
      <c r="C3708" t="str">
        <f>'7E'!$R$15</f>
        <v>BM902ECSC</v>
      </c>
      <c r="D3708" t="str">
        <f>_xlfn.CONCAT('7E'!$B$14, "-", '7E'!$B$15, "-", '7E'!$E$5)</f>
        <v>Energy consumption-Energy consumption - sewage collection-Input</v>
      </c>
      <c r="F3708" t="s">
        <v>17467</v>
      </c>
      <c r="G3708">
        <f>'7E'!$E$15</f>
        <v>41953.048999999999</v>
      </c>
    </row>
    <row r="3709" spans="1:7">
      <c r="A3709" t="s">
        <v>17342</v>
      </c>
      <c r="C3709" t="str">
        <f>'7E'!$R$16</f>
        <v>BM902ECST</v>
      </c>
      <c r="D3709" t="str">
        <f>_xlfn.CONCAT('7E'!$B$14, "-", '7E'!$B$16, "-", '7E'!$E$5)</f>
        <v>Energy consumption-Energy consumption - sewage treatment-Input</v>
      </c>
      <c r="F3709" t="s">
        <v>17467</v>
      </c>
      <c r="G3709">
        <f>'7E'!$E$16</f>
        <v>197617.58799999999</v>
      </c>
    </row>
    <row r="3710" spans="1:7">
      <c r="A3710" t="s">
        <v>17342</v>
      </c>
      <c r="C3710" t="str">
        <f>'7E'!$R$17</f>
        <v>BM902ECNPS</v>
      </c>
      <c r="D3710" t="str">
        <f>_xlfn.CONCAT('7E'!$B$14, "-", '7E'!$B$17, "-", '7E'!$E$5)</f>
        <v>Energy consumption-Energy consumption - wastewater network +-Input</v>
      </c>
      <c r="F3710" t="s">
        <v>17467</v>
      </c>
      <c r="G3710">
        <f>'7E'!$E$17</f>
        <v>239570.63699999999</v>
      </c>
    </row>
    <row r="3711" spans="1:7">
      <c r="A3711" t="s">
        <v>17342</v>
      </c>
      <c r="C3711" t="str">
        <f>'7E'!$R$20</f>
        <v>S4032</v>
      </c>
      <c r="D3711" t="str">
        <f>_xlfn.CONCAT('7E'!$B$19, "-", '7E'!$B$20, "-", '7E'!$E$5)</f>
        <v>Scheme delivery-Cumulative shortfall in FFT addressed by WINEP / NEP schemes to increase STW capacity -Input</v>
      </c>
      <c r="F3711" t="s">
        <v>17467</v>
      </c>
      <c r="G3711">
        <f>'7E'!$E$20</f>
        <v>0</v>
      </c>
    </row>
    <row r="3712" spans="1:7">
      <c r="A3712" t="s">
        <v>17342</v>
      </c>
      <c r="C3712" t="str">
        <f>'7E'!$R$21</f>
        <v>S4032NR</v>
      </c>
      <c r="D3712" t="str">
        <f>_xlfn.CONCAT('7E'!$B$19, "-", '7E'!$B$21, "-", '7E'!$E$5)</f>
        <v>Scheme delivery-Number of sites with an increase in sewage treatment works capacity delivered to address a shortfall in FFT -Input</v>
      </c>
      <c r="F3712" t="s">
        <v>17467</v>
      </c>
      <c r="G3712">
        <f>'7E'!$E$21</f>
        <v>0</v>
      </c>
    </row>
    <row r="3713" spans="1:7">
      <c r="A3713" t="s">
        <v>17342</v>
      </c>
      <c r="C3713" t="str">
        <f>'7E'!$R$22</f>
        <v>S4033</v>
      </c>
      <c r="D3713" t="str">
        <f>_xlfn.CONCAT('7E'!$B$19, "-", '7E'!$B$22, "-", '7E'!$E$5)</f>
        <v>Scheme delivery-Additional storm tank capacity provided at sewage treatment works (grey infrastructure)-Input</v>
      </c>
      <c r="F3713" t="s">
        <v>17467</v>
      </c>
      <c r="G3713">
        <f>'7E'!$E$22</f>
        <v>0</v>
      </c>
    </row>
    <row r="3714" spans="1:7">
      <c r="A3714" t="s">
        <v>17342</v>
      </c>
      <c r="C3714" t="str">
        <f>'7E'!$R$23</f>
        <v>S4033N</v>
      </c>
      <c r="D3714" t="str">
        <f>_xlfn.CONCAT('7E'!$B$19, "-", '7E'!$B$23, "-", '7E'!$E$5)</f>
        <v>Scheme delivery-Additional effective storm storage capacity at sewage treatment works (green infrastructure)-Input</v>
      </c>
      <c r="F3714" t="s">
        <v>17467</v>
      </c>
      <c r="G3714">
        <f>'7E'!$E$23</f>
        <v>0</v>
      </c>
    </row>
    <row r="3715" spans="1:7">
      <c r="A3715" t="s">
        <v>17342</v>
      </c>
      <c r="C3715" t="str">
        <f>'7E'!$R$24</f>
        <v>S4034</v>
      </c>
      <c r="D3715" t="str">
        <f>_xlfn.CONCAT('7E'!$B$19, "-", '7E'!$B$24, "-", '7E'!$E$5)</f>
        <v>Scheme delivery-Additional volume of network storage at CSOs etc to reduce spill frequency (grey infrastructure)-Input</v>
      </c>
      <c r="F3715" t="s">
        <v>17467</v>
      </c>
      <c r="G3715">
        <f>'7E'!$E$24</f>
        <v>0</v>
      </c>
    </row>
    <row r="3716" spans="1:7">
      <c r="A3716" t="s">
        <v>17342</v>
      </c>
      <c r="C3716" t="str">
        <f>'7E'!$R$25</f>
        <v>S4034N</v>
      </c>
      <c r="D3716" t="str">
        <f>_xlfn.CONCAT('7E'!$B$19, "-", '7E'!$B$25, "-", '7E'!$E$5)</f>
        <v>Scheme delivery-Additional effective storage in the network delivered through green infrastructure-Input</v>
      </c>
      <c r="F3716" t="s">
        <v>17467</v>
      </c>
      <c r="G3716">
        <f>'7E'!$E$25</f>
        <v>0</v>
      </c>
    </row>
    <row r="3717" spans="1:7">
      <c r="A3717" t="s">
        <v>17342</v>
      </c>
      <c r="C3717" t="str">
        <f>'7E'!$R$26</f>
        <v>S4033GNR</v>
      </c>
      <c r="D3717" t="str">
        <f>_xlfn.CONCAT('7E'!$B$19, "-", '7E'!$B$26, "-", '7E'!$E$5)</f>
        <v>Scheme delivery-Total number of sewage treatment works sites where additional storage has been delivered (grey infrastructure)-Input</v>
      </c>
      <c r="F3717" t="s">
        <v>17467</v>
      </c>
      <c r="G3717">
        <f>'7E'!$E$26</f>
        <v>0</v>
      </c>
    </row>
    <row r="3718" spans="1:7">
      <c r="A3718" t="s">
        <v>17342</v>
      </c>
      <c r="C3718" t="str">
        <f>'7E'!$R$27</f>
        <v>S4033GPNR</v>
      </c>
      <c r="D3718" t="str">
        <f>_xlfn.CONCAT('7E'!$B$19, "-", '7E'!$B$27, "-", '7E'!$E$5)</f>
        <v>Scheme delivery-Number of sewage treatment works sites where additional storage has been delivered with pumping (grey infrastructure)-Input</v>
      </c>
      <c r="F3718" t="s">
        <v>17467</v>
      </c>
      <c r="G3718">
        <f>'7E'!$E$27</f>
        <v>0</v>
      </c>
    </row>
    <row r="3719" spans="1:7">
      <c r="A3719" t="s">
        <v>17342</v>
      </c>
      <c r="C3719" t="str">
        <f>'7E'!$R$28</f>
        <v>S4033NNR</v>
      </c>
      <c r="D3719" t="str">
        <f>_xlfn.CONCAT('7E'!$B$19, "-", '7E'!$B$28, "-", '7E'!$E$5)</f>
        <v>Scheme delivery-Number of sewage treatment works benefitting from green infrastructure replacing the need for storm tank storage-Input</v>
      </c>
      <c r="F3719" t="s">
        <v>17467</v>
      </c>
      <c r="G3719">
        <f>'7E'!$E$28</f>
        <v>0</v>
      </c>
    </row>
    <row r="3720" spans="1:7">
      <c r="A3720" t="s">
        <v>17342</v>
      </c>
      <c r="C3720" t="str">
        <f>'7E'!$R$29</f>
        <v>S4034GNR</v>
      </c>
      <c r="D3720" t="str">
        <f>_xlfn.CONCAT('7E'!$B$19, "-", '7E'!$B$29, "-", '7E'!$E$5)</f>
        <v>Scheme delivery-Number of sites delivering additional network storage (grey infrastructure)-Input</v>
      </c>
      <c r="F3720" t="s">
        <v>17467</v>
      </c>
      <c r="G3720">
        <f>'7E'!$E$29</f>
        <v>0</v>
      </c>
    </row>
    <row r="3721" spans="1:7">
      <c r="A3721" t="s">
        <v>17342</v>
      </c>
      <c r="C3721" t="str">
        <f>'7E'!$R$30</f>
        <v>S4034GPNR</v>
      </c>
      <c r="D3721" t="str">
        <f>_xlfn.CONCAT('7E'!$B$19, "-", '7E'!$B$30, "-", '7E'!$E$5)</f>
        <v>Scheme delivery-Number of sites delivering additional network storage including pumping (grey infrastructure) -Input</v>
      </c>
      <c r="F3721" t="s">
        <v>17467</v>
      </c>
      <c r="G3721">
        <f>'7E'!$E$30</f>
        <v>1</v>
      </c>
    </row>
    <row r="3722" spans="1:7">
      <c r="A3722" t="s">
        <v>17342</v>
      </c>
      <c r="C3722" t="str">
        <f>'7E'!$R$31</f>
        <v>S4034NNR</v>
      </c>
      <c r="D3722" t="str">
        <f>_xlfn.CONCAT('7E'!$B$19, "-", '7E'!$B$31, "-", '7E'!$E$5)</f>
        <v>Scheme delivery-Number of sites delivering additional network storage through green infrastructure -Input</v>
      </c>
      <c r="F3722" t="s">
        <v>17467</v>
      </c>
      <c r="G3722">
        <f>'7E'!$E$31</f>
        <v>0</v>
      </c>
    </row>
    <row r="3723" spans="1:7">
      <c r="A3723" t="s">
        <v>17342</v>
      </c>
      <c r="C3723" t="str">
        <f>'7E'!$R$32</f>
        <v>S4034SWS</v>
      </c>
      <c r="D3723" t="str">
        <f>_xlfn.CONCAT('7E'!$B$19, "-", '7E'!$B$32, "-", '7E'!$E$5)</f>
        <v>Scheme delivery-Surface water separation drainage area removed-Input</v>
      </c>
      <c r="F3723" t="s">
        <v>17467</v>
      </c>
      <c r="G3723">
        <f>'7E'!$E$32</f>
        <v>11500</v>
      </c>
    </row>
    <row r="3724" spans="1:7">
      <c r="A3724" t="s">
        <v>17342</v>
      </c>
      <c r="C3724" t="str">
        <f>'7E'!$R$33</f>
        <v>S4031NR</v>
      </c>
      <c r="D3724" t="str">
        <f>_xlfn.CONCAT('7E'!$B$19, "-", '7E'!$B$33, "-", '7E'!$E$5)</f>
        <v>Scheme delivery-Number of schemes delivered to meet tightened or new sanitary consents -Input</v>
      </c>
      <c r="F3724" t="s">
        <v>17467</v>
      </c>
      <c r="G3724">
        <f>'7E'!$E$33</f>
        <v>0</v>
      </c>
    </row>
    <row r="3725" spans="1:7">
      <c r="A3725" t="s">
        <v>17342</v>
      </c>
      <c r="C3725" t="str">
        <f>'7E'!$R$34</f>
        <v>STWM001C</v>
      </c>
      <c r="D3725" t="str">
        <f>_xlfn.CONCAT('7E'!$B$19, "-", '7E'!$B$34, "-", '7E'!$E$5)</f>
        <v>Scheme delivery-Number of installations requiring civils for flow monitoring at sewage treatment works-Input</v>
      </c>
      <c r="F3725" t="s">
        <v>17467</v>
      </c>
      <c r="G3725">
        <f>'7E'!$E$34</f>
        <v>2</v>
      </c>
    </row>
    <row r="3726" spans="1:7">
      <c r="A3726" t="s">
        <v>17342</v>
      </c>
      <c r="C3726" t="str">
        <f>'7E'!$R$35</f>
        <v>BO_9504868</v>
      </c>
      <c r="D3726" t="str">
        <f>_xlfn.CONCAT('7E'!$B$19, "-", '7E'!$B$35, "-", '7E'!$E$5)</f>
        <v>Scheme delivery-Number of installations requiring civils for event duration monitoring at intermittent discharges-Input</v>
      </c>
      <c r="F3726" t="s">
        <v>17467</v>
      </c>
      <c r="G3726">
        <f>'7E'!$E$35</f>
        <v>0</v>
      </c>
    </row>
    <row r="3727" spans="1:7">
      <c r="A3727" t="s">
        <v>17342</v>
      </c>
      <c r="C3727" t="str">
        <f>'7E'!$R$36</f>
        <v>BO_1337357</v>
      </c>
      <c r="D3727" t="str">
        <f>_xlfn.CONCAT('7E'!$B$19, "-", '7E'!$B$36, "-", '7E'!$E$5)</f>
        <v>Scheme delivery-Number of storm overflows where improvements have been made to reduce harm or reduce spill frequencies-Input</v>
      </c>
      <c r="F3727" t="s">
        <v>17467</v>
      </c>
      <c r="G3727" s="2610">
        <f>'7E'!$E$36</f>
        <v>0</v>
      </c>
    </row>
    <row r="3728" spans="1:7">
      <c r="A3728" t="s">
        <v>17336</v>
      </c>
      <c r="C3728" t="str">
        <f>'8C'!$AI$9</f>
        <v>BO_7654321</v>
      </c>
      <c r="D3728" t="str">
        <f>_xlfn.CONCAT('8C'!$B$8, "-", '8C'!$B$9, "-", '8C'!$H$6, "-", '8C'!$H$5)</f>
        <v>Energy-Energy consumption - bioresources-MWh (0 DPs)-Total</v>
      </c>
      <c r="F3728" t="s">
        <v>17467</v>
      </c>
      <c r="G3728" s="2610">
        <f>'8C'!$H$9</f>
        <v>96432</v>
      </c>
    </row>
    <row r="3729" spans="1:7">
      <c r="A3729" t="s">
        <v>17336</v>
      </c>
      <c r="C3729" t="str">
        <f>'8C'!$AM$9</f>
        <v>B0002BIOECTOT</v>
      </c>
      <c r="D3729" t="str">
        <f>_xlfn.CONCAT('8C'!$B$8, "-", '8C'!$B$9, "-", '8C'!$L$6, "-", '8C'!$L$5)</f>
        <v>Energy-Energy consumption - bioresources-£m (3 DPs)-Total</v>
      </c>
      <c r="F3729" t="s">
        <v>17467</v>
      </c>
      <c r="G3729">
        <f>'8C'!$L$9</f>
        <v>12.204000000000001</v>
      </c>
    </row>
    <row r="3730" spans="1:7">
      <c r="A3730" t="s">
        <v>17336</v>
      </c>
      <c r="C3730" t="str">
        <f>'8C'!$AF$10</f>
        <v>B0002BIOEGBE</v>
      </c>
      <c r="D3730" t="str">
        <f>_xlfn.CONCAT('8C'!$B$8, "-", '8C'!$B$10, "-", '8C'!$E$6, "-", '8C'!$E$5)</f>
        <v>Energy-Energy generated by and used in bioresources control-MWh (0 DPs)-Electricity</v>
      </c>
      <c r="F3730" t="s">
        <v>17467</v>
      </c>
      <c r="G3730" s="2610">
        <f>'8C'!$E$10</f>
        <v>9385</v>
      </c>
    </row>
    <row r="3731" spans="1:7">
      <c r="A3731" t="s">
        <v>17336</v>
      </c>
      <c r="C3731" t="str">
        <f>'8C'!$AG$10</f>
        <v>B0002BIOEGBH</v>
      </c>
      <c r="D3731" t="str">
        <f>_xlfn.CONCAT('8C'!$B$8, "-", '8C'!$B$10, "-", '8C'!$F$6, "-", '8C'!$F$5)</f>
        <v>Energy-Energy generated by and used in bioresources control-MWh (0 DPs)-Heat</v>
      </c>
      <c r="F3731" t="s">
        <v>17467</v>
      </c>
      <c r="G3731" s="2610">
        <f>'8C'!$F$10</f>
        <v>28596</v>
      </c>
    </row>
    <row r="3732" spans="1:7">
      <c r="A3732" t="s">
        <v>17336</v>
      </c>
      <c r="C3732" t="str">
        <f>'8C'!$AH$10</f>
        <v>B0002BIOEGBB</v>
      </c>
      <c r="D3732" t="str">
        <f>_xlfn.CONCAT('8C'!$B$8, "-", '8C'!$B$10, "-", '8C'!$G$6, "-", '8C'!$G$5)</f>
        <v>Energy-Energy generated by and used in bioresources control-MWh (0 DPs)-Biomethane</v>
      </c>
      <c r="F3732" t="s">
        <v>17467</v>
      </c>
      <c r="G3732" s="2610">
        <f>'8C'!$G$10</f>
        <v>0</v>
      </c>
    </row>
    <row r="3733" spans="1:7">
      <c r="A3733" t="s">
        <v>17336</v>
      </c>
      <c r="C3733" t="str">
        <f>'8C'!$AI$10</f>
        <v>B0002BIOEGBT</v>
      </c>
      <c r="D3733" t="str">
        <f>_xlfn.CONCAT('8C'!$B$8, "-", '8C'!$B$10, "-", '8C'!$H$6, "-", '8C'!$H$5)</f>
        <v>Energy-Energy generated by and used in bioresources control-MWh (0 DPs)-Total</v>
      </c>
      <c r="F3733" t="s">
        <v>17467</v>
      </c>
      <c r="G3733" s="2610">
        <f>'8C'!$H$10</f>
        <v>37981</v>
      </c>
    </row>
    <row r="3734" spans="1:7">
      <c r="A3734" t="s">
        <v>17336</v>
      </c>
      <c r="C3734" t="str">
        <f>'8C'!$AJ$10</f>
        <v>B0002BIOEUBE</v>
      </c>
      <c r="D3734" t="str">
        <f>_xlfn.CONCAT('8C'!$B$8, "-", '8C'!$B$10, "-", '8C'!$I$6, "-", '8C'!$I$5)</f>
        <v>Energy-Energy generated by and used in bioresources control-£m (3 DPs)-Electricity</v>
      </c>
      <c r="F3734" t="s">
        <v>17467</v>
      </c>
      <c r="G3734">
        <f>'8C'!$I$10</f>
        <v>2.1240000000000001</v>
      </c>
    </row>
    <row r="3735" spans="1:7">
      <c r="A3735" t="s">
        <v>17336</v>
      </c>
      <c r="C3735" t="str">
        <f>'8C'!$AK$10</f>
        <v>B0002BIOEUBH</v>
      </c>
      <c r="D3735" t="str">
        <f>_xlfn.CONCAT('8C'!$B$8, "-", '8C'!$B$10, "-", '8C'!$J$6, "-", '8C'!$J$5)</f>
        <v>Energy-Energy generated by and used in bioresources control-£m (3 DPs)-Heat</v>
      </c>
      <c r="F3735" t="s">
        <v>17467</v>
      </c>
      <c r="G3735">
        <f>'8C'!$J$10</f>
        <v>0</v>
      </c>
    </row>
    <row r="3736" spans="1:7">
      <c r="A3736" t="s">
        <v>17336</v>
      </c>
      <c r="C3736" t="str">
        <f>'8C'!$AL$10</f>
        <v>B0002BIOEUBB</v>
      </c>
      <c r="D3736" t="str">
        <f>_xlfn.CONCAT('8C'!$B$8, "-", '8C'!$B$10, "-", '8C'!$K$6, "-", '8C'!$K$5)</f>
        <v>Energy-Energy generated by and used in bioresources control-£m (3 DPs)-Biomethane</v>
      </c>
      <c r="F3736" t="s">
        <v>17467</v>
      </c>
      <c r="G3736">
        <f>'8C'!$K$10</f>
        <v>0</v>
      </c>
    </row>
    <row r="3737" spans="1:7">
      <c r="A3737" t="s">
        <v>17336</v>
      </c>
      <c r="C3737" t="str">
        <f>'8C'!$AM$10</f>
        <v>B0002BIOEUBT</v>
      </c>
      <c r="D3737" t="str">
        <f>_xlfn.CONCAT('8C'!$B$8, "-", '8C'!$B$10, "-", '8C'!$L$6, "-", '8C'!$L$5)</f>
        <v>Energy-Energy generated by and used in bioresources control-£m (3 DPs)-Total</v>
      </c>
      <c r="F3737" t="s">
        <v>17467</v>
      </c>
      <c r="G3737">
        <f>'8C'!$L$10</f>
        <v>2.1240000000000001</v>
      </c>
    </row>
    <row r="3738" spans="1:7">
      <c r="A3738" t="s">
        <v>17336</v>
      </c>
      <c r="C3738" t="str">
        <f>'8C'!$AF$11</f>
        <v>B0002BIOEGNE</v>
      </c>
      <c r="D3738" t="str">
        <f>_xlfn.CONCAT('8C'!$B$8, "-", '8C'!$B$11, "-", '8C'!$E$6, "-", '8C'!$E$5)</f>
        <v>Energy-Energy generated by bioresources and used in network plus control-MWh (0 DPs)-Electricity</v>
      </c>
      <c r="F3738" t="s">
        <v>17467</v>
      </c>
      <c r="G3738" s="2610">
        <f>'8C'!$E$11</f>
        <v>25192</v>
      </c>
    </row>
    <row r="3739" spans="1:7">
      <c r="A3739" t="s">
        <v>17336</v>
      </c>
      <c r="C3739" t="str">
        <f>'8C'!$AG$11</f>
        <v>B0002BIOEGNH</v>
      </c>
      <c r="D3739" t="str">
        <f>_xlfn.CONCAT('8C'!$B$8, "-", '8C'!$B$11, "-", '8C'!$F$6, "-", '8C'!$F$5)</f>
        <v>Energy-Energy generated by bioresources and used in network plus control-MWh (0 DPs)-Heat</v>
      </c>
      <c r="F3739" t="s">
        <v>17467</v>
      </c>
      <c r="G3739" s="2610">
        <f>'8C'!$F$11</f>
        <v>0</v>
      </c>
    </row>
    <row r="3740" spans="1:7">
      <c r="A3740" t="s">
        <v>17336</v>
      </c>
      <c r="C3740" t="str">
        <f>'8C'!$AH$11</f>
        <v>B0002BIOEGNB</v>
      </c>
      <c r="D3740" t="str">
        <f>_xlfn.CONCAT('8C'!$B$8, "-", '8C'!$B$11, "-", '8C'!$G$6, "-", '8C'!$G$5)</f>
        <v>Energy-Energy generated by bioresources and used in network plus control-MWh (0 DPs)-Biomethane</v>
      </c>
      <c r="F3740" t="s">
        <v>17467</v>
      </c>
      <c r="G3740" s="2610">
        <f>'8C'!$G$11</f>
        <v>0</v>
      </c>
    </row>
    <row r="3741" spans="1:7">
      <c r="A3741" t="s">
        <v>17336</v>
      </c>
      <c r="C3741" t="str">
        <f>'8C'!$AI$11</f>
        <v>B0002BIOEGNT</v>
      </c>
      <c r="D3741" t="str">
        <f>_xlfn.CONCAT('8C'!$B$8, "-", '8C'!$B$11, "-", '8C'!$H$6, "-", '8C'!$H$5)</f>
        <v>Energy-Energy generated by bioresources and used in network plus control-MWh (0 DPs)-Total</v>
      </c>
      <c r="F3741" t="s">
        <v>17467</v>
      </c>
      <c r="G3741" s="2610">
        <f>'8C'!$H$11</f>
        <v>25192</v>
      </c>
    </row>
    <row r="3742" spans="1:7">
      <c r="A3742" t="s">
        <v>17336</v>
      </c>
      <c r="C3742" t="str">
        <f>'8C'!$AJ$11</f>
        <v>B0002BIOEUNE</v>
      </c>
      <c r="D3742" t="str">
        <f>_xlfn.CONCAT('8C'!$B$8, "-", '8C'!$B$11, "-", '8C'!$I$6, "-", '8C'!$I$5)</f>
        <v>Energy-Energy generated by bioresources and used in network plus control-£m (3 DPs)-Electricity</v>
      </c>
      <c r="F3742" t="s">
        <v>17467</v>
      </c>
      <c r="G3742">
        <f>'8C'!$I$11</f>
        <v>5.7009999999999996</v>
      </c>
    </row>
    <row r="3743" spans="1:7">
      <c r="A3743" t="s">
        <v>17336</v>
      </c>
      <c r="C3743" t="str">
        <f>'8C'!$AK$11</f>
        <v>B0002BIOEUNH</v>
      </c>
      <c r="D3743" t="str">
        <f>_xlfn.CONCAT('8C'!$B$8, "-", '8C'!$B$11, "-", '8C'!$J$6, "-", '8C'!$J$5)</f>
        <v>Energy-Energy generated by bioresources and used in network plus control-£m (3 DPs)-Heat</v>
      </c>
      <c r="F3743" t="s">
        <v>17467</v>
      </c>
      <c r="G3743">
        <f>'8C'!$J$11</f>
        <v>0</v>
      </c>
    </row>
    <row r="3744" spans="1:7">
      <c r="A3744" t="s">
        <v>17336</v>
      </c>
      <c r="C3744" t="str">
        <f>'8C'!$AL$11</f>
        <v>B0002BIOEUNB</v>
      </c>
      <c r="D3744" t="str">
        <f>_xlfn.CONCAT('8C'!$B$8, "-", '8C'!$B$11, "-", '8C'!$K$6, "-", '8C'!$K$5)</f>
        <v>Energy-Energy generated by bioresources and used in network plus control-£m (3 DPs)-Biomethane</v>
      </c>
      <c r="F3744" t="s">
        <v>17467</v>
      </c>
      <c r="G3744">
        <f>'8C'!$K$11</f>
        <v>0</v>
      </c>
    </row>
    <row r="3745" spans="1:7">
      <c r="A3745" t="s">
        <v>17336</v>
      </c>
      <c r="C3745" t="str">
        <f>'8C'!$AM$11</f>
        <v>B0002BIOEUNT</v>
      </c>
      <c r="D3745" t="str">
        <f>_xlfn.CONCAT('8C'!$B$8, "-", '8C'!$B$11, "-", '8C'!$L$6, "-", '8C'!$L$5)</f>
        <v>Energy-Energy generated by bioresources and used in network plus control-£m (3 DPs)-Total</v>
      </c>
      <c r="F3745" t="s">
        <v>17467</v>
      </c>
      <c r="G3745">
        <f>'8C'!$L$11</f>
        <v>5.7009999999999996</v>
      </c>
    </row>
    <row r="3746" spans="1:7">
      <c r="A3746" t="s">
        <v>17336</v>
      </c>
      <c r="C3746" t="str">
        <f>'8C'!$AF$12</f>
        <v>B0002BIOEGGTE</v>
      </c>
      <c r="D3746" t="str">
        <f>_xlfn.CONCAT('8C'!$B$8, "-", '8C'!$B$12, "-", '8C'!$E$6, "-", '8C'!$E$5)</f>
        <v>Energy-Energy generated by bioresources and exported to the grid or third party-MWh (0 DPs)-Electricity</v>
      </c>
      <c r="F3746" t="s">
        <v>17467</v>
      </c>
      <c r="G3746" s="2610">
        <f>'8C'!$E$12</f>
        <v>1885</v>
      </c>
    </row>
    <row r="3747" spans="1:7">
      <c r="A3747" t="s">
        <v>17336</v>
      </c>
      <c r="C3747" t="str">
        <f>'8C'!$AG$12</f>
        <v>B0002BIOEGGTH</v>
      </c>
      <c r="D3747" t="str">
        <f>_xlfn.CONCAT('8C'!$B$8, "-", '8C'!$B$12, "-", '8C'!$F$6, "-", '8C'!$F$5)</f>
        <v>Energy-Energy generated by bioresources and exported to the grid or third party-MWh (0 DPs)-Heat</v>
      </c>
      <c r="F3747" t="s">
        <v>17467</v>
      </c>
      <c r="G3747" s="2610">
        <f>'8C'!$F$12</f>
        <v>0</v>
      </c>
    </row>
    <row r="3748" spans="1:7">
      <c r="A3748" t="s">
        <v>17336</v>
      </c>
      <c r="C3748" t="str">
        <f>'8C'!$AH$12</f>
        <v>B0002BIOEGGTB</v>
      </c>
      <c r="D3748" t="str">
        <f>_xlfn.CONCAT('8C'!$B$8, "-", '8C'!$B$12, "-", '8C'!$G$6, "-", '8C'!$G$5)</f>
        <v>Energy-Energy generated by bioresources and exported to the grid or third party-MWh (0 DPs)-Biomethane</v>
      </c>
      <c r="F3748" t="s">
        <v>17467</v>
      </c>
      <c r="G3748" s="2610">
        <f>'8C'!$G$12</f>
        <v>30660</v>
      </c>
    </row>
    <row r="3749" spans="1:7">
      <c r="A3749" t="s">
        <v>17336</v>
      </c>
      <c r="C3749" t="str">
        <f>'8C'!$AI$12</f>
        <v>B0002BIOEGGTT</v>
      </c>
      <c r="D3749" t="str">
        <f>_xlfn.CONCAT('8C'!$B$8, "-", '8C'!$B$12, "-", '8C'!$H$6, "-", '8C'!$H$5)</f>
        <v>Energy-Energy generated by bioresources and exported to the grid or third party-MWh (0 DPs)-Total</v>
      </c>
      <c r="F3749" t="s">
        <v>17467</v>
      </c>
      <c r="G3749" s="2610">
        <f>'8C'!$H$12</f>
        <v>32545</v>
      </c>
    </row>
    <row r="3750" spans="1:7">
      <c r="A3750" t="s">
        <v>17336</v>
      </c>
      <c r="C3750" t="str">
        <f>'8C'!$AJ$12</f>
        <v>B0002BIOEUGTE</v>
      </c>
      <c r="D3750" t="str">
        <f>_xlfn.CONCAT('8C'!$B$8, "-", '8C'!$B$12, "-", '8C'!$I$6, "-", '8C'!$I$5)</f>
        <v>Energy-Energy generated by bioresources and exported to the grid or third party-£m (3 DPs)-Electricity</v>
      </c>
      <c r="F3750" t="s">
        <v>17467</v>
      </c>
      <c r="G3750">
        <f>'8C'!$I$12</f>
        <v>0.35199999999999998</v>
      </c>
    </row>
    <row r="3751" spans="1:7">
      <c r="A3751" t="s">
        <v>17336</v>
      </c>
      <c r="C3751" t="str">
        <f>'8C'!$AK$12</f>
        <v>B0002BIOEUGTH</v>
      </c>
      <c r="D3751" t="str">
        <f>_xlfn.CONCAT('8C'!$B$8, "-", '8C'!$B$12, "-", '8C'!$J$6, "-", '8C'!$J$5)</f>
        <v>Energy-Energy generated by bioresources and exported to the grid or third party-£m (3 DPs)-Heat</v>
      </c>
      <c r="F3751" t="s">
        <v>17467</v>
      </c>
      <c r="G3751">
        <f>'8C'!$J$12</f>
        <v>0</v>
      </c>
    </row>
    <row r="3752" spans="1:7">
      <c r="A3752" t="s">
        <v>17336</v>
      </c>
      <c r="C3752" t="str">
        <f>'8C'!$AL$12</f>
        <v>B0002BIOEUGTB</v>
      </c>
      <c r="D3752" t="str">
        <f>_xlfn.CONCAT('8C'!$B$8, "-", '8C'!$B$12, "-", '8C'!$K$6, "-", '8C'!$K$5)</f>
        <v>Energy-Energy generated by bioresources and exported to the grid or third party-£m (3 DPs)-Biomethane</v>
      </c>
      <c r="F3752" t="s">
        <v>17467</v>
      </c>
      <c r="G3752">
        <f>'8C'!$K$12</f>
        <v>1.964</v>
      </c>
    </row>
    <row r="3753" spans="1:7">
      <c r="A3753" t="s">
        <v>17336</v>
      </c>
      <c r="C3753" t="str">
        <f>'8C'!$AM$12</f>
        <v>B0002BIOEUGTT</v>
      </c>
      <c r="D3753" t="str">
        <f>_xlfn.CONCAT('8C'!$B$8, "-", '8C'!$B$12, "-", '8C'!$L$6, "-", '8C'!$L$5)</f>
        <v>Energy-Energy generated by bioresources and exported to the grid or third party-£m (3 DPs)-Total</v>
      </c>
      <c r="F3753" t="s">
        <v>17467</v>
      </c>
      <c r="G3753">
        <f>'8C'!$L$12</f>
        <v>2.3159999999999998</v>
      </c>
    </row>
    <row r="3754" spans="1:7">
      <c r="A3754" t="s">
        <v>17336</v>
      </c>
      <c r="C3754" t="str">
        <f>'8C'!$AF$13</f>
        <v>B0002BIOEGUE</v>
      </c>
      <c r="D3754" t="str">
        <f>_xlfn.CONCAT('8C'!$B$8, "-", '8C'!$B$13, "-", '8C'!$E$6, "-", '8C'!$E$5)</f>
        <v>Energy-Energy generated by bioresources that is unused-MWh (0 DPs)-Electricity</v>
      </c>
      <c r="F3754" t="s">
        <v>17467</v>
      </c>
      <c r="G3754" s="2610">
        <f>'8C'!$E$13</f>
        <v>0</v>
      </c>
    </row>
    <row r="3755" spans="1:7">
      <c r="A3755" t="s">
        <v>17336</v>
      </c>
      <c r="C3755" t="str">
        <f>'8C'!$AG$13</f>
        <v>B0002BIOEGUH</v>
      </c>
      <c r="D3755" t="str">
        <f>_xlfn.CONCAT('8C'!$B$8, "-", '8C'!$B$13, "-", '8C'!$F$6, "-", '8C'!$F$5)</f>
        <v>Energy-Energy generated by bioresources that is unused-MWh (0 DPs)-Heat</v>
      </c>
      <c r="F3755" t="s">
        <v>17467</v>
      </c>
      <c r="G3755" s="2610">
        <f>'8C'!$F$13</f>
        <v>43435</v>
      </c>
    </row>
    <row r="3756" spans="1:7">
      <c r="A3756" t="s">
        <v>17336</v>
      </c>
      <c r="C3756" t="str">
        <f>'8C'!$AH$13</f>
        <v>B0002BIOEGUB</v>
      </c>
      <c r="D3756" t="str">
        <f>_xlfn.CONCAT('8C'!$B$8, "-", '8C'!$B$13, "-", '8C'!$G$6, "-", '8C'!$G$5)</f>
        <v>Energy-Energy generated by bioresources that is unused-MWh (0 DPs)-Biomethane</v>
      </c>
      <c r="F3756" t="s">
        <v>17467</v>
      </c>
      <c r="G3756" s="2610">
        <f>'8C'!$G$13</f>
        <v>0</v>
      </c>
    </row>
    <row r="3757" spans="1:7">
      <c r="A3757" t="s">
        <v>17336</v>
      </c>
      <c r="C3757" t="str">
        <f>'8C'!$AI$13</f>
        <v>B0002BIOEGUT</v>
      </c>
      <c r="D3757" t="str">
        <f>_xlfn.CONCAT('8C'!$B$8, "-", '8C'!$B$13, "-", '8C'!$H$6, "-", '8C'!$H$5)</f>
        <v>Energy-Energy generated by bioresources that is unused-MWh (0 DPs)-Total</v>
      </c>
      <c r="F3757" t="s">
        <v>17467</v>
      </c>
      <c r="G3757" s="2610">
        <f>'8C'!$H$13</f>
        <v>43435</v>
      </c>
    </row>
    <row r="3758" spans="1:7">
      <c r="A3758" t="s">
        <v>17336</v>
      </c>
      <c r="C3758" t="str">
        <f>'8C'!$AF$14</f>
        <v>B0002BIOEBGTE</v>
      </c>
      <c r="D3758" t="str">
        <f>_xlfn.CONCAT('8C'!$B$8, "-", '8C'!$B$14, "-", '8C'!$E$6, "-", '8C'!$E$5)</f>
        <v>Energy-Energy bought from grid or third party and used in bioresources control-MWh (0 DPs)-Electricity</v>
      </c>
      <c r="F3758" t="s">
        <v>17467</v>
      </c>
      <c r="G3758" s="2610">
        <f>'8C'!$E$14</f>
        <v>24885</v>
      </c>
    </row>
    <row r="3759" spans="1:7">
      <c r="A3759" t="s">
        <v>17336</v>
      </c>
      <c r="C3759" t="str">
        <f>'8C'!$AG$14</f>
        <v>B0002BIOEBGTH</v>
      </c>
      <c r="D3759" t="str">
        <f>_xlfn.CONCAT('8C'!$B$8, "-", '8C'!$B$14, "-", '8C'!$F$6, "-", '8C'!$F$5)</f>
        <v>Energy-Energy bought from grid or third party and used in bioresources control-MWh (0 DPs)-Heat</v>
      </c>
      <c r="F3759" t="s">
        <v>17467</v>
      </c>
      <c r="G3759" s="2610">
        <f>'8C'!$F$14</f>
        <v>52235</v>
      </c>
    </row>
    <row r="3760" spans="1:7">
      <c r="A3760" t="s">
        <v>17336</v>
      </c>
      <c r="C3760" t="str">
        <f>'8C'!$AH$14</f>
        <v>B0002BIOEBGTB</v>
      </c>
      <c r="D3760" t="str">
        <f>_xlfn.CONCAT('8C'!$B$8, "-", '8C'!$B$14, "-", '8C'!$G$6, "-", '8C'!$G$5)</f>
        <v>Energy-Energy bought from grid or third party and used in bioresources control-MWh (0 DPs)-Biomethane</v>
      </c>
      <c r="F3760" t="s">
        <v>17467</v>
      </c>
      <c r="G3760" s="2610">
        <f>'8C'!$G$14</f>
        <v>0</v>
      </c>
    </row>
    <row r="3761" spans="1:7">
      <c r="A3761" t="s">
        <v>17336</v>
      </c>
      <c r="C3761" t="str">
        <f>'8C'!$AI$14</f>
        <v>B0002BIOEBGTT</v>
      </c>
      <c r="D3761" t="str">
        <f>_xlfn.CONCAT('8C'!$B$8, "-", '8C'!$B$14, "-", '8C'!$H$6, "-", '8C'!$H$5)</f>
        <v>Energy-Energy bought from grid or third party and used in bioresources control-MWh (0 DPs)-Total</v>
      </c>
      <c r="F3761" t="s">
        <v>17467</v>
      </c>
      <c r="G3761" s="2610">
        <f>'8C'!$H$14</f>
        <v>77120</v>
      </c>
    </row>
    <row r="3762" spans="1:7">
      <c r="A3762" t="s">
        <v>17336</v>
      </c>
      <c r="C3762" t="str">
        <f>'8C'!$AJ$14</f>
        <v>B0002BIOEUBGTE</v>
      </c>
      <c r="D3762" t="str">
        <f>_xlfn.CONCAT('8C'!$B$8, "-", '8C'!$B$14, "-", '8C'!$I$6, "-", '8C'!$I$5)</f>
        <v>Energy-Energy bought from grid or third party and used in bioresources control-£m (3 DPs)-Electricity</v>
      </c>
      <c r="F3762" t="s">
        <v>17467</v>
      </c>
      <c r="G3762">
        <f>'8C'!$I$14</f>
        <v>5.6310000000000002</v>
      </c>
    </row>
    <row r="3763" spans="1:7">
      <c r="A3763" t="s">
        <v>17336</v>
      </c>
      <c r="C3763" t="str">
        <f>'8C'!$AK$14</f>
        <v>B0002BIOEUBGTH</v>
      </c>
      <c r="D3763" t="str">
        <f>_xlfn.CONCAT('8C'!$B$8, "-", '8C'!$B$14, "-", '8C'!$J$6, "-", '8C'!$J$5)</f>
        <v>Energy-Energy bought from grid or third party and used in bioresources control-£m (3 DPs)-Heat</v>
      </c>
      <c r="F3763" t="s">
        <v>17467</v>
      </c>
      <c r="G3763">
        <f>'8C'!$J$14</f>
        <v>1.9119999999999999</v>
      </c>
    </row>
    <row r="3764" spans="1:7">
      <c r="A3764" t="s">
        <v>17336</v>
      </c>
      <c r="C3764" t="str">
        <f>'8C'!$AL$14</f>
        <v>B0002BIOEUBGTB</v>
      </c>
      <c r="D3764" t="str">
        <f>_xlfn.CONCAT('8C'!$B$8, "-", '8C'!$B$14, "-", '8C'!$K$6, "-", '8C'!$K$5)</f>
        <v>Energy-Energy bought from grid or third party and used in bioresources control-£m (3 DPs)-Biomethane</v>
      </c>
      <c r="F3764" t="s">
        <v>17467</v>
      </c>
      <c r="G3764">
        <f>'8C'!$K$14</f>
        <v>0</v>
      </c>
    </row>
    <row r="3765" spans="1:7">
      <c r="A3765" t="s">
        <v>17336</v>
      </c>
      <c r="C3765" t="str">
        <f>'8C'!$AM$14</f>
        <v>B0002BIOEUBGTT</v>
      </c>
      <c r="D3765" t="str">
        <f>_xlfn.CONCAT('8C'!$B$8, "-", '8C'!$B$14, "-", '8C'!$L$6, "-", '8C'!$L$5)</f>
        <v>Energy-Energy bought from grid or third party and used in bioresources control-£m (3 DPs)-Total</v>
      </c>
      <c r="F3765" t="s">
        <v>17467</v>
      </c>
      <c r="G3765">
        <f>'8C'!$L$14</f>
        <v>7.5430000000000001</v>
      </c>
    </row>
    <row r="3766" spans="1:7">
      <c r="A3766" t="s">
        <v>17336</v>
      </c>
      <c r="C3766" t="str">
        <f>'8C'!$AF$17</f>
        <v>B0002BIOIROC</v>
      </c>
      <c r="D3766" t="str">
        <f>_xlfn.CONCAT('8C'!$B$16, "-", '8C'!$B$17, "-", '8C'!$E$16)</f>
        <v>Income from renewable energy subsidies-Income claimed from Renewable Energy Certificates (ROCs)-Value</v>
      </c>
      <c r="F3766" t="s">
        <v>17467</v>
      </c>
      <c r="G3766">
        <f>'8C'!$E$17</f>
        <v>1.8520000000000001</v>
      </c>
    </row>
    <row r="3767" spans="1:7">
      <c r="A3767" t="s">
        <v>17336</v>
      </c>
      <c r="C3767" t="str">
        <f>'8C'!$AF$18</f>
        <v>B0002BIOIRHI</v>
      </c>
      <c r="D3767" t="str">
        <f>_xlfn.CONCAT('8C'!$B$16, "-", '8C'!$B$18, "-", '8C'!$E$16)</f>
        <v>Income from renewable energy subsidies-Income claimed from Renewable Heat Incentives (RHIs)-Value</v>
      </c>
      <c r="F3767" t="s">
        <v>17467</v>
      </c>
      <c r="G3767">
        <f>'8C'!$E$18</f>
        <v>3.137</v>
      </c>
    </row>
    <row r="3768" spans="1:7">
      <c r="A3768" t="s">
        <v>17336</v>
      </c>
      <c r="C3768" t="str">
        <f>'8C'!$AF$19</f>
        <v>B0002BIOIOTH1</v>
      </c>
      <c r="D3768" t="str">
        <f>_xlfn.CONCAT('8C'!$B$16, "-", '8C'!$B$19, "-", '8C'!$E$16)</f>
        <v>Income from renewable energy subsidies-Income claimed from [other renewable energy subsidy (1)]-Value</v>
      </c>
      <c r="F3768" t="s">
        <v>17467</v>
      </c>
      <c r="G3768">
        <f>'8C'!$E$19</f>
        <v>0</v>
      </c>
    </row>
    <row r="3769" spans="1:7">
      <c r="A3769" t="s">
        <v>17336</v>
      </c>
      <c r="C3769" t="str">
        <f>'8C'!$AF$20</f>
        <v>B0002BIOIOTH2</v>
      </c>
      <c r="D3769" t="str">
        <f>_xlfn.CONCAT('8C'!$B$16, "-", '8C'!$B$20, "-", '8C'!$E$16)</f>
        <v>Income from renewable energy subsidies-Income claimed from [other renewable energy subsidy (2)]-Value</v>
      </c>
      <c r="F3769" t="s">
        <v>17467</v>
      </c>
      <c r="G3769">
        <f>'8C'!$E$20</f>
        <v>0</v>
      </c>
    </row>
    <row r="3770" spans="1:7">
      <c r="A3770" t="s">
        <v>17336</v>
      </c>
      <c r="C3770" t="str">
        <f>'8C'!$AF$21</f>
        <v>B0002BIOIOTH3</v>
      </c>
      <c r="D3770" t="str">
        <f>_xlfn.CONCAT('8C'!$B$16, "-", '8C'!$B$21, "-", '8C'!$E$16)</f>
        <v>Income from renewable energy subsidies-Income claimed from [other renewable energy subsidy (3)]-Value</v>
      </c>
      <c r="F3770" t="s">
        <v>17467</v>
      </c>
      <c r="G3770">
        <f>'8C'!$E$21</f>
        <v>0</v>
      </c>
    </row>
    <row r="3771" spans="1:7">
      <c r="A3771" t="s">
        <v>17336</v>
      </c>
      <c r="C3771" t="str">
        <f>'8C'!$AF$22</f>
        <v>B0002BIOITOT</v>
      </c>
      <c r="D3771" t="str">
        <f>_xlfn.CONCAT('8C'!$B$16, "-", '8C'!$B$22, "-", '8C'!$E$16)</f>
        <v>Income from renewable energy subsidies-Total income claimed from renewable energy subsidies-Value</v>
      </c>
      <c r="F3771" t="s">
        <v>17467</v>
      </c>
      <c r="G3771">
        <f>'8C'!$E$22</f>
        <v>4.9889999999999999</v>
      </c>
    </row>
    <row r="3772" spans="1:7">
      <c r="A3772" t="s">
        <v>17336</v>
      </c>
      <c r="C3772" s="2603" t="str">
        <f>'8C'!$AF$23</f>
        <v>B0002BIOIPCTEX</v>
      </c>
      <c r="D3772" t="str">
        <f>_xlfn.CONCAT('8C'!$B$16, "-", '8C'!$B$23, "-", '8C'!$E$16)</f>
        <v>Income from renewable energy subsidies-% of total number of renewable energy subsidies due to expire in the next 2 financial years-Value</v>
      </c>
      <c r="F3772" t="s">
        <v>17467</v>
      </c>
      <c r="G3772" s="2603">
        <f>'8C'!$E$23</f>
        <v>0</v>
      </c>
    </row>
    <row r="3773" spans="1:7">
      <c r="A3773" t="s">
        <v>17336</v>
      </c>
      <c r="C3773" t="str">
        <f>'8C'!$AF$24</f>
        <v>B0002BIOITOTEX</v>
      </c>
      <c r="D3773" t="str">
        <f>_xlfn.CONCAT('8C'!$B$16, "-", '8C'!$B$24, "-", '8C'!$E$16)</f>
        <v>Income from renewable energy subsidies-This year’s value of renewable energy subsidies due to expire in the next 2 financial years-Value</v>
      </c>
      <c r="F3773" t="s">
        <v>17467</v>
      </c>
      <c r="G3773">
        <f>'8C'!$E$24</f>
        <v>0</v>
      </c>
    </row>
    <row r="3774" spans="1:7">
      <c r="A3774" t="s">
        <v>17336</v>
      </c>
      <c r="C3774" t="str">
        <f>'8C'!$AF$29</f>
        <v>B0002BIOTBOD</v>
      </c>
      <c r="D3774" t="str">
        <f>_xlfn.CONCAT('8C'!$B$28, "-", '8C'!$B$29, "-", '8C'!$E$28)</f>
        <v>Bioresources liquors treated by network plus (shadow reported) -BOD load of liquor or partially treated liquor returned from bioresources to network plus-Value</v>
      </c>
      <c r="F3774" t="s">
        <v>17467</v>
      </c>
      <c r="G3774">
        <f>'8C'!$E$29</f>
        <v>9793</v>
      </c>
    </row>
    <row r="3775" spans="1:7">
      <c r="A3775" t="s">
        <v>17336</v>
      </c>
      <c r="C3775" t="str">
        <f>'8C'!$AF$30</f>
        <v>B0002BIOTAMM</v>
      </c>
      <c r="D3775" t="str">
        <f>_xlfn.CONCAT('8C'!$B$28, "-", '8C'!$B$30, "-", '8C'!$E$28)</f>
        <v>Bioresources liquors treated by network plus (shadow reported) -Ammonia load of liquor or partially treated liquor returned from bioresources to network plus-Value</v>
      </c>
      <c r="F3775" t="s">
        <v>17467</v>
      </c>
      <c r="G3775">
        <f>'8C'!$E$30</f>
        <v>3494</v>
      </c>
    </row>
    <row r="3776" spans="1:7">
      <c r="A3776" t="s">
        <v>17336</v>
      </c>
      <c r="C3776" t="str">
        <f>'8C'!$AF$31</f>
        <v>B0002BIOTRCHG</v>
      </c>
      <c r="D3776" t="str">
        <f>_xlfn.CONCAT('8C'!$B$28, "-", '8C'!$B$31, "-", '8C'!$E$28)</f>
        <v>Bioresources liquors treated by network plus (shadow reported) -Recharge to Bioresources by network plus for costs of handling and treating bioresources liquors-Value</v>
      </c>
      <c r="F3776" t="s">
        <v>17467</v>
      </c>
      <c r="G3776">
        <f>'8C'!$E$31</f>
        <v>6.6239999999999997</v>
      </c>
    </row>
    <row r="3777" spans="1:7">
      <c r="A3777" t="s">
        <v>17336</v>
      </c>
      <c r="C3777" t="str">
        <f>'8C'!$AI$37</f>
        <v>BO_780543074</v>
      </c>
      <c r="D3777" t="str">
        <f>_xlfn.CONCAT('8C'!$B$36, "-", '8C'!$B$37, "-", '8C'!$H$34, "-", '8C'!$H$33)</f>
        <v>Energy (AMP 7 shadow reported values)-Energy consumption - bioresources-MWh (0 DPs)-Total</v>
      </c>
      <c r="F3777" t="s">
        <v>17467</v>
      </c>
      <c r="G3777" s="2610">
        <f>'8C'!$H$37</f>
        <v>96432</v>
      </c>
    </row>
    <row r="3778" spans="1:7">
      <c r="A3778" t="s">
        <v>17336</v>
      </c>
      <c r="C3778" t="str">
        <f>'8C'!$AM$37</f>
        <v>B0002ECB_TOT</v>
      </c>
      <c r="D3778" t="str">
        <f>_xlfn.CONCAT('8C'!$B$36, "-", '8C'!$B$37, "-", '8C'!$L$34, "-", '8C'!$L$33)</f>
        <v>Energy (AMP 7 shadow reported values)-Energy consumption - bioresources-£m (3 DPs)-Total</v>
      </c>
      <c r="F3778" t="s">
        <v>17467</v>
      </c>
      <c r="G3778">
        <f>'8C'!$L$37</f>
        <v>12.204000000000001</v>
      </c>
    </row>
    <row r="3779" spans="1:7">
      <c r="A3779" t="s">
        <v>17336</v>
      </c>
      <c r="C3779" t="str">
        <f>'8C'!$AF$38</f>
        <v>B0002EGB_EP</v>
      </c>
      <c r="D3779" t="str">
        <f>_xlfn.CONCAT('8C'!$B$36, "-", '8C'!$B$38, "-", '8C'!$E$34, "-", '8C'!$E$33)</f>
        <v>Energy (AMP 7 shadow reported values)-Energy generated by and used in bioresources control-MWh (0 DPs)-Electricity</v>
      </c>
      <c r="F3779" t="s">
        <v>17467</v>
      </c>
      <c r="G3779" s="2610">
        <f>'8C'!$E$38</f>
        <v>16842</v>
      </c>
    </row>
    <row r="3780" spans="1:7">
      <c r="A3780" t="s">
        <v>17336</v>
      </c>
      <c r="C3780" t="str">
        <f>'8C'!$AG$38</f>
        <v>B0002EGB_HP</v>
      </c>
      <c r="D3780" t="str">
        <f>_xlfn.CONCAT('8C'!$B$36, "-", '8C'!$B$38, "-", '8C'!$F$34, "-", '8C'!$F$33)</f>
        <v>Energy (AMP 7 shadow reported values)-Energy generated by and used in bioresources control-MWh (0 DPs)-Heat</v>
      </c>
      <c r="F3780" t="s">
        <v>17467</v>
      </c>
      <c r="G3780" s="2610">
        <f>'8C'!$F$38</f>
        <v>28596</v>
      </c>
    </row>
    <row r="3781" spans="1:7">
      <c r="A3781" t="s">
        <v>17336</v>
      </c>
      <c r="C3781" t="str">
        <f>'8C'!$AH$38</f>
        <v>B0002EGB_BP</v>
      </c>
      <c r="D3781" t="str">
        <f>_xlfn.CONCAT('8C'!$B$36, "-", '8C'!$B$38, "-", '8C'!$G$34, "-", '8C'!$G$33)</f>
        <v>Energy (AMP 7 shadow reported values)-Energy generated by and used in bioresources control-MWh (0 DPs)-Biomethane</v>
      </c>
      <c r="F3781" t="s">
        <v>17467</v>
      </c>
      <c r="G3781" s="2610">
        <f>'8C'!$G$38</f>
        <v>0</v>
      </c>
    </row>
    <row r="3782" spans="1:7">
      <c r="A3782" t="s">
        <v>17336</v>
      </c>
      <c r="C3782" t="str">
        <f>'8C'!$AI$38</f>
        <v>B0002EGB_TM</v>
      </c>
      <c r="D3782" t="str">
        <f>_xlfn.CONCAT('8C'!$B$36, "-", '8C'!$B$38, "-", '8C'!$H$34, "-", '8C'!$H$33)</f>
        <v>Energy (AMP 7 shadow reported values)-Energy generated by and used in bioresources control-MWh (0 DPs)-Total</v>
      </c>
      <c r="F3782" t="s">
        <v>17467</v>
      </c>
      <c r="G3782" s="2610">
        <f>'8C'!$H$38</f>
        <v>45438</v>
      </c>
    </row>
    <row r="3783" spans="1:7">
      <c r="A3783" t="s">
        <v>17336</v>
      </c>
      <c r="C3783" t="str">
        <f>'8C'!$AJ$38</f>
        <v>B0003EGB_EP</v>
      </c>
      <c r="D3783" t="str">
        <f>_xlfn.CONCAT('8C'!$B$36, "-", '8C'!$B$38, "-", '8C'!$I$34, "-", '8C'!$I$33)</f>
        <v>Energy (AMP 7 shadow reported values)-Energy generated by and used in bioresources control-£m (3 DPs)-Electricity</v>
      </c>
      <c r="F3783" t="s">
        <v>17467</v>
      </c>
      <c r="G3783">
        <f>'8C'!$I$38</f>
        <v>3.8109999999999999</v>
      </c>
    </row>
    <row r="3784" spans="1:7">
      <c r="A3784" t="s">
        <v>17336</v>
      </c>
      <c r="C3784" t="str">
        <f>'8C'!$AK$38</f>
        <v>B0003EGB_HP</v>
      </c>
      <c r="D3784" t="str">
        <f>_xlfn.CONCAT('8C'!$B$36, "-", '8C'!$B$38, "-", '8C'!$J$34, "-", '8C'!$J$33)</f>
        <v>Energy (AMP 7 shadow reported values)-Energy generated by and used in bioresources control-£m (3 DPs)-Heat</v>
      </c>
      <c r="F3784" t="s">
        <v>17467</v>
      </c>
      <c r="G3784">
        <f>'8C'!$J$38</f>
        <v>0</v>
      </c>
    </row>
    <row r="3785" spans="1:7">
      <c r="A3785" t="s">
        <v>17336</v>
      </c>
      <c r="C3785" t="str">
        <f>'8C'!$AL$38</f>
        <v>B0003EGB_BP</v>
      </c>
      <c r="D3785" t="str">
        <f>_xlfn.CONCAT('8C'!$B$36, "-", '8C'!$B$38, "-", '8C'!$K$34, "-", '8C'!$K$33)</f>
        <v>Energy (AMP 7 shadow reported values)-Energy generated by and used in bioresources control-£m (3 DPs)-Biomethane</v>
      </c>
      <c r="F3785" t="s">
        <v>17467</v>
      </c>
      <c r="G3785">
        <f>'8C'!$K$38</f>
        <v>0</v>
      </c>
    </row>
    <row r="3786" spans="1:7">
      <c r="A3786" t="s">
        <v>17336</v>
      </c>
      <c r="C3786" t="str">
        <f>'8C'!$AM$38</f>
        <v>B0002EGB_TP</v>
      </c>
      <c r="D3786" t="str">
        <f>_xlfn.CONCAT('8C'!$B$36, "-", '8C'!$B$38, "-", '8C'!$L$34, "-", '8C'!$L$33)</f>
        <v>Energy (AMP 7 shadow reported values)-Energy generated by and used in bioresources control-£m (3 DPs)-Total</v>
      </c>
      <c r="F3786" t="s">
        <v>17467</v>
      </c>
      <c r="G3786">
        <f>'8C'!$L$38</f>
        <v>3.8109999999999999</v>
      </c>
    </row>
    <row r="3787" spans="1:7">
      <c r="A3787" t="s">
        <v>17336</v>
      </c>
      <c r="C3787" t="str">
        <f>'8C'!$AF$39</f>
        <v>B0002EGBM_EP</v>
      </c>
      <c r="D3787" t="str">
        <f>_xlfn.CONCAT('8C'!$B$36, "-", '8C'!$B$39, "-", '8C'!$E$34, "-", '8C'!$E$33)</f>
        <v>Energy (AMP 7 shadow reported values)-Energy generated by bioresources and used in network plus control-MWh (0 DPs)-Electricity</v>
      </c>
      <c r="F3787" t="s">
        <v>17467</v>
      </c>
      <c r="G3787" s="2610">
        <f>'8C'!$E$39</f>
        <v>17723</v>
      </c>
    </row>
    <row r="3788" spans="1:7">
      <c r="A3788" t="s">
        <v>17336</v>
      </c>
      <c r="C3788" t="str">
        <f>'8C'!$AG$39</f>
        <v>B0002EGBM_HP</v>
      </c>
      <c r="D3788" t="str">
        <f>_xlfn.CONCAT('8C'!$B$36, "-", '8C'!$B$39, "-", '8C'!$F$34, "-", '8C'!$F$33)</f>
        <v>Energy (AMP 7 shadow reported values)-Energy generated by bioresources and used in network plus control-MWh (0 DPs)-Heat</v>
      </c>
      <c r="F3788" t="s">
        <v>17467</v>
      </c>
      <c r="G3788" s="2610">
        <f>'8C'!$F$39</f>
        <v>0</v>
      </c>
    </row>
    <row r="3789" spans="1:7">
      <c r="A3789" t="s">
        <v>17336</v>
      </c>
      <c r="C3789" t="str">
        <f>'8C'!$AH$39</f>
        <v>B0002EGBM_BP</v>
      </c>
      <c r="D3789" t="str">
        <f>_xlfn.CONCAT('8C'!$B$36, "-", '8C'!$B$39, "-", '8C'!$G$34, "-", '8C'!$G$33)</f>
        <v>Energy (AMP 7 shadow reported values)-Energy generated by bioresources and used in network plus control-MWh (0 DPs)-Biomethane</v>
      </c>
      <c r="F3789" t="s">
        <v>17467</v>
      </c>
      <c r="G3789" s="2610">
        <f>'8C'!$G$39</f>
        <v>0</v>
      </c>
    </row>
    <row r="3790" spans="1:7">
      <c r="A3790" t="s">
        <v>17336</v>
      </c>
      <c r="C3790" t="str">
        <f>'8C'!$AI$39</f>
        <v>B0002EGBM_TM</v>
      </c>
      <c r="D3790" t="str">
        <f>_xlfn.CONCAT('8C'!$B$36, "-", '8C'!$B$39, "-", '8C'!$H$34, "-", '8C'!$H$33)</f>
        <v>Energy (AMP 7 shadow reported values)-Energy generated by bioresources and used in network plus control-MWh (0 DPs)-Total</v>
      </c>
      <c r="F3790" t="s">
        <v>17467</v>
      </c>
      <c r="G3790" s="2610">
        <f>'8C'!$H$39</f>
        <v>17723</v>
      </c>
    </row>
    <row r="3791" spans="1:7">
      <c r="A3791" t="s">
        <v>17336</v>
      </c>
      <c r="C3791" t="str">
        <f>'8C'!$AJ$39</f>
        <v>B0003EGBM_EP</v>
      </c>
      <c r="D3791" t="str">
        <f>_xlfn.CONCAT('8C'!$B$36, "-", '8C'!$B$39, "-", '8C'!$I$34, "-", '8C'!$I$33)</f>
        <v>Energy (AMP 7 shadow reported values)-Energy generated by bioresources and used in network plus control-£m (3 DPs)-Electricity</v>
      </c>
      <c r="F3791" t="s">
        <v>17467</v>
      </c>
      <c r="G3791">
        <f>'8C'!$I$39</f>
        <v>4.01</v>
      </c>
    </row>
    <row r="3792" spans="1:7">
      <c r="A3792" t="s">
        <v>17336</v>
      </c>
      <c r="C3792" t="str">
        <f>'8C'!$AK$39</f>
        <v>B0003EGBM_HP</v>
      </c>
      <c r="D3792" t="str">
        <f>_xlfn.CONCAT('8C'!$B$36, "-", '8C'!$B$39, "-", '8C'!$J$34, "-", '8C'!$J$33)</f>
        <v>Energy (AMP 7 shadow reported values)-Energy generated by bioresources and used in network plus control-£m (3 DPs)-Heat</v>
      </c>
      <c r="F3792" t="s">
        <v>17467</v>
      </c>
      <c r="G3792">
        <f>'8C'!$J$39</f>
        <v>0</v>
      </c>
    </row>
    <row r="3793" spans="1:7">
      <c r="A3793" t="s">
        <v>17336</v>
      </c>
      <c r="C3793" t="str">
        <f>'8C'!$AL$39</f>
        <v>B0003EGBM_BP</v>
      </c>
      <c r="D3793" t="str">
        <f>_xlfn.CONCAT('8C'!$B$36, "-", '8C'!$B$39, "-", '8C'!$K$34, "-", '8C'!$K$33)</f>
        <v>Energy (AMP 7 shadow reported values)-Energy generated by bioresources and used in network plus control-£m (3 DPs)-Biomethane</v>
      </c>
      <c r="F3793" t="s">
        <v>17467</v>
      </c>
      <c r="G3793">
        <f>'8C'!$K$39</f>
        <v>0</v>
      </c>
    </row>
    <row r="3794" spans="1:7">
      <c r="A3794" t="s">
        <v>17336</v>
      </c>
      <c r="C3794" t="str">
        <f>'8C'!$AM$39</f>
        <v>B0002EGBM_TP</v>
      </c>
      <c r="D3794" t="str">
        <f>_xlfn.CONCAT('8C'!$B$36, "-", '8C'!$B$39, "-", '8C'!$L$34, "-", '8C'!$L$33)</f>
        <v>Energy (AMP 7 shadow reported values)-Energy generated by bioresources and used in network plus control-£m (3 DPs)-Total</v>
      </c>
      <c r="F3794" t="s">
        <v>17467</v>
      </c>
      <c r="G3794">
        <f>'8C'!$L$39</f>
        <v>4.01</v>
      </c>
    </row>
    <row r="3795" spans="1:7">
      <c r="A3795" t="s">
        <v>17336</v>
      </c>
      <c r="C3795" t="str">
        <f>'8C'!$AF$40</f>
        <v>B0002EGBT_EP</v>
      </c>
      <c r="D3795" t="str">
        <f>_xlfn.CONCAT('8C'!$B$36, "-", '8C'!$B$40, "-", '8C'!$E$34, "-", '8C'!$E$33)</f>
        <v>Energy (AMP 7 shadow reported values)-Energy generated by bioresources and exported to the grid or third party-MWh (0 DPs)-Electricity</v>
      </c>
      <c r="F3795" t="s">
        <v>17467</v>
      </c>
      <c r="G3795" s="2610">
        <f>'8C'!$E$40</f>
        <v>1897</v>
      </c>
    </row>
    <row r="3796" spans="1:7">
      <c r="A3796" t="s">
        <v>17336</v>
      </c>
      <c r="C3796" t="str">
        <f>'8C'!$AG$40</f>
        <v>B0002EGBT_HP</v>
      </c>
      <c r="D3796" t="str">
        <f>_xlfn.CONCAT('8C'!$B$36, "-", '8C'!$B$40, "-", '8C'!$F$34, "-", '8C'!$F$33)</f>
        <v>Energy (AMP 7 shadow reported values)-Energy generated by bioresources and exported to the grid or third party-MWh (0 DPs)-Heat</v>
      </c>
      <c r="F3796" t="s">
        <v>17467</v>
      </c>
      <c r="G3796" s="2610">
        <f>'8C'!$F$40</f>
        <v>0</v>
      </c>
    </row>
    <row r="3797" spans="1:7">
      <c r="A3797" t="s">
        <v>17336</v>
      </c>
      <c r="C3797" t="str">
        <f>'8C'!$AH$40</f>
        <v>B0002EGBT_BP</v>
      </c>
      <c r="D3797" t="str">
        <f>_xlfn.CONCAT('8C'!$B$36, "-", '8C'!$B$40, "-", '8C'!$G$34, "-", '8C'!$G$33)</f>
        <v>Energy (AMP 7 shadow reported values)-Energy generated by bioresources and exported to the grid or third party-MWh (0 DPs)-Biomethane</v>
      </c>
      <c r="F3797" t="s">
        <v>17467</v>
      </c>
      <c r="G3797" s="2610">
        <f>'8C'!$G$40</f>
        <v>30660</v>
      </c>
    </row>
    <row r="3798" spans="1:7">
      <c r="A3798" t="s">
        <v>17336</v>
      </c>
      <c r="C3798" t="str">
        <f>'8C'!$AI$40</f>
        <v>B0002EGBT_TM</v>
      </c>
      <c r="D3798" t="str">
        <f>_xlfn.CONCAT('8C'!$B$36, "-", '8C'!$B$40, "-", '8C'!$H$34, "-", '8C'!$H$33)</f>
        <v>Energy (AMP 7 shadow reported values)-Energy generated by bioresources and exported to the grid or third party-MWh (0 DPs)-Total</v>
      </c>
      <c r="F3798" t="s">
        <v>17467</v>
      </c>
      <c r="G3798" s="2610">
        <f>'8C'!$H$40</f>
        <v>32557</v>
      </c>
    </row>
    <row r="3799" spans="1:7">
      <c r="A3799" t="s">
        <v>17336</v>
      </c>
      <c r="C3799" t="str">
        <f>'8C'!$AJ$40</f>
        <v>B0003EGBT_EP</v>
      </c>
      <c r="D3799" t="str">
        <f>_xlfn.CONCAT('8C'!$B$36, "-", '8C'!$B$40, "-", '8C'!$I$34, "-", '8C'!$I$33)</f>
        <v>Energy (AMP 7 shadow reported values)-Energy generated by bioresources and exported to the grid or third party-£m (3 DPs)-Electricity</v>
      </c>
      <c r="F3799" t="s">
        <v>17467</v>
      </c>
      <c r="G3799">
        <f>'8C'!$I$40</f>
        <v>0.35399999999999998</v>
      </c>
    </row>
    <row r="3800" spans="1:7">
      <c r="A3800" t="s">
        <v>17336</v>
      </c>
      <c r="C3800" t="str">
        <f>'8C'!$AK$40</f>
        <v>B0003EGBT_HP</v>
      </c>
      <c r="D3800" t="str">
        <f>_xlfn.CONCAT('8C'!$B$36, "-", '8C'!$B$40, "-", '8C'!$J$34, "-", '8C'!$J$33)</f>
        <v>Energy (AMP 7 shadow reported values)-Energy generated by bioresources and exported to the grid or third party-£m (3 DPs)-Heat</v>
      </c>
      <c r="F3800" t="s">
        <v>17467</v>
      </c>
      <c r="G3800">
        <f>'8C'!$J$40</f>
        <v>0</v>
      </c>
    </row>
    <row r="3801" spans="1:7">
      <c r="A3801" t="s">
        <v>17336</v>
      </c>
      <c r="C3801" t="str">
        <f>'8C'!$AL$40</f>
        <v>B0003EGBT_BP</v>
      </c>
      <c r="D3801" t="str">
        <f>_xlfn.CONCAT('8C'!$B$36, "-", '8C'!$B$40, "-", '8C'!$K$34, "-", '8C'!$K$33)</f>
        <v>Energy (AMP 7 shadow reported values)-Energy generated by bioresources and exported to the grid or third party-£m (3 DPs)-Biomethane</v>
      </c>
      <c r="F3801" t="s">
        <v>17467</v>
      </c>
      <c r="G3801">
        <f>'8C'!$K$40</f>
        <v>1.964</v>
      </c>
    </row>
    <row r="3802" spans="1:7">
      <c r="A3802" t="s">
        <v>17336</v>
      </c>
      <c r="C3802" t="str">
        <f>'8C'!$AM$40</f>
        <v>B0002EGBT_TP</v>
      </c>
      <c r="D3802" t="str">
        <f>_xlfn.CONCAT('8C'!$B$36, "-", '8C'!$B$40, "-", '8C'!$L$34, "-", '8C'!$L$33)</f>
        <v>Energy (AMP 7 shadow reported values)-Energy generated by bioresources and exported to the grid or third party-£m (3 DPs)-Total</v>
      </c>
      <c r="F3802" t="s">
        <v>17467</v>
      </c>
      <c r="G3802">
        <f>'8C'!$L$40</f>
        <v>2.3180000000000001</v>
      </c>
    </row>
    <row r="3803" spans="1:7">
      <c r="A3803" t="s">
        <v>17336</v>
      </c>
      <c r="C3803" t="str">
        <f>'8C'!$AF$41</f>
        <v>B0002EGBU_EP</v>
      </c>
      <c r="D3803" t="str">
        <f>_xlfn.CONCAT('8C'!$B$36, "-", '8C'!$B$41, "-", '8C'!$E$34, "-", '8C'!$E$33)</f>
        <v>Energy (AMP 7 shadow reported values)-Energy generated by bioresources that is unused-MWh (0 DPs)-Electricity</v>
      </c>
      <c r="F3803" t="s">
        <v>17467</v>
      </c>
      <c r="G3803" s="2610">
        <f>'8C'!$E$41</f>
        <v>0</v>
      </c>
    </row>
    <row r="3804" spans="1:7">
      <c r="A3804" t="s">
        <v>17336</v>
      </c>
      <c r="C3804" t="str">
        <f>'8C'!$AG$41</f>
        <v>B0002EGBU_HP</v>
      </c>
      <c r="D3804" t="str">
        <f>_xlfn.CONCAT('8C'!$B$36, "-", '8C'!$B$41, "-", '8C'!$F$34, "-", '8C'!$F$33)</f>
        <v>Energy (AMP 7 shadow reported values)-Energy generated by bioresources that is unused-MWh (0 DPs)-Heat</v>
      </c>
      <c r="F3804" t="s">
        <v>17467</v>
      </c>
      <c r="G3804" s="2610">
        <f>'8C'!$F$41</f>
        <v>26575</v>
      </c>
    </row>
    <row r="3805" spans="1:7">
      <c r="A3805" t="s">
        <v>17336</v>
      </c>
      <c r="C3805" t="str">
        <f>'8C'!$AH$41</f>
        <v>B0002EGBU_BP</v>
      </c>
      <c r="D3805" t="str">
        <f>_xlfn.CONCAT('8C'!$B$36, "-", '8C'!$B$41, "-", '8C'!$G$34, "-", '8C'!$G$33)</f>
        <v>Energy (AMP 7 shadow reported values)-Energy generated by bioresources that is unused-MWh (0 DPs)-Biomethane</v>
      </c>
      <c r="F3805" t="s">
        <v>17467</v>
      </c>
      <c r="G3805" s="2610">
        <f>'8C'!$G$41</f>
        <v>0</v>
      </c>
    </row>
    <row r="3806" spans="1:7">
      <c r="A3806" t="s">
        <v>17336</v>
      </c>
      <c r="C3806" t="str">
        <f>'8C'!$AI$41</f>
        <v>B0002EGBU_TM</v>
      </c>
      <c r="D3806" t="str">
        <f>_xlfn.CONCAT('8C'!$B$36, "-", '8C'!$B$41, "-", '8C'!$H$34, "-", '8C'!$H$33)</f>
        <v>Energy (AMP 7 shadow reported values)-Energy generated by bioresources that is unused-MWh (0 DPs)-Total</v>
      </c>
      <c r="F3806" t="s">
        <v>17467</v>
      </c>
      <c r="G3806" s="2610">
        <f>'8C'!$H$41</f>
        <v>26575</v>
      </c>
    </row>
    <row r="3807" spans="1:7">
      <c r="A3807" t="s">
        <v>17336</v>
      </c>
      <c r="C3807" t="str">
        <f>'8C'!$AF$42</f>
        <v>B0002EBT_EP</v>
      </c>
      <c r="D3807" t="str">
        <f>_xlfn.CONCAT('8C'!$B$36, "-", '8C'!$B$42, "-", '8C'!$E$34, "-", '8C'!$E$33)</f>
        <v>Energy (AMP 7 shadow reported values)-Energy bought from grid or third party and used in bioresources control-MWh (0 DPs)-Electricity</v>
      </c>
      <c r="F3807" t="s">
        <v>17467</v>
      </c>
      <c r="G3807" s="2610">
        <f>'8C'!$E$42</f>
        <v>17427</v>
      </c>
    </row>
    <row r="3808" spans="1:7">
      <c r="A3808" t="s">
        <v>17336</v>
      </c>
      <c r="C3808" t="str">
        <f>'8C'!$AG$42</f>
        <v>B0002EBT_HP</v>
      </c>
      <c r="D3808" t="str">
        <f>_xlfn.CONCAT('8C'!$B$36, "-", '8C'!$B$42, "-", '8C'!$F$34, "-", '8C'!$F$33)</f>
        <v>Energy (AMP 7 shadow reported values)-Energy bought from grid or third party and used in bioresources control-MWh (0 DPs)-Heat</v>
      </c>
      <c r="F3808" t="s">
        <v>17467</v>
      </c>
      <c r="G3808" s="2610">
        <f>'8C'!$F$42</f>
        <v>52235</v>
      </c>
    </row>
    <row r="3809" spans="1:7">
      <c r="A3809" t="s">
        <v>17336</v>
      </c>
      <c r="C3809" t="str">
        <f>'8C'!$AH$42</f>
        <v>B0002EBT_BP</v>
      </c>
      <c r="D3809" t="str">
        <f>_xlfn.CONCAT('8C'!$B$36, "-", '8C'!$B$42, "-", '8C'!$G$34, "-", '8C'!$G$33)</f>
        <v>Energy (AMP 7 shadow reported values)-Energy bought from grid or third party and used in bioresources control-MWh (0 DPs)-Biomethane</v>
      </c>
      <c r="F3809" t="s">
        <v>17467</v>
      </c>
      <c r="G3809" s="2610">
        <f>'8C'!$G$42</f>
        <v>0</v>
      </c>
    </row>
    <row r="3810" spans="1:7">
      <c r="A3810" t="s">
        <v>17336</v>
      </c>
      <c r="C3810" t="str">
        <f>'8C'!$AI$42</f>
        <v>B0002EBT_TM</v>
      </c>
      <c r="D3810" t="str">
        <f>_xlfn.CONCAT('8C'!$B$36, "-", '8C'!$B$42, "-", '8C'!$H$34, "-", '8C'!$H$33)</f>
        <v>Energy (AMP 7 shadow reported values)-Energy bought from grid or third party and used in bioresources control-MWh (0 DPs)-Total</v>
      </c>
      <c r="F3810" t="s">
        <v>17467</v>
      </c>
      <c r="G3810" s="2610">
        <f>'8C'!$H$42</f>
        <v>69662</v>
      </c>
    </row>
    <row r="3811" spans="1:7">
      <c r="A3811" t="s">
        <v>17336</v>
      </c>
      <c r="C3811" t="str">
        <f>'8C'!$AJ$42</f>
        <v>B0003EBT_EP</v>
      </c>
      <c r="D3811" t="str">
        <f>_xlfn.CONCAT('8C'!$B$36, "-", '8C'!$B$42, "-", '8C'!$I$34, "-", '8C'!$I$33)</f>
        <v>Energy (AMP 7 shadow reported values)-Energy bought from grid or third party and used in bioresources control-£m (3 DPs)-Electricity</v>
      </c>
      <c r="F3811" t="s">
        <v>17467</v>
      </c>
      <c r="G3811">
        <f>'8C'!$I$42</f>
        <v>3.944</v>
      </c>
    </row>
    <row r="3812" spans="1:7">
      <c r="A3812" t="s">
        <v>17336</v>
      </c>
      <c r="C3812" t="str">
        <f>'8C'!$AK$42</f>
        <v>B0003EBT_HP</v>
      </c>
      <c r="D3812" t="str">
        <f>_xlfn.CONCAT('8C'!$B$36, "-", '8C'!$B$42, "-", '8C'!$J$34, "-", '8C'!$J$33)</f>
        <v>Energy (AMP 7 shadow reported values)-Energy bought from grid or third party and used in bioresources control-£m (3 DPs)-Heat</v>
      </c>
      <c r="F3812" t="s">
        <v>17467</v>
      </c>
      <c r="G3812">
        <f>'8C'!$J$42</f>
        <v>1.9119999999999999</v>
      </c>
    </row>
    <row r="3813" spans="1:7">
      <c r="A3813" t="s">
        <v>17336</v>
      </c>
      <c r="C3813" t="str">
        <f>'8C'!$AL$42</f>
        <v>B0003EBT_BP</v>
      </c>
      <c r="D3813" t="str">
        <f>_xlfn.CONCAT('8C'!$B$36, "-", '8C'!$B$42, "-", '8C'!$K$34, "-", '8C'!$K$33)</f>
        <v>Energy (AMP 7 shadow reported values)-Energy bought from grid or third party and used in bioresources control-£m (3 DPs)-Biomethane</v>
      </c>
      <c r="F3813" t="s">
        <v>17467</v>
      </c>
      <c r="G3813">
        <f>'8C'!$K$42</f>
        <v>0</v>
      </c>
    </row>
    <row r="3814" spans="1:7">
      <c r="A3814" t="s">
        <v>17336</v>
      </c>
      <c r="C3814" t="str">
        <f>'8C'!$AM$42</f>
        <v>B0002EBT_TP</v>
      </c>
      <c r="D3814" t="str">
        <f>_xlfn.CONCAT('8C'!$B$36, "-", '8C'!$B$42, "-", '8C'!$L$34, "-", '8C'!$L$33)</f>
        <v>Energy (AMP 7 shadow reported values)-Energy bought from grid or third party and used in bioresources control-£m (3 DPs)-Total</v>
      </c>
      <c r="F3814" t="s">
        <v>17467</v>
      </c>
      <c r="G3814">
        <f>'8C'!$L$42</f>
        <v>5.8559999999999999</v>
      </c>
    </row>
    <row r="3815" spans="1:7">
      <c r="A3815" t="s">
        <v>17344</v>
      </c>
      <c r="C3815" t="str">
        <f>'9A'!$AK$8</f>
        <v>IC5001CYA</v>
      </c>
      <c r="D3815" t="s">
        <v>18123</v>
      </c>
      <c r="F3815" t="s">
        <v>17467</v>
      </c>
      <c r="G3815">
        <f>'9A'!$E$8</f>
        <v>2.9180000000000001</v>
      </c>
    </row>
    <row r="3816" spans="1:7">
      <c r="A3816" t="s">
        <v>17344</v>
      </c>
      <c r="C3816" t="str">
        <f>'9A'!$AK$11</f>
        <v>IC5002CYA</v>
      </c>
      <c r="D3816" t="s">
        <v>18124</v>
      </c>
      <c r="F3816" t="s">
        <v>17467</v>
      </c>
      <c r="G3816">
        <f>'9A'!$E$11</f>
        <v>2.9180000000000001</v>
      </c>
    </row>
    <row r="3817" spans="1:7">
      <c r="A3817" t="s">
        <v>17344</v>
      </c>
      <c r="C3817" t="str">
        <f>'9A'!$AK$12</f>
        <v>IC5003CYA</v>
      </c>
      <c r="D3817" t="s">
        <v>18125</v>
      </c>
      <c r="F3817" t="s">
        <v>17467</v>
      </c>
      <c r="G3817">
        <f>'9A'!$E$12</f>
        <v>0.16300000000000001</v>
      </c>
    </row>
    <row r="3818" spans="1:7">
      <c r="A3818" t="s">
        <v>17344</v>
      </c>
      <c r="C3818" t="str">
        <f>'9A'!$AK$13</f>
        <v>BO_9784058</v>
      </c>
      <c r="D3818" t="s">
        <v>18126</v>
      </c>
      <c r="F3818" t="s">
        <v>17467</v>
      </c>
      <c r="G3818">
        <f>'9A'!$E$13</f>
        <v>0</v>
      </c>
    </row>
    <row r="3819" spans="1:7">
      <c r="A3819" t="s">
        <v>17344</v>
      </c>
      <c r="C3819" t="str">
        <f>'9A'!$AK$14</f>
        <v>IC5004CYA</v>
      </c>
      <c r="D3819" t="s">
        <v>18127</v>
      </c>
      <c r="F3819" t="s">
        <v>17467</v>
      </c>
      <c r="G3819">
        <f>'9A'!$E$14</f>
        <v>2.4689999999999999</v>
      </c>
    </row>
    <row r="3820" spans="1:7">
      <c r="A3820" t="s">
        <v>17344</v>
      </c>
      <c r="C3820" t="str">
        <f>'9A'!$AK$15</f>
        <v>IC5005CYA</v>
      </c>
      <c r="D3820" t="s">
        <v>18128</v>
      </c>
      <c r="F3820" t="s">
        <v>17467</v>
      </c>
      <c r="G3820">
        <f>'9A'!$E$15</f>
        <v>1.284</v>
      </c>
    </row>
    <row r="3821" spans="1:7">
      <c r="A3821" t="s">
        <v>17344</v>
      </c>
      <c r="C3821" t="str">
        <f>'9A'!$AK$16</f>
        <v>IC5006CYA</v>
      </c>
      <c r="D3821" t="s">
        <v>18129</v>
      </c>
      <c r="F3821" t="s">
        <v>17467</v>
      </c>
      <c r="G3821">
        <f>'9A'!$E$16</f>
        <v>0</v>
      </c>
    </row>
    <row r="3822" spans="1:7">
      <c r="A3822" t="s">
        <v>17344</v>
      </c>
      <c r="C3822" t="str">
        <f>'9A'!$AK$19</f>
        <v>BO_2962522</v>
      </c>
      <c r="D3822" t="s">
        <v>18130</v>
      </c>
      <c r="F3822" t="s">
        <v>17467</v>
      </c>
      <c r="G3822">
        <f>'9A'!$E$19</f>
        <v>0.111</v>
      </c>
    </row>
    <row r="3823" spans="1:7">
      <c r="A3823" s="2607" t="s">
        <v>17344</v>
      </c>
      <c r="C3823" t="str">
        <f>'9A'!$AK$25</f>
        <v>BO_4593973</v>
      </c>
      <c r="D3823" t="s">
        <v>17930</v>
      </c>
      <c r="F3823" t="s">
        <v>17467</v>
      </c>
      <c r="G3823">
        <f>'9A'!$C$25</f>
        <v>0.16700000000000001</v>
      </c>
    </row>
    <row r="3824" spans="1:7">
      <c r="A3824" s="2607" t="s">
        <v>17344</v>
      </c>
      <c r="C3824" t="str">
        <f>'9A'!$AL$25</f>
        <v>BO_6262597</v>
      </c>
      <c r="D3824" t="s">
        <v>17931</v>
      </c>
      <c r="F3824" t="s">
        <v>17467</v>
      </c>
      <c r="G3824">
        <f>'9A'!$D$25</f>
        <v>0</v>
      </c>
    </row>
    <row r="3825" spans="1:7">
      <c r="A3825" s="2607" t="s">
        <v>17344</v>
      </c>
      <c r="C3825" t="str">
        <f>'9A'!$AM$25</f>
        <v>BO_5728166</v>
      </c>
      <c r="D3825" t="s">
        <v>17932</v>
      </c>
      <c r="F3825" t="s">
        <v>17467</v>
      </c>
      <c r="G3825">
        <f>'9A'!$E$25</f>
        <v>5.5E-2</v>
      </c>
    </row>
    <row r="3826" spans="1:7">
      <c r="A3826" s="2607" t="s">
        <v>17344</v>
      </c>
      <c r="C3826" t="str">
        <f>'9A'!$AN$25</f>
        <v>BO_9595975</v>
      </c>
      <c r="D3826" t="s">
        <v>17933</v>
      </c>
      <c r="F3826" t="s">
        <v>17467</v>
      </c>
      <c r="G3826">
        <f>'9A'!$F$25</f>
        <v>5.5E-2</v>
      </c>
    </row>
    <row r="3827" spans="1:7">
      <c r="A3827" s="2607" t="s">
        <v>17344</v>
      </c>
      <c r="C3827" t="str">
        <f>'9A'!$AO$25</f>
        <v>BO_8753577</v>
      </c>
      <c r="D3827" t="s">
        <v>17934</v>
      </c>
      <c r="F3827" t="s">
        <v>17467</v>
      </c>
      <c r="G3827">
        <f>'9A'!$G$25</f>
        <v>0</v>
      </c>
    </row>
    <row r="3828" spans="1:7">
      <c r="A3828" s="2607" t="s">
        <v>17344</v>
      </c>
      <c r="C3828" t="str">
        <f>'9A'!$AP$25</f>
        <v>BO_7166343</v>
      </c>
      <c r="D3828" t="s">
        <v>17935</v>
      </c>
      <c r="F3828" t="s">
        <v>17467</v>
      </c>
      <c r="G3828">
        <f>'9A'!$H$25</f>
        <v>0.16700000000000001</v>
      </c>
    </row>
    <row r="3829" spans="1:7">
      <c r="A3829" s="2607" t="s">
        <v>17344</v>
      </c>
      <c r="C3829" t="str">
        <f>'9A'!$AQ$25</f>
        <v>BO_7374000</v>
      </c>
      <c r="D3829" t="s">
        <v>17936</v>
      </c>
      <c r="F3829" t="s">
        <v>17467</v>
      </c>
      <c r="G3829">
        <f>'9A'!$I$25</f>
        <v>0.16700000000000001</v>
      </c>
    </row>
    <row r="3830" spans="1:7">
      <c r="A3830" s="2607" t="s">
        <v>17344</v>
      </c>
      <c r="C3830" t="str">
        <f>'9A'!$AR$25</f>
        <v>BO_2253155</v>
      </c>
      <c r="D3830" t="s">
        <v>17934</v>
      </c>
      <c r="F3830" t="s">
        <v>17467</v>
      </c>
      <c r="G3830">
        <f>'9A'!$J$25</f>
        <v>0</v>
      </c>
    </row>
    <row r="3831" spans="1:7">
      <c r="A3831" s="2607" t="s">
        <v>17344</v>
      </c>
      <c r="C3831" t="str">
        <f>'9A'!$AS$25</f>
        <v>BO_3373114</v>
      </c>
      <c r="D3831" t="s">
        <v>17937</v>
      </c>
      <c r="F3831" t="s">
        <v>17467</v>
      </c>
      <c r="G3831">
        <f>'9A'!$K$25</f>
        <v>0</v>
      </c>
    </row>
    <row r="3832" spans="1:7">
      <c r="A3832" s="2607" t="s">
        <v>17344</v>
      </c>
      <c r="C3832" t="str">
        <f>'9A'!$AT$25</f>
        <v>BO_7640563</v>
      </c>
      <c r="D3832" t="s">
        <v>17941</v>
      </c>
      <c r="F3832" t="s">
        <v>17467</v>
      </c>
      <c r="G3832">
        <f>'9A'!$L$25</f>
        <v>6.0000000000000001E-3</v>
      </c>
    </row>
    <row r="3833" spans="1:7">
      <c r="A3833" s="2607" t="s">
        <v>17344</v>
      </c>
      <c r="C3833" t="str">
        <f>'9A'!$AU$25</f>
        <v>BO23_7640563</v>
      </c>
      <c r="D3833" t="s">
        <v>17942</v>
      </c>
      <c r="F3833" t="s">
        <v>17467</v>
      </c>
      <c r="G3833">
        <f>'9A'!$M$25</f>
        <v>0</v>
      </c>
    </row>
    <row r="3834" spans="1:7">
      <c r="A3834" s="2607" t="s">
        <v>17344</v>
      </c>
      <c r="C3834" t="str">
        <f>'9A'!$AV$25</f>
        <v>BO_3165168</v>
      </c>
      <c r="D3834" t="s">
        <v>17938</v>
      </c>
      <c r="F3834" t="s">
        <v>17467</v>
      </c>
      <c r="G3834">
        <f>'9A'!$N$25</f>
        <v>1.2999999999999999E-2</v>
      </c>
    </row>
    <row r="3835" spans="1:7">
      <c r="A3835" s="2607" t="s">
        <v>17344</v>
      </c>
      <c r="C3835" t="str">
        <f>'9A'!$AW$25</f>
        <v>BO23_3165168</v>
      </c>
      <c r="D3835" t="s">
        <v>17939</v>
      </c>
      <c r="F3835" t="s">
        <v>17467</v>
      </c>
      <c r="G3835">
        <f>'9A'!$O$25</f>
        <v>6.0000000000000001E-3</v>
      </c>
    </row>
    <row r="3836" spans="1:7">
      <c r="A3836" t="s">
        <v>17344</v>
      </c>
      <c r="C3836" t="str">
        <f>'9A'!$AK$26</f>
        <v>BO_1864509</v>
      </c>
      <c r="D3836" t="s">
        <v>17943</v>
      </c>
      <c r="F3836" t="s">
        <v>17467</v>
      </c>
      <c r="G3836">
        <f>'9A'!$C$26</f>
        <v>0.26800000000000002</v>
      </c>
    </row>
    <row r="3837" spans="1:7">
      <c r="A3837" t="s">
        <v>17344</v>
      </c>
      <c r="C3837" t="str">
        <f>'9A'!$AL$26</f>
        <v>BO_4539015</v>
      </c>
      <c r="D3837" t="s">
        <v>17944</v>
      </c>
      <c r="F3837" t="s">
        <v>17467</v>
      </c>
      <c r="G3837">
        <f>'9A'!$D$26</f>
        <v>0</v>
      </c>
    </row>
    <row r="3838" spans="1:7">
      <c r="A3838" t="s">
        <v>17344</v>
      </c>
      <c r="C3838" t="str">
        <f>'9A'!$AM$26</f>
        <v>BO_3673371</v>
      </c>
      <c r="D3838" t="s">
        <v>17971</v>
      </c>
      <c r="F3838" t="s">
        <v>17467</v>
      </c>
      <c r="G3838">
        <f>'9A'!$E$26</f>
        <v>0.26800000000000002</v>
      </c>
    </row>
    <row r="3839" spans="1:7">
      <c r="A3839" t="s">
        <v>17344</v>
      </c>
      <c r="C3839" t="str">
        <f>'9A'!$AN$26</f>
        <v>BO_9135301</v>
      </c>
      <c r="D3839" t="s">
        <v>17972</v>
      </c>
      <c r="F3839" t="s">
        <v>17467</v>
      </c>
      <c r="G3839">
        <f>'9A'!$F$26</f>
        <v>7.3999999999999996E-2</v>
      </c>
    </row>
    <row r="3840" spans="1:7">
      <c r="A3840" t="s">
        <v>17344</v>
      </c>
      <c r="C3840" t="str">
        <f>'9A'!$AO$26</f>
        <v>BO_5022348</v>
      </c>
      <c r="D3840" t="s">
        <v>17945</v>
      </c>
      <c r="F3840" t="s">
        <v>17467</v>
      </c>
      <c r="G3840">
        <f>'9A'!$G$26</f>
        <v>-0.19400000000000001</v>
      </c>
    </row>
    <row r="3841" spans="1:7">
      <c r="A3841" t="s">
        <v>17344</v>
      </c>
      <c r="C3841" t="str">
        <f>'9A'!$AP$26</f>
        <v>BO_297806</v>
      </c>
      <c r="D3841" t="s">
        <v>17973</v>
      </c>
      <c r="F3841" t="s">
        <v>17467</v>
      </c>
      <c r="G3841">
        <f>'9A'!$H$26</f>
        <v>0.26800000000000002</v>
      </c>
    </row>
    <row r="3842" spans="1:7">
      <c r="A3842" t="s">
        <v>17344</v>
      </c>
      <c r="C3842" t="str">
        <f>'9A'!$AQ$26</f>
        <v>BO_1679948</v>
      </c>
      <c r="D3842" t="s">
        <v>17974</v>
      </c>
      <c r="F3842" t="s">
        <v>17467</v>
      </c>
      <c r="G3842">
        <f>'9A'!$I$26</f>
        <v>7.3999999999999996E-2</v>
      </c>
    </row>
    <row r="3843" spans="1:7">
      <c r="A3843" t="s">
        <v>17344</v>
      </c>
      <c r="C3843" t="str">
        <f>'9A'!$AR$26</f>
        <v>BO_1088090</v>
      </c>
      <c r="D3843" t="s">
        <v>17945</v>
      </c>
      <c r="F3843" t="s">
        <v>17467</v>
      </c>
      <c r="G3843">
        <f>'9A'!$J$26</f>
        <v>-0.19400000000000001</v>
      </c>
    </row>
    <row r="3844" spans="1:7">
      <c r="A3844" t="s">
        <v>17344</v>
      </c>
      <c r="C3844" t="str">
        <f>'9A'!$AS$26</f>
        <v>BO_943397</v>
      </c>
      <c r="D3844" t="s">
        <v>17975</v>
      </c>
      <c r="F3844" t="s">
        <v>17467</v>
      </c>
      <c r="G3844">
        <f>'9A'!$K$26</f>
        <v>0.19400000000000001</v>
      </c>
    </row>
    <row r="3845" spans="1:7">
      <c r="A3845" t="s">
        <v>17344</v>
      </c>
      <c r="C3845" t="str">
        <f>'9A'!$AT$26</f>
        <v>BO_487889</v>
      </c>
      <c r="D3845" t="s">
        <v>17946</v>
      </c>
      <c r="F3845" t="s">
        <v>17467</v>
      </c>
      <c r="G3845">
        <f>'9A'!$L$26</f>
        <v>8.0000000000000002E-3</v>
      </c>
    </row>
    <row r="3846" spans="1:7">
      <c r="A3846" t="s">
        <v>17344</v>
      </c>
      <c r="C3846" t="str">
        <f>'9A'!$AU$26</f>
        <v>BO23_487889</v>
      </c>
      <c r="D3846" t="s">
        <v>17947</v>
      </c>
      <c r="F3846" t="s">
        <v>17467</v>
      </c>
      <c r="G3846">
        <f>'9A'!$M$26</f>
        <v>0</v>
      </c>
    </row>
    <row r="3847" spans="1:7">
      <c r="A3847" t="s">
        <v>17344</v>
      </c>
      <c r="C3847" t="str">
        <f>'9A'!$AV$26</f>
        <v>BO_3137918</v>
      </c>
      <c r="D3847" t="s">
        <v>17948</v>
      </c>
      <c r="F3847" t="s">
        <v>17467</v>
      </c>
      <c r="G3847">
        <f>'9A'!$N$26</f>
        <v>8.0000000000000002E-3</v>
      </c>
    </row>
    <row r="3848" spans="1:7">
      <c r="A3848" t="s">
        <v>17344</v>
      </c>
      <c r="C3848" t="str">
        <f>'9A'!$AW$26</f>
        <v>BO23_3137918</v>
      </c>
      <c r="D3848" t="s">
        <v>17949</v>
      </c>
      <c r="F3848" t="s">
        <v>17467</v>
      </c>
      <c r="G3848">
        <f>'9A'!$O$26</f>
        <v>0</v>
      </c>
    </row>
    <row r="3849" spans="1:7">
      <c r="A3849" t="s">
        <v>17344</v>
      </c>
      <c r="C3849" t="str">
        <f>'9A'!$AK$27</f>
        <v>BO_6235227</v>
      </c>
      <c r="D3849" t="s">
        <v>17950</v>
      </c>
      <c r="F3849" t="s">
        <v>17467</v>
      </c>
      <c r="G3849">
        <f>'9A'!$C$27</f>
        <v>2.363</v>
      </c>
    </row>
    <row r="3850" spans="1:7">
      <c r="A3850" t="s">
        <v>17344</v>
      </c>
      <c r="C3850" t="str">
        <f>'9A'!$AL$27</f>
        <v>BO_626958</v>
      </c>
      <c r="D3850" t="s">
        <v>17951</v>
      </c>
      <c r="F3850" t="s">
        <v>17467</v>
      </c>
      <c r="G3850">
        <f>'9A'!$D$27</f>
        <v>0</v>
      </c>
    </row>
    <row r="3851" spans="1:7">
      <c r="A3851" t="s">
        <v>17344</v>
      </c>
      <c r="C3851" t="str">
        <f>'9A'!$AM$27</f>
        <v>BO_3551548</v>
      </c>
      <c r="D3851" t="s">
        <v>17976</v>
      </c>
      <c r="F3851" t="s">
        <v>17467</v>
      </c>
      <c r="G3851">
        <f>'9A'!$E$27</f>
        <v>0.79300000000000004</v>
      </c>
    </row>
    <row r="3852" spans="1:7">
      <c r="A3852" t="s">
        <v>17344</v>
      </c>
      <c r="C3852" t="str">
        <f>'9A'!$AN$27</f>
        <v>BO_592209</v>
      </c>
      <c r="D3852" t="s">
        <v>17977</v>
      </c>
      <c r="F3852" t="s">
        <v>17467</v>
      </c>
      <c r="G3852">
        <f>'9A'!$F$27</f>
        <v>0.59299999999999997</v>
      </c>
    </row>
    <row r="3853" spans="1:7">
      <c r="A3853" t="s">
        <v>17344</v>
      </c>
      <c r="C3853" t="str">
        <f>'9A'!$AO$27</f>
        <v>BO_9994906</v>
      </c>
      <c r="D3853" t="s">
        <v>17952</v>
      </c>
      <c r="F3853" t="s">
        <v>17467</v>
      </c>
      <c r="G3853">
        <f>'9A'!$G$27</f>
        <v>-0.20000000000000007</v>
      </c>
    </row>
    <row r="3854" spans="1:7">
      <c r="A3854" t="s">
        <v>17344</v>
      </c>
      <c r="C3854" t="str">
        <f>'9A'!$AP$27</f>
        <v>BO_8735056</v>
      </c>
      <c r="D3854" t="s">
        <v>17978</v>
      </c>
      <c r="F3854" t="s">
        <v>17467</v>
      </c>
      <c r="G3854">
        <f>'9A'!$H$27</f>
        <v>2.363</v>
      </c>
    </row>
    <row r="3855" spans="1:7">
      <c r="A3855" t="s">
        <v>17344</v>
      </c>
      <c r="C3855" t="str">
        <f>'9A'!$AQ$27</f>
        <v>BO_4236024</v>
      </c>
      <c r="D3855" t="s">
        <v>17979</v>
      </c>
      <c r="F3855" t="s">
        <v>17467</v>
      </c>
      <c r="G3855">
        <f>'9A'!$I$27</f>
        <v>0.59299999999999997</v>
      </c>
    </row>
    <row r="3856" spans="1:7">
      <c r="A3856" t="s">
        <v>17344</v>
      </c>
      <c r="C3856" t="str">
        <f>'9A'!$AR$27</f>
        <v>BO_366046</v>
      </c>
      <c r="D3856" t="s">
        <v>17952</v>
      </c>
      <c r="F3856" t="s">
        <v>17467</v>
      </c>
      <c r="G3856">
        <f>'9A'!$J$27</f>
        <v>-1.77</v>
      </c>
    </row>
    <row r="3857" spans="1:7">
      <c r="A3857" t="s">
        <v>17344</v>
      </c>
      <c r="C3857" t="str">
        <f>'9A'!$AS$27</f>
        <v>BO_9666744</v>
      </c>
      <c r="D3857" t="s">
        <v>17980</v>
      </c>
      <c r="F3857" t="s">
        <v>17467</v>
      </c>
      <c r="G3857">
        <f>'9A'!$K$27</f>
        <v>1.77</v>
      </c>
    </row>
    <row r="3858" spans="1:7">
      <c r="A3858" t="s">
        <v>17344</v>
      </c>
      <c r="C3858" t="str">
        <f>'9A'!$AT$27</f>
        <v>BO_1126087</v>
      </c>
      <c r="D3858" t="s">
        <v>17953</v>
      </c>
      <c r="F3858" t="s">
        <v>17467</v>
      </c>
      <c r="G3858">
        <f>'9A'!$L$27</f>
        <v>0</v>
      </c>
    </row>
    <row r="3859" spans="1:7">
      <c r="A3859" t="s">
        <v>17344</v>
      </c>
      <c r="C3859" t="str">
        <f>'9A'!$AU$27</f>
        <v>BO23_1126087</v>
      </c>
      <c r="D3859" t="s">
        <v>17954</v>
      </c>
      <c r="F3859" t="s">
        <v>17467</v>
      </c>
      <c r="G3859">
        <f>'9A'!$M$27</f>
        <v>0.109</v>
      </c>
    </row>
    <row r="3860" spans="1:7">
      <c r="A3860" t="s">
        <v>17344</v>
      </c>
      <c r="C3860" t="str">
        <f>'9A'!$AV$27</f>
        <v>BO_8687860</v>
      </c>
      <c r="D3860" t="s">
        <v>17955</v>
      </c>
      <c r="F3860" t="s">
        <v>17467</v>
      </c>
      <c r="G3860">
        <f>'9A'!$N$27</f>
        <v>0</v>
      </c>
    </row>
    <row r="3861" spans="1:7">
      <c r="A3861" t="s">
        <v>17344</v>
      </c>
      <c r="C3861" t="str">
        <f>'9A'!$AW$27</f>
        <v>BO23_8687860</v>
      </c>
      <c r="D3861" t="s">
        <v>17956</v>
      </c>
      <c r="F3861" t="s">
        <v>17467</v>
      </c>
      <c r="G3861">
        <f>'9A'!$O$27</f>
        <v>0.109</v>
      </c>
    </row>
    <row r="3862" spans="1:7">
      <c r="A3862" t="s">
        <v>17344</v>
      </c>
      <c r="C3862" t="str">
        <f>'9A'!$AK$28</f>
        <v>BO_1343884</v>
      </c>
      <c r="D3862" t="s">
        <v>17957</v>
      </c>
      <c r="F3862" t="s">
        <v>17467</v>
      </c>
      <c r="G3862">
        <f>'9A'!$C$28</f>
        <v>0</v>
      </c>
    </row>
    <row r="3863" spans="1:7">
      <c r="A3863" t="s">
        <v>17344</v>
      </c>
      <c r="C3863" t="str">
        <f>'9A'!$AL$28</f>
        <v>BO_3435854</v>
      </c>
      <c r="D3863" t="s">
        <v>17958</v>
      </c>
      <c r="F3863" t="s">
        <v>17467</v>
      </c>
      <c r="G3863">
        <f>'9A'!$D$28</f>
        <v>0</v>
      </c>
    </row>
    <row r="3864" spans="1:7">
      <c r="A3864" t="s">
        <v>17344</v>
      </c>
      <c r="C3864" t="str">
        <f>'9A'!$AM$28</f>
        <v>BO_8245468</v>
      </c>
      <c r="D3864" t="s">
        <v>17981</v>
      </c>
      <c r="F3864" t="s">
        <v>17467</v>
      </c>
      <c r="G3864">
        <f>'9A'!$E$28</f>
        <v>0</v>
      </c>
    </row>
    <row r="3865" spans="1:7">
      <c r="A3865" t="s">
        <v>17344</v>
      </c>
      <c r="C3865" t="str">
        <f>'9A'!$AN$28</f>
        <v>BO_5801516</v>
      </c>
      <c r="D3865" t="s">
        <v>17982</v>
      </c>
      <c r="F3865" t="s">
        <v>17467</v>
      </c>
      <c r="G3865">
        <f>'9A'!$F$28</f>
        <v>0</v>
      </c>
    </row>
    <row r="3866" spans="1:7">
      <c r="A3866" t="s">
        <v>17344</v>
      </c>
      <c r="C3866" t="str">
        <f>'9A'!$AO$28</f>
        <v>BO_4235757</v>
      </c>
      <c r="D3866" t="s">
        <v>17959</v>
      </c>
      <c r="F3866" t="s">
        <v>17467</v>
      </c>
      <c r="G3866">
        <f>'9A'!$G$28</f>
        <v>0</v>
      </c>
    </row>
    <row r="3867" spans="1:7">
      <c r="A3867" t="s">
        <v>17344</v>
      </c>
      <c r="C3867" t="str">
        <f>'9A'!$AP$28</f>
        <v>BO_1697609</v>
      </c>
      <c r="D3867" t="s">
        <v>17983</v>
      </c>
      <c r="F3867" t="s">
        <v>17467</v>
      </c>
      <c r="G3867">
        <f>'9A'!$H$28</f>
        <v>0</v>
      </c>
    </row>
    <row r="3868" spans="1:7">
      <c r="A3868" t="s">
        <v>17344</v>
      </c>
      <c r="C3868" t="str">
        <f>'9A'!$AQ$28</f>
        <v>BO_1263220</v>
      </c>
      <c r="D3868" t="s">
        <v>17984</v>
      </c>
      <c r="F3868" t="s">
        <v>17467</v>
      </c>
      <c r="G3868">
        <f>'9A'!$I$28</f>
        <v>0</v>
      </c>
    </row>
    <row r="3869" spans="1:7">
      <c r="A3869" t="s">
        <v>17344</v>
      </c>
      <c r="C3869" t="str">
        <f>'9A'!$AR$28</f>
        <v>BO_3803198</v>
      </c>
      <c r="D3869" t="s">
        <v>17959</v>
      </c>
      <c r="F3869" t="s">
        <v>17467</v>
      </c>
      <c r="G3869">
        <f>'9A'!$J$28</f>
        <v>0</v>
      </c>
    </row>
    <row r="3870" spans="1:7">
      <c r="A3870" t="s">
        <v>17344</v>
      </c>
      <c r="C3870" t="str">
        <f>'9A'!$AS$28</f>
        <v>BO_6300866</v>
      </c>
      <c r="D3870" t="s">
        <v>17985</v>
      </c>
      <c r="F3870" t="s">
        <v>17467</v>
      </c>
      <c r="G3870">
        <f>'9A'!$K$28</f>
        <v>0</v>
      </c>
    </row>
    <row r="3871" spans="1:7">
      <c r="A3871" t="s">
        <v>17344</v>
      </c>
      <c r="C3871" t="str">
        <f>'9A'!$AT$28</f>
        <v>BO_2005000</v>
      </c>
      <c r="D3871" t="s">
        <v>17960</v>
      </c>
      <c r="F3871" t="s">
        <v>17467</v>
      </c>
      <c r="G3871">
        <f>'9A'!$L$28</f>
        <v>0</v>
      </c>
    </row>
    <row r="3872" spans="1:7">
      <c r="A3872" t="s">
        <v>17344</v>
      </c>
      <c r="C3872" t="str">
        <f>'9A'!$AU$28</f>
        <v>BO23_2005000</v>
      </c>
      <c r="D3872" t="s">
        <v>17961</v>
      </c>
      <c r="F3872" t="s">
        <v>17467</v>
      </c>
      <c r="G3872">
        <f>'9A'!$M$28</f>
        <v>0</v>
      </c>
    </row>
    <row r="3873" spans="1:7">
      <c r="A3873" t="s">
        <v>17344</v>
      </c>
      <c r="C3873" t="str">
        <f>'9A'!$AV$28</f>
        <v>BO_3004429</v>
      </c>
      <c r="D3873" t="s">
        <v>17962</v>
      </c>
      <c r="F3873" t="s">
        <v>17467</v>
      </c>
      <c r="G3873">
        <f>'9A'!$N$28</f>
        <v>0</v>
      </c>
    </row>
    <row r="3874" spans="1:7">
      <c r="A3874" t="s">
        <v>17344</v>
      </c>
      <c r="C3874" t="str">
        <f>'9A'!$AW$28</f>
        <v>BO23_3004429</v>
      </c>
      <c r="D3874" t="s">
        <v>17963</v>
      </c>
      <c r="F3874" t="s">
        <v>17467</v>
      </c>
      <c r="G3874">
        <f>'9A'!$O$28</f>
        <v>0</v>
      </c>
    </row>
    <row r="3875" spans="1:7">
      <c r="A3875" t="s">
        <v>17344</v>
      </c>
      <c r="C3875" t="str">
        <f>'9A'!$AK$29</f>
        <v>BO_9121046</v>
      </c>
      <c r="D3875" t="s">
        <v>17964</v>
      </c>
      <c r="F3875" t="s">
        <v>17467</v>
      </c>
      <c r="G3875">
        <f>'9A'!$C$29</f>
        <v>0</v>
      </c>
    </row>
    <row r="3876" spans="1:7">
      <c r="A3876" t="s">
        <v>17344</v>
      </c>
      <c r="C3876" t="str">
        <f>'9A'!$AL$29</f>
        <v>BO_1037964</v>
      </c>
      <c r="D3876" t="s">
        <v>17965</v>
      </c>
      <c r="F3876" t="s">
        <v>17467</v>
      </c>
      <c r="G3876">
        <f>'9A'!$D$29</f>
        <v>0</v>
      </c>
    </row>
    <row r="3877" spans="1:7">
      <c r="A3877" t="s">
        <v>17344</v>
      </c>
      <c r="C3877" t="str">
        <f>'9A'!$AM$29</f>
        <v>BO_9197207</v>
      </c>
      <c r="D3877" t="s">
        <v>17986</v>
      </c>
      <c r="F3877" t="s">
        <v>17467</v>
      </c>
      <c r="G3877">
        <f>'9A'!$E$29</f>
        <v>0</v>
      </c>
    </row>
    <row r="3878" spans="1:7">
      <c r="A3878" t="s">
        <v>17344</v>
      </c>
      <c r="C3878" t="str">
        <f>'9A'!$AN$29</f>
        <v>BO_7748929</v>
      </c>
      <c r="D3878" t="s">
        <v>17987</v>
      </c>
      <c r="F3878" t="s">
        <v>17467</v>
      </c>
      <c r="G3878">
        <f>'9A'!$F$29</f>
        <v>0</v>
      </c>
    </row>
    <row r="3879" spans="1:7">
      <c r="A3879" t="s">
        <v>17344</v>
      </c>
      <c r="C3879" t="str">
        <f>'9A'!$AO$29</f>
        <v>BO_2536664</v>
      </c>
      <c r="D3879" t="s">
        <v>17966</v>
      </c>
      <c r="F3879" t="s">
        <v>17467</v>
      </c>
      <c r="G3879">
        <f>'9A'!$G$29</f>
        <v>0</v>
      </c>
    </row>
    <row r="3880" spans="1:7">
      <c r="A3880" t="s">
        <v>17344</v>
      </c>
      <c r="C3880" t="str">
        <f>'9A'!$AP$29</f>
        <v>BO_3860065</v>
      </c>
      <c r="D3880" t="s">
        <v>17988</v>
      </c>
      <c r="F3880" t="s">
        <v>17467</v>
      </c>
      <c r="G3880">
        <f>'9A'!$H$29</f>
        <v>0</v>
      </c>
    </row>
    <row r="3881" spans="1:7">
      <c r="A3881" t="s">
        <v>17344</v>
      </c>
      <c r="C3881" t="str">
        <f>'9A'!$AQ$29</f>
        <v>BO_9321288</v>
      </c>
      <c r="D3881" t="s">
        <v>17989</v>
      </c>
      <c r="F3881" t="s">
        <v>17467</v>
      </c>
      <c r="G3881">
        <f>'9A'!$I$29</f>
        <v>0</v>
      </c>
    </row>
    <row r="3882" spans="1:7">
      <c r="A3882" t="s">
        <v>17344</v>
      </c>
      <c r="C3882" t="str">
        <f>'9A'!$AR$29</f>
        <v>BO_1269653</v>
      </c>
      <c r="D3882" t="s">
        <v>17966</v>
      </c>
      <c r="F3882" t="s">
        <v>17467</v>
      </c>
      <c r="G3882">
        <f>'9A'!$J$29</f>
        <v>0</v>
      </c>
    </row>
    <row r="3883" spans="1:7">
      <c r="A3883" t="s">
        <v>17344</v>
      </c>
      <c r="C3883" t="str">
        <f>'9A'!$AS$29</f>
        <v>BO_1927262</v>
      </c>
      <c r="D3883" t="s">
        <v>17990</v>
      </c>
      <c r="F3883" t="s">
        <v>17467</v>
      </c>
      <c r="G3883">
        <f>'9A'!$K$29</f>
        <v>0</v>
      </c>
    </row>
    <row r="3884" spans="1:7">
      <c r="A3884" t="s">
        <v>17344</v>
      </c>
      <c r="C3884" t="str">
        <f>'9A'!$AT$29</f>
        <v>BO_1925837</v>
      </c>
      <c r="D3884" t="s">
        <v>17967</v>
      </c>
      <c r="F3884" t="s">
        <v>17467</v>
      </c>
      <c r="G3884">
        <f>'9A'!$L$29</f>
        <v>0</v>
      </c>
    </row>
    <row r="3885" spans="1:7">
      <c r="A3885" t="s">
        <v>17344</v>
      </c>
      <c r="C3885" t="str">
        <f>'9A'!$AU$29</f>
        <v>BO23_1925837</v>
      </c>
      <c r="D3885" t="s">
        <v>17968</v>
      </c>
      <c r="F3885" t="s">
        <v>17467</v>
      </c>
      <c r="G3885">
        <f>'9A'!$M$29</f>
        <v>0</v>
      </c>
    </row>
    <row r="3886" spans="1:7">
      <c r="A3886" t="s">
        <v>17344</v>
      </c>
      <c r="C3886" t="str">
        <f>'9A'!$AV$29</f>
        <v>BO_3695559</v>
      </c>
      <c r="D3886" t="s">
        <v>17969</v>
      </c>
      <c r="F3886" t="s">
        <v>17467</v>
      </c>
      <c r="G3886">
        <f>'9A'!$N$29</f>
        <v>0</v>
      </c>
    </row>
    <row r="3887" spans="1:7">
      <c r="A3887" t="s">
        <v>17344</v>
      </c>
      <c r="C3887" t="str">
        <f>'9A'!$AW$29</f>
        <v>BO23_3695559</v>
      </c>
      <c r="D3887" t="s">
        <v>17970</v>
      </c>
      <c r="F3887" t="s">
        <v>17467</v>
      </c>
      <c r="G3887">
        <f>'9A'!$O$29</f>
        <v>0</v>
      </c>
    </row>
    <row r="3888" spans="1:7">
      <c r="A3888" t="s">
        <v>17344</v>
      </c>
      <c r="C3888" t="str">
        <f>'9A'!$AK$30</f>
        <v>BO_2655321</v>
      </c>
      <c r="D3888" t="s">
        <v>17991</v>
      </c>
      <c r="F3888" t="s">
        <v>17467</v>
      </c>
      <c r="G3888">
        <f>'9A'!$C$30</f>
        <v>0</v>
      </c>
    </row>
    <row r="3889" spans="1:7">
      <c r="A3889" t="s">
        <v>17344</v>
      </c>
      <c r="C3889" t="str">
        <f>'9A'!$AL$30</f>
        <v>BO_2415159</v>
      </c>
      <c r="D3889" t="s">
        <v>17992</v>
      </c>
      <c r="F3889" t="s">
        <v>17467</v>
      </c>
      <c r="G3889">
        <f>'9A'!$D$30</f>
        <v>0</v>
      </c>
    </row>
    <row r="3890" spans="1:7">
      <c r="A3890" t="s">
        <v>17344</v>
      </c>
      <c r="C3890" t="str">
        <f>'9A'!$AM$30</f>
        <v>BO_5377351</v>
      </c>
      <c r="D3890" t="s">
        <v>17993</v>
      </c>
      <c r="F3890" t="s">
        <v>17467</v>
      </c>
      <c r="G3890">
        <f>'9A'!$E$30</f>
        <v>0</v>
      </c>
    </row>
    <row r="3891" spans="1:7">
      <c r="A3891" t="s">
        <v>17344</v>
      </c>
      <c r="C3891" t="str">
        <f>'9A'!$AN$30</f>
        <v>BO_3494612</v>
      </c>
      <c r="D3891" t="s">
        <v>17994</v>
      </c>
      <c r="F3891" t="s">
        <v>17467</v>
      </c>
      <c r="G3891">
        <f>'9A'!$F$30</f>
        <v>0</v>
      </c>
    </row>
    <row r="3892" spans="1:7">
      <c r="A3892" t="s">
        <v>17344</v>
      </c>
      <c r="C3892" t="str">
        <f>'9A'!$AO$30</f>
        <v>BO_9074</v>
      </c>
      <c r="D3892" t="s">
        <v>17995</v>
      </c>
      <c r="F3892" t="s">
        <v>17467</v>
      </c>
      <c r="G3892">
        <f>'9A'!$G$30</f>
        <v>0</v>
      </c>
    </row>
    <row r="3893" spans="1:7">
      <c r="A3893" t="s">
        <v>17344</v>
      </c>
      <c r="C3893" t="str">
        <f>'9A'!$AP$30</f>
        <v>BO_405946</v>
      </c>
      <c r="D3893" t="s">
        <v>17996</v>
      </c>
      <c r="F3893" t="s">
        <v>17467</v>
      </c>
      <c r="G3893">
        <f>'9A'!$H$30</f>
        <v>0</v>
      </c>
    </row>
    <row r="3894" spans="1:7">
      <c r="A3894" t="s">
        <v>17344</v>
      </c>
      <c r="C3894" t="str">
        <f>'9A'!$AQ$30</f>
        <v>BO_1870993</v>
      </c>
      <c r="D3894" t="s">
        <v>17997</v>
      </c>
      <c r="F3894" t="s">
        <v>17467</v>
      </c>
      <c r="G3894">
        <f>'9A'!$I$30</f>
        <v>0</v>
      </c>
    </row>
    <row r="3895" spans="1:7">
      <c r="A3895" t="s">
        <v>17344</v>
      </c>
      <c r="C3895" t="str">
        <f>'9A'!$AR$30</f>
        <v>BO_9357011</v>
      </c>
      <c r="D3895" t="s">
        <v>17995</v>
      </c>
      <c r="F3895" t="s">
        <v>17467</v>
      </c>
      <c r="G3895">
        <f>'9A'!$J$30</f>
        <v>0</v>
      </c>
    </row>
    <row r="3896" spans="1:7">
      <c r="A3896" t="s">
        <v>17344</v>
      </c>
      <c r="C3896" t="str">
        <f>'9A'!$AS$30</f>
        <v>BO_5573103</v>
      </c>
      <c r="D3896" t="s">
        <v>17998</v>
      </c>
      <c r="F3896" t="s">
        <v>17467</v>
      </c>
      <c r="G3896">
        <f>'9A'!$K$30</f>
        <v>0</v>
      </c>
    </row>
    <row r="3897" spans="1:7">
      <c r="A3897" t="s">
        <v>17344</v>
      </c>
      <c r="C3897" t="str">
        <f>'9A'!$AT$30</f>
        <v>BO_618668</v>
      </c>
      <c r="D3897" t="s">
        <v>17999</v>
      </c>
      <c r="F3897" t="s">
        <v>17467</v>
      </c>
      <c r="G3897">
        <f>'9A'!$L$30</f>
        <v>0</v>
      </c>
    </row>
    <row r="3898" spans="1:7">
      <c r="A3898" t="s">
        <v>17344</v>
      </c>
      <c r="C3898" t="str">
        <f>'9A'!$AU$30</f>
        <v>BO23_618668</v>
      </c>
      <c r="D3898" t="s">
        <v>18000</v>
      </c>
      <c r="F3898" t="s">
        <v>17467</v>
      </c>
      <c r="G3898">
        <f>'9A'!$M$30</f>
        <v>0</v>
      </c>
    </row>
    <row r="3899" spans="1:7">
      <c r="A3899" t="s">
        <v>17344</v>
      </c>
      <c r="C3899" t="str">
        <f>'9A'!$AV$30</f>
        <v>BO_3075702</v>
      </c>
      <c r="D3899" t="s">
        <v>18001</v>
      </c>
      <c r="F3899" t="s">
        <v>17467</v>
      </c>
      <c r="G3899">
        <f>'9A'!$N$30</f>
        <v>0</v>
      </c>
    </row>
    <row r="3900" spans="1:7">
      <c r="A3900" t="s">
        <v>17344</v>
      </c>
      <c r="C3900" t="str">
        <f>'9A'!$AW$30</f>
        <v>BO23_3075702</v>
      </c>
      <c r="D3900" t="s">
        <v>18002</v>
      </c>
      <c r="F3900" t="s">
        <v>17467</v>
      </c>
      <c r="G3900">
        <f>'9A'!$O$30</f>
        <v>0</v>
      </c>
    </row>
    <row r="3901" spans="1:7">
      <c r="A3901" t="s">
        <v>17344</v>
      </c>
      <c r="C3901" t="str">
        <f>'9A'!$AK$31</f>
        <v>BO_6408764</v>
      </c>
      <c r="D3901" t="s">
        <v>18003</v>
      </c>
      <c r="F3901" t="s">
        <v>17467</v>
      </c>
      <c r="G3901">
        <f>'9A'!$C$31</f>
        <v>0</v>
      </c>
    </row>
    <row r="3902" spans="1:7">
      <c r="A3902" t="s">
        <v>17344</v>
      </c>
      <c r="C3902" t="str">
        <f>'9A'!$AL$31</f>
        <v>BO_7046757</v>
      </c>
      <c r="D3902" t="s">
        <v>18004</v>
      </c>
      <c r="F3902" t="s">
        <v>17467</v>
      </c>
      <c r="G3902">
        <f>'9A'!$D$31</f>
        <v>0</v>
      </c>
    </row>
    <row r="3903" spans="1:7">
      <c r="A3903" t="s">
        <v>17344</v>
      </c>
      <c r="C3903" t="str">
        <f>'9A'!$AM$31</f>
        <v>BO_8070684</v>
      </c>
      <c r="D3903" t="s">
        <v>18005</v>
      </c>
      <c r="F3903" t="s">
        <v>17467</v>
      </c>
      <c r="G3903">
        <f>'9A'!$E$31</f>
        <v>0</v>
      </c>
    </row>
    <row r="3904" spans="1:7">
      <c r="A3904" t="s">
        <v>17344</v>
      </c>
      <c r="C3904" t="str">
        <f>'9A'!$AN$31</f>
        <v>BO_5129958</v>
      </c>
      <c r="D3904" t="s">
        <v>18006</v>
      </c>
      <c r="F3904" t="s">
        <v>17467</v>
      </c>
      <c r="G3904">
        <f>'9A'!$F$31</f>
        <v>0</v>
      </c>
    </row>
    <row r="3905" spans="1:7">
      <c r="A3905" t="s">
        <v>17344</v>
      </c>
      <c r="C3905" t="str">
        <f>'9A'!$AO$31</f>
        <v>BO_323549</v>
      </c>
      <c r="D3905" t="s">
        <v>18007</v>
      </c>
      <c r="F3905" t="s">
        <v>17467</v>
      </c>
      <c r="G3905">
        <f>'9A'!$G$31</f>
        <v>0</v>
      </c>
    </row>
    <row r="3906" spans="1:7">
      <c r="A3906" t="s">
        <v>17344</v>
      </c>
      <c r="C3906" t="str">
        <f>'9A'!$AP$31</f>
        <v>BO_9922869</v>
      </c>
      <c r="D3906" t="s">
        <v>18008</v>
      </c>
      <c r="F3906" t="s">
        <v>17467</v>
      </c>
      <c r="G3906">
        <f>'9A'!$H$31</f>
        <v>0</v>
      </c>
    </row>
    <row r="3907" spans="1:7">
      <c r="A3907" t="s">
        <v>17344</v>
      </c>
      <c r="C3907" t="str">
        <f>'9A'!$AQ$31</f>
        <v>BO_6313663</v>
      </c>
      <c r="D3907" t="s">
        <v>18009</v>
      </c>
      <c r="F3907" t="s">
        <v>17467</v>
      </c>
      <c r="G3907">
        <f>'9A'!$I$31</f>
        <v>0</v>
      </c>
    </row>
    <row r="3908" spans="1:7">
      <c r="A3908" t="s">
        <v>17344</v>
      </c>
      <c r="C3908" t="str">
        <f>'9A'!$AR$31</f>
        <v>BO_8822674</v>
      </c>
      <c r="D3908" t="s">
        <v>18007</v>
      </c>
      <c r="F3908" t="s">
        <v>17467</v>
      </c>
      <c r="G3908">
        <f>'9A'!$J$31</f>
        <v>0</v>
      </c>
    </row>
    <row r="3909" spans="1:7">
      <c r="A3909" t="s">
        <v>17344</v>
      </c>
      <c r="C3909" t="str">
        <f>'9A'!$AS$31</f>
        <v>BO_5993266</v>
      </c>
      <c r="D3909" t="s">
        <v>18010</v>
      </c>
      <c r="F3909" t="s">
        <v>17467</v>
      </c>
      <c r="G3909">
        <f>'9A'!$K$31</f>
        <v>0</v>
      </c>
    </row>
    <row r="3910" spans="1:7">
      <c r="A3910" t="s">
        <v>17344</v>
      </c>
      <c r="C3910" t="str">
        <f>'9A'!$AT$31</f>
        <v>BO_7283530</v>
      </c>
      <c r="D3910" t="s">
        <v>18011</v>
      </c>
      <c r="F3910" t="s">
        <v>17467</v>
      </c>
      <c r="G3910">
        <f>'9A'!$L$31</f>
        <v>0</v>
      </c>
    </row>
    <row r="3911" spans="1:7">
      <c r="A3911" t="s">
        <v>17344</v>
      </c>
      <c r="C3911" t="str">
        <f>'9A'!$AU$31</f>
        <v>BO23_7283530</v>
      </c>
      <c r="D3911" t="s">
        <v>18012</v>
      </c>
      <c r="F3911" t="s">
        <v>17467</v>
      </c>
      <c r="G3911">
        <f>'9A'!$M$31</f>
        <v>0</v>
      </c>
    </row>
    <row r="3912" spans="1:7">
      <c r="A3912" t="s">
        <v>17344</v>
      </c>
      <c r="C3912" t="str">
        <f>'9A'!$AV$31</f>
        <v>BO_7464120</v>
      </c>
      <c r="D3912" t="s">
        <v>18013</v>
      </c>
      <c r="F3912" t="s">
        <v>17467</v>
      </c>
      <c r="G3912">
        <f>'9A'!$N$31</f>
        <v>0</v>
      </c>
    </row>
    <row r="3913" spans="1:7">
      <c r="A3913" t="s">
        <v>17344</v>
      </c>
      <c r="C3913" t="str">
        <f>'9A'!$AW$31</f>
        <v>BO23_7464120</v>
      </c>
      <c r="D3913" t="s">
        <v>18014</v>
      </c>
      <c r="F3913" t="s">
        <v>17467</v>
      </c>
      <c r="G3913">
        <f>'9A'!$O$31</f>
        <v>0</v>
      </c>
    </row>
    <row r="3914" spans="1:7">
      <c r="A3914" t="s">
        <v>17344</v>
      </c>
      <c r="C3914" t="str">
        <f>'9A'!$AK$32</f>
        <v>BO_2082771</v>
      </c>
      <c r="D3914" t="s">
        <v>18015</v>
      </c>
      <c r="F3914" t="s">
        <v>17467</v>
      </c>
      <c r="G3914">
        <f>'9A'!$C$32</f>
        <v>0</v>
      </c>
    </row>
    <row r="3915" spans="1:7">
      <c r="A3915" t="s">
        <v>17344</v>
      </c>
      <c r="C3915" t="str">
        <f>'9A'!$AL$32</f>
        <v>BO_3632391</v>
      </c>
      <c r="D3915" t="s">
        <v>18016</v>
      </c>
      <c r="F3915" t="s">
        <v>17467</v>
      </c>
      <c r="G3915">
        <f>'9A'!$D$32</f>
        <v>0</v>
      </c>
    </row>
    <row r="3916" spans="1:7">
      <c r="A3916" t="s">
        <v>17344</v>
      </c>
      <c r="C3916" t="str">
        <f>'9A'!$AM$32</f>
        <v>BO_1257261</v>
      </c>
      <c r="D3916" t="s">
        <v>18017</v>
      </c>
      <c r="F3916" t="s">
        <v>17467</v>
      </c>
      <c r="G3916">
        <f>'9A'!$E$32</f>
        <v>0</v>
      </c>
    </row>
    <row r="3917" spans="1:7">
      <c r="A3917" t="s">
        <v>17344</v>
      </c>
      <c r="C3917" t="str">
        <f>'9A'!$AN$32</f>
        <v>BO_6407105</v>
      </c>
      <c r="D3917" t="s">
        <v>18018</v>
      </c>
      <c r="F3917" t="s">
        <v>17467</v>
      </c>
      <c r="G3917">
        <f>'9A'!$F$32</f>
        <v>0</v>
      </c>
    </row>
    <row r="3918" spans="1:7">
      <c r="A3918" t="s">
        <v>17344</v>
      </c>
      <c r="C3918" t="str">
        <f>'9A'!$AO$32</f>
        <v>BO_1493422</v>
      </c>
      <c r="D3918" t="s">
        <v>18019</v>
      </c>
      <c r="F3918" t="s">
        <v>17467</v>
      </c>
      <c r="G3918">
        <f>'9A'!$G$32</f>
        <v>0</v>
      </c>
    </row>
    <row r="3919" spans="1:7">
      <c r="A3919" t="s">
        <v>17344</v>
      </c>
      <c r="C3919" t="str">
        <f>'9A'!$AP$32</f>
        <v>BO_8423500</v>
      </c>
      <c r="D3919" t="s">
        <v>18020</v>
      </c>
      <c r="F3919" t="s">
        <v>17467</v>
      </c>
      <c r="G3919">
        <f>'9A'!$H$32</f>
        <v>0</v>
      </c>
    </row>
    <row r="3920" spans="1:7">
      <c r="A3920" t="s">
        <v>17344</v>
      </c>
      <c r="C3920" t="str">
        <f>'9A'!$AQ$32</f>
        <v>BO_8600925</v>
      </c>
      <c r="D3920" t="s">
        <v>18021</v>
      </c>
      <c r="F3920" t="s">
        <v>17467</v>
      </c>
      <c r="G3920">
        <f>'9A'!$I$32</f>
        <v>0</v>
      </c>
    </row>
    <row r="3921" spans="1:7">
      <c r="A3921" t="s">
        <v>17344</v>
      </c>
      <c r="C3921" t="str">
        <f>'9A'!$AR$32</f>
        <v>BO_7655329</v>
      </c>
      <c r="D3921" t="s">
        <v>18019</v>
      </c>
      <c r="F3921" t="s">
        <v>17467</v>
      </c>
      <c r="G3921">
        <f>'9A'!$J$32</f>
        <v>0</v>
      </c>
    </row>
    <row r="3922" spans="1:7">
      <c r="A3922" t="s">
        <v>17344</v>
      </c>
      <c r="C3922" t="str">
        <f>'9A'!$AS$32</f>
        <v>BO_5254575</v>
      </c>
      <c r="D3922" t="s">
        <v>18022</v>
      </c>
      <c r="F3922" t="s">
        <v>17467</v>
      </c>
      <c r="G3922">
        <f>'9A'!$K$32</f>
        <v>0</v>
      </c>
    </row>
    <row r="3923" spans="1:7">
      <c r="A3923" t="s">
        <v>17344</v>
      </c>
      <c r="C3923" t="str">
        <f>'9A'!$AT$32</f>
        <v>BO_6653491</v>
      </c>
      <c r="D3923" t="s">
        <v>18023</v>
      </c>
      <c r="F3923" t="s">
        <v>17467</v>
      </c>
      <c r="G3923">
        <f>'9A'!$L$32</f>
        <v>0</v>
      </c>
    </row>
    <row r="3924" spans="1:7">
      <c r="A3924" t="s">
        <v>17344</v>
      </c>
      <c r="C3924" t="str">
        <f>'9A'!$AU$32</f>
        <v>BO23_6653491</v>
      </c>
      <c r="D3924" t="s">
        <v>18024</v>
      </c>
      <c r="F3924" t="s">
        <v>17467</v>
      </c>
      <c r="G3924">
        <f>'9A'!$M$32</f>
        <v>0</v>
      </c>
    </row>
    <row r="3925" spans="1:7">
      <c r="A3925" t="s">
        <v>17344</v>
      </c>
      <c r="C3925" t="str">
        <f>'9A'!$AV$32</f>
        <v>BO_1705208</v>
      </c>
      <c r="D3925" t="s">
        <v>18025</v>
      </c>
      <c r="F3925" t="s">
        <v>17467</v>
      </c>
      <c r="G3925">
        <f>'9A'!$N$32</f>
        <v>0</v>
      </c>
    </row>
    <row r="3926" spans="1:7">
      <c r="A3926" t="s">
        <v>17344</v>
      </c>
      <c r="C3926" t="str">
        <f>'9A'!$AW$32</f>
        <v>BO23_1705208</v>
      </c>
      <c r="D3926" t="s">
        <v>18026</v>
      </c>
      <c r="F3926" t="s">
        <v>17467</v>
      </c>
      <c r="G3926">
        <f>'9A'!$O$32</f>
        <v>0</v>
      </c>
    </row>
    <row r="3927" spans="1:7">
      <c r="A3927" t="s">
        <v>17344</v>
      </c>
      <c r="C3927" t="str">
        <f>'9A'!$AK$33</f>
        <v>BO_8134703</v>
      </c>
      <c r="D3927" t="s">
        <v>18027</v>
      </c>
      <c r="F3927" t="s">
        <v>17467</v>
      </c>
      <c r="G3927">
        <f>'9A'!$C$33</f>
        <v>0</v>
      </c>
    </row>
    <row r="3928" spans="1:7">
      <c r="A3928" t="s">
        <v>17344</v>
      </c>
      <c r="C3928" t="str">
        <f>'9A'!$AL$33</f>
        <v>BO_4346510</v>
      </c>
      <c r="D3928" t="s">
        <v>18028</v>
      </c>
      <c r="F3928" t="s">
        <v>17467</v>
      </c>
      <c r="G3928">
        <f>'9A'!$D$33</f>
        <v>0</v>
      </c>
    </row>
    <row r="3929" spans="1:7">
      <c r="A3929" t="s">
        <v>17344</v>
      </c>
      <c r="C3929" t="str">
        <f>'9A'!$AM$33</f>
        <v>BO_6296208</v>
      </c>
      <c r="D3929" t="s">
        <v>18029</v>
      </c>
      <c r="F3929" t="s">
        <v>17467</v>
      </c>
      <c r="G3929">
        <f>'9A'!$E$33</f>
        <v>0</v>
      </c>
    </row>
    <row r="3930" spans="1:7">
      <c r="A3930" t="s">
        <v>17344</v>
      </c>
      <c r="C3930" t="str">
        <f>'9A'!$AN$33</f>
        <v>BO_7223700</v>
      </c>
      <c r="D3930" t="s">
        <v>18030</v>
      </c>
      <c r="F3930" t="s">
        <v>17467</v>
      </c>
      <c r="G3930">
        <f>'9A'!$F$33</f>
        <v>0</v>
      </c>
    </row>
    <row r="3931" spans="1:7">
      <c r="A3931" t="s">
        <v>17344</v>
      </c>
      <c r="C3931" t="str">
        <f>'9A'!$AO$33</f>
        <v>BO_7530883</v>
      </c>
      <c r="D3931" t="s">
        <v>18031</v>
      </c>
      <c r="F3931" t="s">
        <v>17467</v>
      </c>
      <c r="G3931">
        <f>'9A'!$G$33</f>
        <v>0</v>
      </c>
    </row>
    <row r="3932" spans="1:7">
      <c r="A3932" t="s">
        <v>17344</v>
      </c>
      <c r="C3932" t="str">
        <f>'9A'!$AP$33</f>
        <v>BO_7174882</v>
      </c>
      <c r="D3932" t="s">
        <v>18032</v>
      </c>
      <c r="F3932" t="s">
        <v>17467</v>
      </c>
      <c r="G3932">
        <f>'9A'!$H$33</f>
        <v>0</v>
      </c>
    </row>
    <row r="3933" spans="1:7">
      <c r="A3933" t="s">
        <v>17344</v>
      </c>
      <c r="C3933" t="str">
        <f>'9A'!$AQ$33</f>
        <v>BO_8230060</v>
      </c>
      <c r="D3933" t="s">
        <v>18033</v>
      </c>
      <c r="F3933" t="s">
        <v>17467</v>
      </c>
      <c r="G3933">
        <f>'9A'!$I$33</f>
        <v>0</v>
      </c>
    </row>
    <row r="3934" spans="1:7">
      <c r="A3934" t="s">
        <v>17344</v>
      </c>
      <c r="C3934" t="str">
        <f>'9A'!$AR$33</f>
        <v>BO_9163631</v>
      </c>
      <c r="D3934" t="s">
        <v>18031</v>
      </c>
      <c r="F3934" t="s">
        <v>17467</v>
      </c>
      <c r="G3934">
        <f>'9A'!$J$33</f>
        <v>0</v>
      </c>
    </row>
    <row r="3935" spans="1:7">
      <c r="A3935" t="s">
        <v>17344</v>
      </c>
      <c r="C3935" t="str">
        <f>'9A'!$AS$33</f>
        <v>BO_2722774</v>
      </c>
      <c r="D3935" t="s">
        <v>18034</v>
      </c>
      <c r="F3935" t="s">
        <v>17467</v>
      </c>
      <c r="G3935">
        <f>'9A'!$K$33</f>
        <v>0</v>
      </c>
    </row>
    <row r="3936" spans="1:7">
      <c r="A3936" t="s">
        <v>17344</v>
      </c>
      <c r="C3936" t="str">
        <f>'9A'!$AT$33</f>
        <v>BO_2630441</v>
      </c>
      <c r="D3936" t="s">
        <v>18035</v>
      </c>
      <c r="F3936" t="s">
        <v>17467</v>
      </c>
      <c r="G3936">
        <f>'9A'!$L$33</f>
        <v>0</v>
      </c>
    </row>
    <row r="3937" spans="1:7">
      <c r="A3937" t="s">
        <v>17344</v>
      </c>
      <c r="C3937" t="str">
        <f>'9A'!$AU$33</f>
        <v>BO23_2630441</v>
      </c>
      <c r="D3937" t="s">
        <v>18036</v>
      </c>
      <c r="F3937" t="s">
        <v>17467</v>
      </c>
      <c r="G3937">
        <f>'9A'!$M$33</f>
        <v>0</v>
      </c>
    </row>
    <row r="3938" spans="1:7">
      <c r="A3938" t="s">
        <v>17344</v>
      </c>
      <c r="C3938" t="str">
        <f>'9A'!$AV$33</f>
        <v>BO_1540196</v>
      </c>
      <c r="D3938" t="s">
        <v>18037</v>
      </c>
      <c r="F3938" t="s">
        <v>17467</v>
      </c>
      <c r="G3938">
        <f>'9A'!$N$33</f>
        <v>0</v>
      </c>
    </row>
    <row r="3939" spans="1:7">
      <c r="A3939" t="s">
        <v>17344</v>
      </c>
      <c r="C3939" t="str">
        <f>'9A'!$AW$33</f>
        <v>BO23_1540196</v>
      </c>
      <c r="D3939" t="s">
        <v>18038</v>
      </c>
      <c r="F3939" t="s">
        <v>17467</v>
      </c>
      <c r="G3939">
        <f>'9A'!$O$33</f>
        <v>0</v>
      </c>
    </row>
    <row r="3940" spans="1:7">
      <c r="A3940" t="s">
        <v>17344</v>
      </c>
      <c r="C3940" t="str">
        <f>'9A'!$AK$34</f>
        <v>BO_6374780</v>
      </c>
      <c r="D3940" t="s">
        <v>18039</v>
      </c>
      <c r="F3940" t="s">
        <v>17467</v>
      </c>
      <c r="G3940">
        <f>'9A'!$C$34</f>
        <v>0</v>
      </c>
    </row>
    <row r="3941" spans="1:7">
      <c r="A3941" t="s">
        <v>17344</v>
      </c>
      <c r="C3941" t="str">
        <f>'9A'!$AL$34</f>
        <v>BO_8020127</v>
      </c>
      <c r="D3941" t="s">
        <v>18040</v>
      </c>
      <c r="F3941" t="s">
        <v>17467</v>
      </c>
      <c r="G3941">
        <f>'9A'!$D$34</f>
        <v>0</v>
      </c>
    </row>
    <row r="3942" spans="1:7">
      <c r="A3942" t="s">
        <v>17344</v>
      </c>
      <c r="C3942" t="str">
        <f>'9A'!$AM$34</f>
        <v>BO_5705578</v>
      </c>
      <c r="D3942" t="s">
        <v>18041</v>
      </c>
      <c r="F3942" t="s">
        <v>17467</v>
      </c>
      <c r="G3942">
        <f>'9A'!$E$34</f>
        <v>0</v>
      </c>
    </row>
    <row r="3943" spans="1:7">
      <c r="A3943" t="s">
        <v>17344</v>
      </c>
      <c r="C3943" t="str">
        <f>'9A'!$AN$34</f>
        <v>BO_4023311</v>
      </c>
      <c r="D3943" t="s">
        <v>18042</v>
      </c>
      <c r="F3943" t="s">
        <v>17467</v>
      </c>
      <c r="G3943">
        <f>'9A'!$F$34</f>
        <v>0</v>
      </c>
    </row>
    <row r="3944" spans="1:7">
      <c r="A3944" t="s">
        <v>17344</v>
      </c>
      <c r="C3944" t="str">
        <f>'9A'!$AO$34</f>
        <v>BO_1210533</v>
      </c>
      <c r="D3944" t="s">
        <v>18043</v>
      </c>
      <c r="F3944" t="s">
        <v>17467</v>
      </c>
      <c r="G3944">
        <f>'9A'!$G$34</f>
        <v>0</v>
      </c>
    </row>
    <row r="3945" spans="1:7">
      <c r="A3945" t="s">
        <v>17344</v>
      </c>
      <c r="C3945" t="str">
        <f>'9A'!$AP$34</f>
        <v>BO_8087259</v>
      </c>
      <c r="D3945" t="s">
        <v>18044</v>
      </c>
      <c r="F3945" t="s">
        <v>17467</v>
      </c>
      <c r="G3945">
        <f>'9A'!$H$34</f>
        <v>0</v>
      </c>
    </row>
    <row r="3946" spans="1:7">
      <c r="A3946" t="s">
        <v>17344</v>
      </c>
      <c r="C3946" t="str">
        <f>'9A'!$AQ$34</f>
        <v>BO_9510142</v>
      </c>
      <c r="D3946" t="s">
        <v>18045</v>
      </c>
      <c r="F3946" t="s">
        <v>17467</v>
      </c>
      <c r="G3946">
        <f>'9A'!$I$34</f>
        <v>0</v>
      </c>
    </row>
    <row r="3947" spans="1:7">
      <c r="A3947" t="s">
        <v>17344</v>
      </c>
      <c r="C3947" t="str">
        <f>'9A'!$AR$34</f>
        <v>BO_6391882</v>
      </c>
      <c r="D3947" t="s">
        <v>18043</v>
      </c>
      <c r="F3947" t="s">
        <v>17467</v>
      </c>
      <c r="G3947">
        <f>'9A'!$J$34</f>
        <v>0</v>
      </c>
    </row>
    <row r="3948" spans="1:7">
      <c r="A3948" t="s">
        <v>17344</v>
      </c>
      <c r="C3948" t="str">
        <f>'9A'!$AS$34</f>
        <v>BO_2663033</v>
      </c>
      <c r="D3948" t="s">
        <v>18046</v>
      </c>
      <c r="F3948" t="s">
        <v>17467</v>
      </c>
      <c r="G3948">
        <f>'9A'!$K$34</f>
        <v>0</v>
      </c>
    </row>
    <row r="3949" spans="1:7">
      <c r="A3949" t="s">
        <v>17344</v>
      </c>
      <c r="C3949" t="str">
        <f>'9A'!$AT$34</f>
        <v>BO_3559155</v>
      </c>
      <c r="D3949" t="s">
        <v>18047</v>
      </c>
      <c r="F3949" t="s">
        <v>17467</v>
      </c>
      <c r="G3949">
        <f>'9A'!$L$34</f>
        <v>0</v>
      </c>
    </row>
    <row r="3950" spans="1:7">
      <c r="A3950" t="s">
        <v>17344</v>
      </c>
      <c r="C3950" t="str">
        <f>'9A'!$AU$34</f>
        <v>BO23_3559155</v>
      </c>
      <c r="D3950" t="s">
        <v>18048</v>
      </c>
      <c r="F3950" t="s">
        <v>17467</v>
      </c>
      <c r="G3950">
        <f>'9A'!$M$34</f>
        <v>0</v>
      </c>
    </row>
    <row r="3951" spans="1:7">
      <c r="A3951" t="s">
        <v>17344</v>
      </c>
      <c r="C3951" t="str">
        <f>'9A'!$AV$34</f>
        <v>BO_2100314</v>
      </c>
      <c r="D3951" t="s">
        <v>18049</v>
      </c>
      <c r="F3951" t="s">
        <v>17467</v>
      </c>
      <c r="G3951">
        <f>'9A'!$N$34</f>
        <v>0</v>
      </c>
    </row>
    <row r="3952" spans="1:7">
      <c r="A3952" t="s">
        <v>17344</v>
      </c>
      <c r="C3952" t="str">
        <f>'9A'!$AW$34</f>
        <v>BO23_2100314</v>
      </c>
      <c r="D3952" t="s">
        <v>18050</v>
      </c>
      <c r="F3952" t="s">
        <v>17467</v>
      </c>
      <c r="G3952">
        <f>'9A'!$O$34</f>
        <v>0</v>
      </c>
    </row>
    <row r="3953" spans="1:7">
      <c r="A3953" t="s">
        <v>17344</v>
      </c>
      <c r="C3953" t="str">
        <f>'9A'!$AK$35</f>
        <v>BO_6251759</v>
      </c>
      <c r="D3953" t="s">
        <v>18051</v>
      </c>
      <c r="F3953" t="s">
        <v>17467</v>
      </c>
      <c r="G3953">
        <f>'9A'!$C$35</f>
        <v>0</v>
      </c>
    </row>
    <row r="3954" spans="1:7">
      <c r="A3954" t="s">
        <v>17344</v>
      </c>
      <c r="C3954" t="str">
        <f>'9A'!$AL$35</f>
        <v>BO_745587</v>
      </c>
      <c r="D3954" t="s">
        <v>18052</v>
      </c>
      <c r="F3954" t="s">
        <v>17467</v>
      </c>
      <c r="G3954">
        <f>'9A'!$D$35</f>
        <v>0</v>
      </c>
    </row>
    <row r="3955" spans="1:7">
      <c r="A3955" t="s">
        <v>17344</v>
      </c>
      <c r="C3955" t="str">
        <f>'9A'!$AM$35</f>
        <v>BO_4469775</v>
      </c>
      <c r="D3955" t="s">
        <v>18053</v>
      </c>
      <c r="F3955" t="s">
        <v>17467</v>
      </c>
      <c r="G3955">
        <f>'9A'!$E$35</f>
        <v>0</v>
      </c>
    </row>
    <row r="3956" spans="1:7">
      <c r="A3956" t="s">
        <v>17344</v>
      </c>
      <c r="C3956" t="str">
        <f>'9A'!$AN$35</f>
        <v>BO_10110</v>
      </c>
      <c r="D3956" t="s">
        <v>18054</v>
      </c>
      <c r="F3956" t="s">
        <v>17467</v>
      </c>
      <c r="G3956">
        <f>'9A'!$F$35</f>
        <v>0</v>
      </c>
    </row>
    <row r="3957" spans="1:7">
      <c r="A3957" t="s">
        <v>17344</v>
      </c>
      <c r="C3957" t="str">
        <f>'9A'!$AO$35</f>
        <v>BO_7918081</v>
      </c>
      <c r="D3957" t="s">
        <v>18055</v>
      </c>
      <c r="F3957" t="s">
        <v>17467</v>
      </c>
      <c r="G3957">
        <f>'9A'!$G$35</f>
        <v>0</v>
      </c>
    </row>
    <row r="3958" spans="1:7">
      <c r="A3958" t="s">
        <v>17344</v>
      </c>
      <c r="C3958" t="str">
        <f>'9A'!$AP$35</f>
        <v>BO_8556865</v>
      </c>
      <c r="D3958" t="s">
        <v>18056</v>
      </c>
      <c r="F3958" t="s">
        <v>17467</v>
      </c>
      <c r="G3958">
        <f>'9A'!$H$35</f>
        <v>0</v>
      </c>
    </row>
    <row r="3959" spans="1:7">
      <c r="A3959" t="s">
        <v>17344</v>
      </c>
      <c r="C3959" t="str">
        <f>'9A'!$AQ$35</f>
        <v>BO_2184147</v>
      </c>
      <c r="D3959" t="s">
        <v>18057</v>
      </c>
      <c r="F3959" t="s">
        <v>17467</v>
      </c>
      <c r="G3959">
        <f>'9A'!$I$35</f>
        <v>0</v>
      </c>
    </row>
    <row r="3960" spans="1:7">
      <c r="A3960" t="s">
        <v>17344</v>
      </c>
      <c r="C3960" t="str">
        <f>'9A'!$AR$35</f>
        <v>BO_2556962</v>
      </c>
      <c r="D3960" t="s">
        <v>18055</v>
      </c>
      <c r="F3960" t="s">
        <v>17467</v>
      </c>
      <c r="G3960">
        <f>'9A'!$J$35</f>
        <v>0</v>
      </c>
    </row>
    <row r="3961" spans="1:7">
      <c r="A3961" t="s">
        <v>17344</v>
      </c>
      <c r="C3961" t="str">
        <f>'9A'!$AS$35</f>
        <v>BO_3292677</v>
      </c>
      <c r="D3961" t="s">
        <v>18058</v>
      </c>
      <c r="F3961" t="s">
        <v>17467</v>
      </c>
      <c r="G3961">
        <f>'9A'!$K$35</f>
        <v>0</v>
      </c>
    </row>
    <row r="3962" spans="1:7">
      <c r="A3962" t="s">
        <v>17344</v>
      </c>
      <c r="C3962" t="str">
        <f>'9A'!$AT$35</f>
        <v>BO_9805370</v>
      </c>
      <c r="D3962" t="s">
        <v>18059</v>
      </c>
      <c r="F3962" t="s">
        <v>17467</v>
      </c>
      <c r="G3962">
        <f>'9A'!$L$35</f>
        <v>0</v>
      </c>
    </row>
    <row r="3963" spans="1:7">
      <c r="A3963" t="s">
        <v>17344</v>
      </c>
      <c r="C3963" t="str">
        <f>'9A'!$AU$35</f>
        <v>BO23_9805370</v>
      </c>
      <c r="D3963" t="s">
        <v>18060</v>
      </c>
      <c r="F3963" t="s">
        <v>17467</v>
      </c>
      <c r="G3963">
        <f>'9A'!$M$35</f>
        <v>0</v>
      </c>
    </row>
    <row r="3964" spans="1:7">
      <c r="A3964" t="s">
        <v>17344</v>
      </c>
      <c r="C3964" t="str">
        <f>'9A'!$AV$35</f>
        <v>BO_9271376</v>
      </c>
      <c r="D3964" t="s">
        <v>18061</v>
      </c>
      <c r="F3964" t="s">
        <v>17467</v>
      </c>
      <c r="G3964">
        <f>'9A'!$N$35</f>
        <v>0</v>
      </c>
    </row>
    <row r="3965" spans="1:7">
      <c r="A3965" t="s">
        <v>17344</v>
      </c>
      <c r="C3965" t="str">
        <f>'9A'!$AW$35</f>
        <v>BO23_9271376</v>
      </c>
      <c r="D3965" t="s">
        <v>18062</v>
      </c>
      <c r="F3965" t="s">
        <v>17467</v>
      </c>
      <c r="G3965">
        <f>'9A'!$O$35</f>
        <v>0</v>
      </c>
    </row>
    <row r="3966" spans="1:7">
      <c r="A3966" t="s">
        <v>17344</v>
      </c>
      <c r="C3966" t="str">
        <f>'9A'!$AK$36</f>
        <v>BO_6759356</v>
      </c>
      <c r="D3966" t="s">
        <v>18063</v>
      </c>
      <c r="F3966" t="s">
        <v>17467</v>
      </c>
      <c r="G3966">
        <f>'9A'!$C$36</f>
        <v>0</v>
      </c>
    </row>
    <row r="3967" spans="1:7">
      <c r="A3967" t="s">
        <v>17344</v>
      </c>
      <c r="C3967" t="str">
        <f>'9A'!$AL$36</f>
        <v>BO_3558456</v>
      </c>
      <c r="D3967" t="s">
        <v>18064</v>
      </c>
      <c r="F3967" t="s">
        <v>17467</v>
      </c>
      <c r="G3967">
        <f>'9A'!$D$36</f>
        <v>0</v>
      </c>
    </row>
    <row r="3968" spans="1:7">
      <c r="A3968" t="s">
        <v>17344</v>
      </c>
      <c r="C3968" t="str">
        <f>'9A'!$AM$36</f>
        <v>BO_7518192</v>
      </c>
      <c r="D3968" t="s">
        <v>18065</v>
      </c>
      <c r="F3968" t="s">
        <v>17467</v>
      </c>
      <c r="G3968">
        <f>'9A'!$E$36</f>
        <v>0</v>
      </c>
    </row>
    <row r="3969" spans="1:7">
      <c r="A3969" t="s">
        <v>17344</v>
      </c>
      <c r="C3969" t="str">
        <f>'9A'!$AN$36</f>
        <v>BO_7923913</v>
      </c>
      <c r="D3969" t="s">
        <v>18066</v>
      </c>
      <c r="F3969" t="s">
        <v>17467</v>
      </c>
      <c r="G3969">
        <f>'9A'!$F$36</f>
        <v>0</v>
      </c>
    </row>
    <row r="3970" spans="1:7">
      <c r="A3970" t="s">
        <v>17344</v>
      </c>
      <c r="C3970" t="str">
        <f>'9A'!$AO$36</f>
        <v>BO_787784</v>
      </c>
      <c r="D3970" t="s">
        <v>18067</v>
      </c>
      <c r="F3970" t="s">
        <v>17467</v>
      </c>
      <c r="G3970">
        <f>'9A'!$G$36</f>
        <v>0</v>
      </c>
    </row>
    <row r="3971" spans="1:7">
      <c r="A3971" t="s">
        <v>17344</v>
      </c>
      <c r="C3971" t="str">
        <f>'9A'!$AP$36</f>
        <v>BO_3376575</v>
      </c>
      <c r="D3971" t="s">
        <v>18068</v>
      </c>
      <c r="F3971" t="s">
        <v>17467</v>
      </c>
      <c r="G3971">
        <f>'9A'!$H$36</f>
        <v>0</v>
      </c>
    </row>
    <row r="3972" spans="1:7">
      <c r="A3972" t="s">
        <v>17344</v>
      </c>
      <c r="C3972" t="str">
        <f>'9A'!$AQ$36</f>
        <v>BO_8703282</v>
      </c>
      <c r="D3972" t="s">
        <v>18069</v>
      </c>
      <c r="F3972" t="s">
        <v>17467</v>
      </c>
      <c r="G3972">
        <f>'9A'!$I$36</f>
        <v>0</v>
      </c>
    </row>
    <row r="3973" spans="1:7">
      <c r="A3973" t="s">
        <v>17344</v>
      </c>
      <c r="C3973" t="str">
        <f>'9A'!$AR$36</f>
        <v>BO_8716304</v>
      </c>
      <c r="D3973" t="s">
        <v>18067</v>
      </c>
      <c r="F3973" t="s">
        <v>17467</v>
      </c>
      <c r="G3973">
        <f>'9A'!$J$36</f>
        <v>0</v>
      </c>
    </row>
    <row r="3974" spans="1:7">
      <c r="A3974" t="s">
        <v>17344</v>
      </c>
      <c r="C3974" t="str">
        <f>'9A'!$AS$36</f>
        <v>BO_8240280</v>
      </c>
      <c r="D3974" t="s">
        <v>18070</v>
      </c>
      <c r="F3974" t="s">
        <v>17467</v>
      </c>
      <c r="G3974">
        <f>'9A'!$K$36</f>
        <v>0</v>
      </c>
    </row>
    <row r="3975" spans="1:7">
      <c r="A3975" t="s">
        <v>17344</v>
      </c>
      <c r="C3975" t="str">
        <f>'9A'!$AT$36</f>
        <v>BO_259386</v>
      </c>
      <c r="D3975" t="s">
        <v>18071</v>
      </c>
      <c r="F3975" t="s">
        <v>17467</v>
      </c>
      <c r="G3975">
        <f>'9A'!$L$36</f>
        <v>0</v>
      </c>
    </row>
    <row r="3976" spans="1:7">
      <c r="A3976" t="s">
        <v>17344</v>
      </c>
      <c r="C3976" t="str">
        <f>'9A'!$AU$36</f>
        <v>BO23_259386</v>
      </c>
      <c r="D3976" t="s">
        <v>18072</v>
      </c>
      <c r="F3976" t="s">
        <v>17467</v>
      </c>
      <c r="G3976">
        <f>'9A'!$M$36</f>
        <v>0</v>
      </c>
    </row>
    <row r="3977" spans="1:7">
      <c r="A3977" t="s">
        <v>17344</v>
      </c>
      <c r="C3977" t="str">
        <f>'9A'!$AV$36</f>
        <v>BO_1062786</v>
      </c>
      <c r="D3977" t="s">
        <v>18073</v>
      </c>
      <c r="F3977" t="s">
        <v>17467</v>
      </c>
      <c r="G3977">
        <f>'9A'!$N$36</f>
        <v>0</v>
      </c>
    </row>
    <row r="3978" spans="1:7">
      <c r="A3978" t="s">
        <v>17344</v>
      </c>
      <c r="C3978" t="str">
        <f>'9A'!$AW$36</f>
        <v>BO23_1062786</v>
      </c>
      <c r="D3978" t="s">
        <v>18074</v>
      </c>
      <c r="F3978" t="s">
        <v>17467</v>
      </c>
      <c r="G3978">
        <f>'9A'!$O$36</f>
        <v>0</v>
      </c>
    </row>
    <row r="3979" spans="1:7">
      <c r="A3979" t="s">
        <v>17344</v>
      </c>
      <c r="C3979" t="str">
        <f>'9A'!$AK$37</f>
        <v>BO_9330663</v>
      </c>
      <c r="D3979" t="s">
        <v>18075</v>
      </c>
      <c r="F3979" t="s">
        <v>17467</v>
      </c>
      <c r="G3979">
        <f>'9A'!$C$37</f>
        <v>0</v>
      </c>
    </row>
    <row r="3980" spans="1:7">
      <c r="A3980" t="s">
        <v>17344</v>
      </c>
      <c r="C3980" t="str">
        <f>'9A'!$AL$37</f>
        <v>BO_3554136</v>
      </c>
      <c r="D3980" t="s">
        <v>18076</v>
      </c>
      <c r="F3980" t="s">
        <v>17467</v>
      </c>
      <c r="G3980">
        <f>'9A'!$D$37</f>
        <v>0</v>
      </c>
    </row>
    <row r="3981" spans="1:7">
      <c r="A3981" t="s">
        <v>17344</v>
      </c>
      <c r="C3981" t="str">
        <f>'9A'!$AM$37</f>
        <v>BO_5025681</v>
      </c>
      <c r="D3981" t="s">
        <v>18077</v>
      </c>
      <c r="F3981" t="s">
        <v>17467</v>
      </c>
      <c r="G3981">
        <f>'9A'!$E$37</f>
        <v>0</v>
      </c>
    </row>
    <row r="3982" spans="1:7">
      <c r="A3982" t="s">
        <v>17344</v>
      </c>
      <c r="C3982" t="str">
        <f>'9A'!$AN$37</f>
        <v>BO_6958429</v>
      </c>
      <c r="D3982" t="s">
        <v>18078</v>
      </c>
      <c r="F3982" t="s">
        <v>17467</v>
      </c>
      <c r="G3982">
        <f>'9A'!$F$37</f>
        <v>0</v>
      </c>
    </row>
    <row r="3983" spans="1:7">
      <c r="A3983" t="s">
        <v>17344</v>
      </c>
      <c r="C3983" t="str">
        <f>'9A'!$AO$37</f>
        <v>BO_2003405</v>
      </c>
      <c r="D3983" t="s">
        <v>18079</v>
      </c>
      <c r="F3983" t="s">
        <v>17467</v>
      </c>
      <c r="G3983">
        <f>'9A'!$G$37</f>
        <v>0</v>
      </c>
    </row>
    <row r="3984" spans="1:7">
      <c r="A3984" t="s">
        <v>17344</v>
      </c>
      <c r="C3984" t="str">
        <f>'9A'!$AP$37</f>
        <v>BO_1254519</v>
      </c>
      <c r="D3984" t="s">
        <v>18080</v>
      </c>
      <c r="F3984" t="s">
        <v>17467</v>
      </c>
      <c r="G3984">
        <f>'9A'!$H$37</f>
        <v>0</v>
      </c>
    </row>
    <row r="3985" spans="1:7">
      <c r="A3985" t="s">
        <v>17344</v>
      </c>
      <c r="C3985" t="str">
        <f>'9A'!$AQ$37</f>
        <v>BO_8344663</v>
      </c>
      <c r="D3985" t="s">
        <v>18081</v>
      </c>
      <c r="F3985" t="s">
        <v>17467</v>
      </c>
      <c r="G3985">
        <f>'9A'!$I$37</f>
        <v>0</v>
      </c>
    </row>
    <row r="3986" spans="1:7">
      <c r="A3986" t="s">
        <v>17344</v>
      </c>
      <c r="C3986" t="str">
        <f>'9A'!$AR$37</f>
        <v>BO_2012486</v>
      </c>
      <c r="D3986" t="s">
        <v>18079</v>
      </c>
      <c r="F3986" t="s">
        <v>17467</v>
      </c>
      <c r="G3986">
        <f>'9A'!$J$37</f>
        <v>0</v>
      </c>
    </row>
    <row r="3987" spans="1:7">
      <c r="A3987" t="s">
        <v>17344</v>
      </c>
      <c r="C3987" t="str">
        <f>'9A'!$AS$37</f>
        <v>BO_6485641</v>
      </c>
      <c r="D3987" t="s">
        <v>18082</v>
      </c>
      <c r="F3987" t="s">
        <v>17467</v>
      </c>
      <c r="G3987">
        <f>'9A'!$K$37</f>
        <v>0</v>
      </c>
    </row>
    <row r="3988" spans="1:7">
      <c r="A3988" t="s">
        <v>17344</v>
      </c>
      <c r="C3988" t="str">
        <f>'9A'!$AT$37</f>
        <v>BO_7648524</v>
      </c>
      <c r="D3988" t="s">
        <v>18083</v>
      </c>
      <c r="F3988" t="s">
        <v>17467</v>
      </c>
      <c r="G3988">
        <f>'9A'!$L$37</f>
        <v>0</v>
      </c>
    </row>
    <row r="3989" spans="1:7">
      <c r="A3989" t="s">
        <v>17344</v>
      </c>
      <c r="C3989" t="str">
        <f>'9A'!$AU$37</f>
        <v>BO23_7648524</v>
      </c>
      <c r="D3989" t="s">
        <v>18084</v>
      </c>
      <c r="F3989" t="s">
        <v>17467</v>
      </c>
      <c r="G3989">
        <f>'9A'!$M$37</f>
        <v>0</v>
      </c>
    </row>
    <row r="3990" spans="1:7">
      <c r="A3990" t="s">
        <v>17344</v>
      </c>
      <c r="C3990" t="str">
        <f>'9A'!$AV$37</f>
        <v>BO_954522</v>
      </c>
      <c r="D3990" t="s">
        <v>18085</v>
      </c>
      <c r="F3990" t="s">
        <v>17467</v>
      </c>
      <c r="G3990">
        <f>'9A'!$N$37</f>
        <v>0</v>
      </c>
    </row>
    <row r="3991" spans="1:7">
      <c r="A3991" t="s">
        <v>17344</v>
      </c>
      <c r="C3991" t="str">
        <f>'9A'!$AW$37</f>
        <v>BO23_954522</v>
      </c>
      <c r="D3991" t="s">
        <v>18086</v>
      </c>
      <c r="F3991" t="s">
        <v>17467</v>
      </c>
      <c r="G3991">
        <f>'9A'!$O$37</f>
        <v>0</v>
      </c>
    </row>
    <row r="3992" spans="1:7">
      <c r="A3992" t="s">
        <v>17344</v>
      </c>
      <c r="C3992" t="str">
        <f>'9A'!$AK$38</f>
        <v>BO_7697659</v>
      </c>
      <c r="D3992" t="s">
        <v>18087</v>
      </c>
      <c r="F3992" t="s">
        <v>17467</v>
      </c>
      <c r="G3992">
        <f>'9A'!$C$38</f>
        <v>0</v>
      </c>
    </row>
    <row r="3993" spans="1:7">
      <c r="A3993" t="s">
        <v>17344</v>
      </c>
      <c r="C3993" t="str">
        <f>'9A'!$AL$38</f>
        <v>BO_2445707</v>
      </c>
      <c r="D3993" t="s">
        <v>18088</v>
      </c>
      <c r="F3993" t="s">
        <v>17467</v>
      </c>
      <c r="G3993">
        <f>'9A'!$D$38</f>
        <v>0</v>
      </c>
    </row>
    <row r="3994" spans="1:7">
      <c r="A3994" t="s">
        <v>17344</v>
      </c>
      <c r="C3994" t="str">
        <f>'9A'!$AM$38</f>
        <v>BO_9617921</v>
      </c>
      <c r="D3994" t="s">
        <v>18089</v>
      </c>
      <c r="F3994" t="s">
        <v>17467</v>
      </c>
      <c r="G3994">
        <f>'9A'!$E$38</f>
        <v>0</v>
      </c>
    </row>
    <row r="3995" spans="1:7">
      <c r="A3995" t="s">
        <v>17344</v>
      </c>
      <c r="C3995" t="str">
        <f>'9A'!$AN$38</f>
        <v>BO_9359394</v>
      </c>
      <c r="D3995" t="s">
        <v>18090</v>
      </c>
      <c r="F3995" t="s">
        <v>17467</v>
      </c>
      <c r="G3995">
        <f>'9A'!$F$38</f>
        <v>0</v>
      </c>
    </row>
    <row r="3996" spans="1:7">
      <c r="A3996" t="s">
        <v>17344</v>
      </c>
      <c r="C3996" t="str">
        <f>'9A'!$AO$38</f>
        <v>BO_4164238</v>
      </c>
      <c r="D3996" t="s">
        <v>18091</v>
      </c>
      <c r="F3996" t="s">
        <v>17467</v>
      </c>
      <c r="G3996">
        <f>'9A'!$G$38</f>
        <v>0</v>
      </c>
    </row>
    <row r="3997" spans="1:7">
      <c r="A3997" t="s">
        <v>17344</v>
      </c>
      <c r="C3997" t="str">
        <f>'9A'!$AP$38</f>
        <v>BO_6175034</v>
      </c>
      <c r="D3997" t="s">
        <v>18092</v>
      </c>
      <c r="F3997" t="s">
        <v>17467</v>
      </c>
      <c r="G3997">
        <f>'9A'!$H$38</f>
        <v>0</v>
      </c>
    </row>
    <row r="3998" spans="1:7">
      <c r="A3998" t="s">
        <v>17344</v>
      </c>
      <c r="C3998" t="str">
        <f>'9A'!$AQ$38</f>
        <v>BO_5881970</v>
      </c>
      <c r="D3998" t="s">
        <v>18093</v>
      </c>
      <c r="F3998" t="s">
        <v>17467</v>
      </c>
      <c r="G3998">
        <f>'9A'!$I$38</f>
        <v>0</v>
      </c>
    </row>
    <row r="3999" spans="1:7">
      <c r="A3999" t="s">
        <v>17344</v>
      </c>
      <c r="C3999" t="str">
        <f>'9A'!$AR$38</f>
        <v>BO_6508247</v>
      </c>
      <c r="D3999" t="s">
        <v>18091</v>
      </c>
      <c r="F3999" t="s">
        <v>17467</v>
      </c>
      <c r="G3999">
        <f>'9A'!$J$38</f>
        <v>0</v>
      </c>
    </row>
    <row r="4000" spans="1:7">
      <c r="A4000" t="s">
        <v>17344</v>
      </c>
      <c r="C4000" t="str">
        <f>'9A'!$AS$38</f>
        <v>BO_8701815</v>
      </c>
      <c r="D4000" t="s">
        <v>18094</v>
      </c>
      <c r="F4000" t="s">
        <v>17467</v>
      </c>
      <c r="G4000">
        <f>'9A'!$K$38</f>
        <v>0</v>
      </c>
    </row>
    <row r="4001" spans="1:7">
      <c r="A4001" t="s">
        <v>17344</v>
      </c>
      <c r="C4001" t="str">
        <f>'9A'!$AT$38</f>
        <v>BO_6148232</v>
      </c>
      <c r="D4001" t="s">
        <v>18095</v>
      </c>
      <c r="F4001" t="s">
        <v>17467</v>
      </c>
      <c r="G4001">
        <f>'9A'!$L$38</f>
        <v>0</v>
      </c>
    </row>
    <row r="4002" spans="1:7">
      <c r="A4002" t="s">
        <v>17344</v>
      </c>
      <c r="C4002" t="str">
        <f>'9A'!$AU$38</f>
        <v>BO23_6148232</v>
      </c>
      <c r="D4002" t="s">
        <v>18096</v>
      </c>
      <c r="F4002" t="s">
        <v>17467</v>
      </c>
      <c r="G4002">
        <f>'9A'!$M$38</f>
        <v>0</v>
      </c>
    </row>
    <row r="4003" spans="1:7">
      <c r="A4003" t="s">
        <v>17344</v>
      </c>
      <c r="C4003" t="str">
        <f>'9A'!$AV$38</f>
        <v>BO_7707001</v>
      </c>
      <c r="D4003" t="s">
        <v>18097</v>
      </c>
      <c r="F4003" t="s">
        <v>17467</v>
      </c>
      <c r="G4003">
        <f>'9A'!$N$38</f>
        <v>0</v>
      </c>
    </row>
    <row r="4004" spans="1:7">
      <c r="A4004" t="s">
        <v>17344</v>
      </c>
      <c r="C4004" t="str">
        <f>'9A'!$AW$38</f>
        <v>BO23_7707001</v>
      </c>
      <c r="D4004" t="s">
        <v>18098</v>
      </c>
      <c r="F4004" t="s">
        <v>17467</v>
      </c>
      <c r="G4004">
        <f>'9A'!$O$38</f>
        <v>0</v>
      </c>
    </row>
    <row r="4005" spans="1:7">
      <c r="A4005" t="s">
        <v>17344</v>
      </c>
      <c r="C4005" t="str">
        <f>'9A'!$AK$39</f>
        <v>BO_954151</v>
      </c>
      <c r="D4005" t="s">
        <v>18099</v>
      </c>
      <c r="F4005" t="s">
        <v>17467</v>
      </c>
      <c r="G4005">
        <f>'9A'!$C$39</f>
        <v>0</v>
      </c>
    </row>
    <row r="4006" spans="1:7">
      <c r="A4006" t="s">
        <v>17344</v>
      </c>
      <c r="C4006" t="str">
        <f>'9A'!$AL$39</f>
        <v>BO_9474392</v>
      </c>
      <c r="D4006" t="s">
        <v>18100</v>
      </c>
      <c r="F4006" t="s">
        <v>17467</v>
      </c>
      <c r="G4006">
        <f>'9A'!$D$39</f>
        <v>0</v>
      </c>
    </row>
    <row r="4007" spans="1:7">
      <c r="A4007" t="s">
        <v>17344</v>
      </c>
      <c r="C4007" t="str">
        <f>'9A'!$AM$39</f>
        <v>BO_6867152</v>
      </c>
      <c r="D4007" t="s">
        <v>18101</v>
      </c>
      <c r="F4007" t="s">
        <v>17467</v>
      </c>
      <c r="G4007">
        <f>'9A'!$E$39</f>
        <v>0</v>
      </c>
    </row>
    <row r="4008" spans="1:7">
      <c r="A4008" t="s">
        <v>17344</v>
      </c>
      <c r="C4008" t="str">
        <f>'9A'!$AN$39</f>
        <v>BO_6329274</v>
      </c>
      <c r="D4008" t="s">
        <v>18102</v>
      </c>
      <c r="F4008" t="s">
        <v>17467</v>
      </c>
      <c r="G4008">
        <f>'9A'!$F$39</f>
        <v>0</v>
      </c>
    </row>
    <row r="4009" spans="1:7">
      <c r="A4009" t="s">
        <v>17344</v>
      </c>
      <c r="C4009" t="str">
        <f>'9A'!$AO$39</f>
        <v>BO_8008024</v>
      </c>
      <c r="D4009" t="s">
        <v>18103</v>
      </c>
      <c r="F4009" t="s">
        <v>17467</v>
      </c>
      <c r="G4009">
        <f>'9A'!$G$39</f>
        <v>0</v>
      </c>
    </row>
    <row r="4010" spans="1:7">
      <c r="A4010" t="s">
        <v>17344</v>
      </c>
      <c r="C4010" t="str">
        <f>'9A'!$AP$39</f>
        <v>BO_4529482</v>
      </c>
      <c r="D4010" t="s">
        <v>18104</v>
      </c>
      <c r="F4010" t="s">
        <v>17467</v>
      </c>
      <c r="G4010">
        <f>'9A'!$H$39</f>
        <v>0</v>
      </c>
    </row>
    <row r="4011" spans="1:7">
      <c r="A4011" t="s">
        <v>17344</v>
      </c>
      <c r="C4011" t="str">
        <f>'9A'!$AQ$39</f>
        <v>BO_6799701</v>
      </c>
      <c r="D4011" t="s">
        <v>18105</v>
      </c>
      <c r="F4011" t="s">
        <v>17467</v>
      </c>
      <c r="G4011">
        <f>'9A'!$I$39</f>
        <v>0</v>
      </c>
    </row>
    <row r="4012" spans="1:7">
      <c r="A4012" t="s">
        <v>17344</v>
      </c>
      <c r="C4012" t="str">
        <f>'9A'!$AR$39</f>
        <v>BO_5674113</v>
      </c>
      <c r="D4012" t="s">
        <v>18103</v>
      </c>
      <c r="F4012" t="s">
        <v>17467</v>
      </c>
      <c r="G4012">
        <f>'9A'!$J$39</f>
        <v>0</v>
      </c>
    </row>
    <row r="4013" spans="1:7">
      <c r="A4013" t="s">
        <v>17344</v>
      </c>
      <c r="C4013" t="str">
        <f>'9A'!$AS$39</f>
        <v>BO_5818165</v>
      </c>
      <c r="D4013" t="s">
        <v>18106</v>
      </c>
      <c r="F4013" t="s">
        <v>17467</v>
      </c>
      <c r="G4013">
        <f>'9A'!$K$39</f>
        <v>0</v>
      </c>
    </row>
    <row r="4014" spans="1:7">
      <c r="A4014" t="s">
        <v>17344</v>
      </c>
      <c r="C4014" t="str">
        <f>'9A'!$AT$39</f>
        <v>BO_5769717</v>
      </c>
      <c r="D4014" t="s">
        <v>18107</v>
      </c>
      <c r="F4014" t="s">
        <v>17467</v>
      </c>
      <c r="G4014">
        <f>'9A'!$L$39</f>
        <v>0</v>
      </c>
    </row>
    <row r="4015" spans="1:7">
      <c r="A4015" t="s">
        <v>17344</v>
      </c>
      <c r="C4015" t="str">
        <f>'9A'!$AU$39</f>
        <v>BO23_5769717</v>
      </c>
      <c r="D4015" t="s">
        <v>18108</v>
      </c>
      <c r="F4015" t="s">
        <v>17467</v>
      </c>
      <c r="G4015">
        <f>'9A'!$M$39</f>
        <v>0</v>
      </c>
    </row>
    <row r="4016" spans="1:7">
      <c r="A4016" t="s">
        <v>17344</v>
      </c>
      <c r="C4016" t="str">
        <f>'9A'!$AV$39</f>
        <v>BO_7827747</v>
      </c>
      <c r="D4016" t="s">
        <v>18109</v>
      </c>
      <c r="F4016" t="s">
        <v>17467</v>
      </c>
      <c r="G4016">
        <f>'9A'!$N$39</f>
        <v>0</v>
      </c>
    </row>
    <row r="4017" spans="1:7">
      <c r="A4017" t="s">
        <v>17344</v>
      </c>
      <c r="C4017" t="str">
        <f>'9A'!$AW$39</f>
        <v>BO23_7827747</v>
      </c>
      <c r="D4017" t="s">
        <v>18110</v>
      </c>
      <c r="F4017" t="s">
        <v>17467</v>
      </c>
      <c r="G4017">
        <f>'9A'!$O$39</f>
        <v>0</v>
      </c>
    </row>
    <row r="4018" spans="1:7">
      <c r="A4018" t="s">
        <v>17344</v>
      </c>
      <c r="C4018" t="str">
        <f>'9A'!$AK$40</f>
        <v>BO_709060</v>
      </c>
      <c r="D4018" t="s">
        <v>18111</v>
      </c>
      <c r="F4018" t="s">
        <v>17467</v>
      </c>
      <c r="G4018">
        <f>'9A'!$C$40</f>
        <v>2.798</v>
      </c>
    </row>
    <row r="4019" spans="1:7">
      <c r="A4019" t="s">
        <v>17344</v>
      </c>
      <c r="C4019" t="str">
        <f>'9A'!$AL$40</f>
        <v>BO_8196426</v>
      </c>
      <c r="D4019" t="s">
        <v>18112</v>
      </c>
      <c r="F4019" t="s">
        <v>17467</v>
      </c>
      <c r="G4019">
        <f>'9A'!$D$40</f>
        <v>0</v>
      </c>
    </row>
    <row r="4020" spans="1:7">
      <c r="A4020" t="s">
        <v>17344</v>
      </c>
      <c r="C4020" t="str">
        <f>'9A'!$AM$40</f>
        <v>BO_1993881</v>
      </c>
      <c r="D4020" t="s">
        <v>18113</v>
      </c>
      <c r="F4020" t="s">
        <v>17467</v>
      </c>
      <c r="G4020">
        <f>'9A'!$E$40</f>
        <v>1.1160000000000001</v>
      </c>
    </row>
    <row r="4021" spans="1:7">
      <c r="A4021" t="s">
        <v>17344</v>
      </c>
      <c r="C4021" t="str">
        <f>'9A'!$AN$40</f>
        <v>BO_8061588</v>
      </c>
      <c r="D4021" t="s">
        <v>18114</v>
      </c>
      <c r="F4021" t="s">
        <v>17467</v>
      </c>
      <c r="G4021">
        <f>'9A'!$F$40</f>
        <v>0.72199999999999998</v>
      </c>
    </row>
    <row r="4022" spans="1:7">
      <c r="A4022" t="s">
        <v>17344</v>
      </c>
      <c r="C4022" t="str">
        <f>'9A'!$AO$40</f>
        <v>BO_2205112</v>
      </c>
      <c r="D4022" t="s">
        <v>18115</v>
      </c>
      <c r="F4022" t="s">
        <v>17467</v>
      </c>
      <c r="G4022">
        <f>'9A'!$G$40</f>
        <v>-0.39400000000000007</v>
      </c>
    </row>
    <row r="4023" spans="1:7">
      <c r="A4023" t="s">
        <v>17344</v>
      </c>
      <c r="C4023" t="str">
        <f>'9A'!$AP$40</f>
        <v>BO_2488494</v>
      </c>
      <c r="D4023" t="s">
        <v>18116</v>
      </c>
      <c r="F4023" t="s">
        <v>17467</v>
      </c>
      <c r="G4023">
        <f>'9A'!$H$40</f>
        <v>2.798</v>
      </c>
    </row>
    <row r="4024" spans="1:7">
      <c r="A4024" t="s">
        <v>17344</v>
      </c>
      <c r="C4024" t="str">
        <f>'9A'!$AQ$40</f>
        <v>BO_3942593</v>
      </c>
      <c r="D4024" t="s">
        <v>18117</v>
      </c>
      <c r="F4024" t="s">
        <v>17467</v>
      </c>
      <c r="G4024">
        <f>'9A'!$I$40</f>
        <v>0.83399999999999996</v>
      </c>
    </row>
    <row r="4025" spans="1:7">
      <c r="A4025" t="s">
        <v>17344</v>
      </c>
      <c r="C4025" t="str">
        <f>'9A'!$AR$40</f>
        <v>BO_7737865</v>
      </c>
      <c r="D4025" t="s">
        <v>18115</v>
      </c>
      <c r="F4025" t="s">
        <v>17467</v>
      </c>
      <c r="G4025">
        <f>'9A'!$J$40</f>
        <v>-1.964</v>
      </c>
    </row>
    <row r="4026" spans="1:7">
      <c r="A4026" t="s">
        <v>17344</v>
      </c>
      <c r="C4026" t="str">
        <f>'9A'!$AS$40</f>
        <v>BO_9499548</v>
      </c>
      <c r="D4026" t="s">
        <v>18118</v>
      </c>
      <c r="F4026" t="s">
        <v>17467</v>
      </c>
      <c r="G4026">
        <f>'9A'!$K$40</f>
        <v>1.964</v>
      </c>
    </row>
    <row r="4027" spans="1:7">
      <c r="A4027" t="s">
        <v>17344</v>
      </c>
      <c r="C4027" t="str">
        <f>'9A'!$AT$40</f>
        <v>BO_9075086</v>
      </c>
      <c r="D4027" t="s">
        <v>18119</v>
      </c>
      <c r="F4027" t="s">
        <v>17467</v>
      </c>
      <c r="G4027">
        <f>'9A'!$L$40</f>
        <v>1.4E-2</v>
      </c>
    </row>
    <row r="4028" spans="1:7">
      <c r="A4028" t="s">
        <v>17344</v>
      </c>
      <c r="C4028" t="str">
        <f>'9A'!$AU$40</f>
        <v>BO23_9075086</v>
      </c>
      <c r="D4028" t="s">
        <v>18120</v>
      </c>
      <c r="F4028" t="s">
        <v>17467</v>
      </c>
      <c r="G4028">
        <f>'9A'!$M$40</f>
        <v>0.109</v>
      </c>
    </row>
    <row r="4029" spans="1:7">
      <c r="A4029" t="s">
        <v>17344</v>
      </c>
      <c r="C4029" t="str">
        <f>'9A'!$AV$40</f>
        <v>BO_2988952</v>
      </c>
      <c r="D4029" t="s">
        <v>18121</v>
      </c>
      <c r="F4029" t="s">
        <v>17467</v>
      </c>
      <c r="G4029">
        <f>'9A'!$N$40</f>
        <v>2.0999999999999998E-2</v>
      </c>
    </row>
    <row r="4030" spans="1:7">
      <c r="A4030" t="s">
        <v>17344</v>
      </c>
      <c r="C4030" t="str">
        <f>'9A'!$AW$40</f>
        <v>BO23_2988952</v>
      </c>
      <c r="D4030" t="s">
        <v>18122</v>
      </c>
      <c r="F4030" t="s">
        <v>17467</v>
      </c>
      <c r="G4030">
        <f>'9A'!$O$40</f>
        <v>0.115</v>
      </c>
    </row>
    <row r="4031" spans="1:7">
      <c r="A4031" t="s">
        <v>4186</v>
      </c>
      <c r="C4031" t="str">
        <f>'11A'!$T$11</f>
        <v>BR001_S1WBF</v>
      </c>
      <c r="D4031" t="str">
        <f>_xlfn.CONCAT('11A'!$B$10, "-", '11A'!$B$11, "-", '11A'!$C$8, "-", '11A'!$C$7, "-", '11A'!$C$6, "-", '11A'!$C$5)</f>
        <v>Scope one emissions-Burning of fossil fuels (location-based)-3-tCO2e-Water-Operational emissions</v>
      </c>
      <c r="F4031" t="s">
        <v>17467</v>
      </c>
      <c r="G4031">
        <f>'11A'!$C$11</f>
        <v>1089.4639999999999</v>
      </c>
    </row>
    <row r="4032" spans="1:7">
      <c r="A4032" t="s">
        <v>4186</v>
      </c>
      <c r="C4032" t="str">
        <f>'11A'!$U$11</f>
        <v>BR002_S1WWBF</v>
      </c>
      <c r="D4032" t="str">
        <f>_xlfn.CONCAT('11A'!$B$10, "-", '11A'!$B$11, "-", '11A'!$D$8, "-", '11A'!$D$7, "-", '11A'!$D$6, "-", '11A'!$C$5)</f>
        <v>Scope one emissions-Burning of fossil fuels (location-based)-3-tCO2e-Wastewater-Operational emissions</v>
      </c>
      <c r="F4032" t="s">
        <v>17467</v>
      </c>
      <c r="G4032">
        <f>'11A'!$D$11</f>
        <v>10534.447</v>
      </c>
    </row>
    <row r="4033" spans="1:7">
      <c r="A4033" t="s">
        <v>4186</v>
      </c>
      <c r="C4033" t="str">
        <f>'11A'!$V$11</f>
        <v>BR003_S1TOBF</v>
      </c>
      <c r="D4033" t="str">
        <f>_xlfn.CONCAT('11A'!$B$10, "-", '11A'!$B$11, "-", '11A'!$E$8, "-", '11A'!$E$7, "-", '11A'!$E$6, "-", '11A'!$C$5)</f>
        <v>Scope one emissions-Burning of fossil fuels (location-based)-3-tCO2e-Total-Operational emissions</v>
      </c>
      <c r="F4033" t="s">
        <v>17467</v>
      </c>
      <c r="G4033">
        <f>'11A'!$E$11</f>
        <v>11623.911</v>
      </c>
    </row>
    <row r="4034" spans="1:7">
      <c r="A4034" t="s">
        <v>4186</v>
      </c>
      <c r="C4034" t="str">
        <f>'11A'!$T$12</f>
        <v>BO_8218400</v>
      </c>
      <c r="D4034" t="str">
        <f>_xlfn.CONCAT('11A'!$B$10, "-", '11A'!$B$12, "-", '11A'!$C$8, "-", '11A'!$C$7, "-", '11A'!$C$6, "-", '11A'!$C$5)</f>
        <v>Scope one emissions-Burning of fossil fuels (market-based)-3-tCO2e-Water-Operational emissions</v>
      </c>
      <c r="F4034" t="s">
        <v>17467</v>
      </c>
      <c r="G4034">
        <f>'11A'!$C$12</f>
        <v>1089.4639999999999</v>
      </c>
    </row>
    <row r="4035" spans="1:7">
      <c r="A4035" t="s">
        <v>4186</v>
      </c>
      <c r="C4035" t="str">
        <f>'11A'!$U$12</f>
        <v>BO_1134050</v>
      </c>
      <c r="D4035" t="str">
        <f>_xlfn.CONCAT('11A'!$B$10, "-", '11A'!$B$12, "-", '11A'!$D$8, "-", '11A'!$D$7, "-", '11A'!$D$6, "-", '11A'!$C$5)</f>
        <v>Scope one emissions-Burning of fossil fuels (market-based)-3-tCO2e-Wastewater-Operational emissions</v>
      </c>
      <c r="F4035" t="s">
        <v>17467</v>
      </c>
      <c r="G4035">
        <f>'11A'!$D$12</f>
        <v>10534.447</v>
      </c>
    </row>
    <row r="4036" spans="1:7">
      <c r="A4036" t="s">
        <v>4186</v>
      </c>
      <c r="C4036" t="str">
        <f>'11A'!$V$12</f>
        <v>BO_7562084</v>
      </c>
      <c r="D4036" t="str">
        <f>_xlfn.CONCAT('11A'!$B$10, "-", '11A'!$B$12, "-", '11A'!$E$8, "-", '11A'!$E$7, "-", '11A'!$E$6, "-", '11A'!$C$5)</f>
        <v>Scope one emissions-Burning of fossil fuels (market-based)-3-tCO2e-Total-Operational emissions</v>
      </c>
      <c r="F4036" t="s">
        <v>17467</v>
      </c>
      <c r="G4036">
        <f>'11A'!$E$12</f>
        <v>11623.911</v>
      </c>
    </row>
    <row r="4037" spans="1:7">
      <c r="A4037" t="s">
        <v>4186</v>
      </c>
      <c r="C4037" t="str">
        <f>'11A'!$T$13</f>
        <v>BR004_S1WPG</v>
      </c>
      <c r="D4037" t="str">
        <f>_xlfn.CONCAT('11A'!$B$10, "-", '11A'!$B$13, "-", '11A'!$C$8, "-", '11A'!$C$7, "-", '11A'!$C$6, "-", '11A'!$C$5)</f>
        <v>Scope one emissions-Process and fugitive emissions-3-tCO2e-Water-Operational emissions</v>
      </c>
      <c r="F4037" t="s">
        <v>17467</v>
      </c>
      <c r="G4037">
        <f>'11A'!$C$13</f>
        <v>587.61400000000003</v>
      </c>
    </row>
    <row r="4038" spans="1:7">
      <c r="A4038" t="s">
        <v>4186</v>
      </c>
      <c r="C4038" t="str">
        <f>'11A'!$U$13</f>
        <v>BR005_S1WWPG</v>
      </c>
      <c r="D4038" t="str">
        <f>_xlfn.CONCAT('11A'!$B$10, "-", '11A'!$B$13, "-", '11A'!$D$8, "-", '11A'!$D$7, "-", '11A'!$D$6, "-", '11A'!$C$5)</f>
        <v>Scope one emissions-Process and fugitive emissions-3-tCO2e-Wastewater-Operational emissions</v>
      </c>
      <c r="F4038" t="s">
        <v>17467</v>
      </c>
      <c r="G4038">
        <f>'11A'!$D$13</f>
        <v>39873.771999999997</v>
      </c>
    </row>
    <row r="4039" spans="1:7">
      <c r="A4039" t="s">
        <v>4186</v>
      </c>
      <c r="C4039" t="str">
        <f>'11A'!$V$13</f>
        <v>BR006_S1TOPG</v>
      </c>
      <c r="D4039" t="str">
        <f>_xlfn.CONCAT('11A'!$B$10, "-", '11A'!$B$13, "-", '11A'!$E$8, "-", '11A'!$E$7, "-", '11A'!$E$6, "-", '11A'!$C$5)</f>
        <v>Scope one emissions-Process and fugitive emissions-3-tCO2e-Total-Operational emissions</v>
      </c>
      <c r="F4039" t="s">
        <v>17467</v>
      </c>
      <c r="G4039">
        <f>'11A'!$E$13</f>
        <v>40461.385999999999</v>
      </c>
    </row>
    <row r="4040" spans="1:7">
      <c r="A4040" t="s">
        <v>4186</v>
      </c>
      <c r="C4040" t="str">
        <f>'11A'!$T$14</f>
        <v>BR007_S1WVT</v>
      </c>
      <c r="D4040" t="str">
        <f>_xlfn.CONCAT('11A'!$B$10, "-", '11A'!$B$14, "-", '11A'!$C$8, "-", '11A'!$C$7, "-", '11A'!$C$6, "-", '11A'!$C$5)</f>
        <v>Scope one emissions-Vehicle transport-3-tCO2e-Water-Operational emissions</v>
      </c>
      <c r="F4040" t="s">
        <v>17467</v>
      </c>
      <c r="G4040">
        <f>'11A'!$C$14</f>
        <v>2938.6790000000001</v>
      </c>
    </row>
    <row r="4041" spans="1:7">
      <c r="A4041" t="s">
        <v>4186</v>
      </c>
      <c r="C4041" t="str">
        <f>'11A'!$U$14</f>
        <v>BR008_S1WWVT</v>
      </c>
      <c r="D4041" t="str">
        <f>_xlfn.CONCAT('11A'!$B$10, "-", '11A'!$B$14, "-", '11A'!$D$8, "-", '11A'!$D$7, "-", '11A'!$D$6, "-", '11A'!$C$5)</f>
        <v>Scope one emissions-Vehicle transport-3-tCO2e-Wastewater-Operational emissions</v>
      </c>
      <c r="F4041" t="s">
        <v>17467</v>
      </c>
      <c r="G4041">
        <f>'11A'!$D$14</f>
        <v>4469.0510000000004</v>
      </c>
    </row>
    <row r="4042" spans="1:7">
      <c r="A4042" t="s">
        <v>4186</v>
      </c>
      <c r="C4042" t="str">
        <f>'11A'!$V$14</f>
        <v>BR009_S1TOVT</v>
      </c>
      <c r="D4042" t="str">
        <f>_xlfn.CONCAT('11A'!$B$10, "-", '11A'!$B$14, "-", '11A'!$E$8, "-", '11A'!$E$7, "-", '11A'!$E$6, "-", '11A'!$C$5)</f>
        <v>Scope one emissions-Vehicle transport-3-tCO2e-Total-Operational emissions</v>
      </c>
      <c r="F4042" t="s">
        <v>17467</v>
      </c>
      <c r="G4042">
        <f>'11A'!$E$14</f>
        <v>7407.7300000000005</v>
      </c>
    </row>
    <row r="4043" spans="1:7">
      <c r="A4043" t="s">
        <v>4186</v>
      </c>
      <c r="C4043" t="str">
        <f>'11A'!$T$15</f>
        <v>BO_4235456</v>
      </c>
      <c r="D4043" t="str">
        <f>_xlfn.CONCAT('11A'!$B$10, "-", '11A'!$B$15, "-", '11A'!$C$8, "-", '11A'!$C$7, "-", '11A'!$C$6, "-", '11A'!$C$5)</f>
        <v>Scope one emissions-Emissions from land-3-tCO2e-Water-Operational emissions</v>
      </c>
      <c r="F4043" t="s">
        <v>17467</v>
      </c>
      <c r="G4043">
        <f>'11A'!$C$15</f>
        <v>0</v>
      </c>
    </row>
    <row r="4044" spans="1:7">
      <c r="A4044" t="s">
        <v>4186</v>
      </c>
      <c r="C4044" t="str">
        <f>'11A'!$U$15</f>
        <v>BO_9915427</v>
      </c>
      <c r="D4044" t="str">
        <f>_xlfn.CONCAT('11A'!$B$10, "-", '11A'!$B$15, "-", '11A'!$D$8, "-", '11A'!$D$7, "-", '11A'!$D$6, "-", '11A'!$C$5)</f>
        <v>Scope one emissions-Emissions from land-3-tCO2e-Wastewater-Operational emissions</v>
      </c>
      <c r="F4044" t="s">
        <v>17467</v>
      </c>
      <c r="G4044">
        <f>'11A'!$D$15</f>
        <v>0</v>
      </c>
    </row>
    <row r="4045" spans="1:7">
      <c r="A4045" t="s">
        <v>4186</v>
      </c>
      <c r="C4045" t="str">
        <f>'11A'!$V$15</f>
        <v>BO_5953876</v>
      </c>
      <c r="D4045" t="str">
        <f>_xlfn.CONCAT('11A'!$B$10, "-", '11A'!$B$15, "-", '11A'!$E$8, "-", '11A'!$E$7, "-", '11A'!$E$6, "-", '11A'!$C$5)</f>
        <v>Scope one emissions-Emissions from land-3-tCO2e-Total-Operational emissions</v>
      </c>
      <c r="F4045" t="s">
        <v>17467</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17467</v>
      </c>
      <c r="G4046">
        <f>'11A'!$C$16</f>
        <v>4615.7569999999996</v>
      </c>
    </row>
    <row r="4047" spans="1:7">
      <c r="A4047" t="s">
        <v>4186</v>
      </c>
      <c r="C4047" t="str">
        <f>'11A'!$U$16</f>
        <v>BO_3904088</v>
      </c>
      <c r="D4047" t="str">
        <f>_xlfn.CONCAT('11A'!$B$10, "-", '11A'!$B$16, "-", '11A'!$D$8, "-", '11A'!$D$7, "-", '11A'!$D$6, "-", '11A'!$C$5)</f>
        <v>Scope one emissions-Total scope one emissions (location-based)-3-tCO2e-Wastewater-Operational emissions</v>
      </c>
      <c r="F4047" t="s">
        <v>17467</v>
      </c>
      <c r="G4047">
        <f>'11A'!$D$16</f>
        <v>54877.27</v>
      </c>
    </row>
    <row r="4048" spans="1:7">
      <c r="A4048" t="s">
        <v>4186</v>
      </c>
      <c r="C4048" t="str">
        <f>'11A'!$V$16</f>
        <v>BO_2111781</v>
      </c>
      <c r="D4048" t="str">
        <f>_xlfn.CONCAT('11A'!$B$10, "-", '11A'!$B$16, "-", '11A'!$E$8, "-", '11A'!$E$7, "-", '11A'!$E$6, "-", '11A'!$C$5)</f>
        <v>Scope one emissions-Total scope one emissions (location-based)-3-tCO2e-Total-Operational emissions</v>
      </c>
      <c r="F4048" t="s">
        <v>17467</v>
      </c>
      <c r="G4048">
        <f>'11A'!$E$16</f>
        <v>59493.027000000002</v>
      </c>
    </row>
    <row r="4049" spans="1:7">
      <c r="A4049" t="s">
        <v>4186</v>
      </c>
      <c r="C4049" t="str">
        <f>'11A'!$T$17</f>
        <v>BR010_S1WTO</v>
      </c>
      <c r="D4049" t="str">
        <f>_xlfn.CONCAT('11A'!$B$10, "-", '11A'!$B$17, "-", '11A'!$C$8, "-", '11A'!$C$7, "-", '11A'!$C$6, "-", '11A'!$C$5)</f>
        <v>Scope one emissions-Total scope one emissions (market-based)-3-tCO2e-Water-Operational emissions</v>
      </c>
      <c r="F4049" t="s">
        <v>17467</v>
      </c>
      <c r="G4049">
        <f>'11A'!$C$17</f>
        <v>4615.7569999999996</v>
      </c>
    </row>
    <row r="4050" spans="1:7">
      <c r="A4050" t="s">
        <v>4186</v>
      </c>
      <c r="C4050" t="str">
        <f>'11A'!$U$17</f>
        <v>BR011_S1WWTO</v>
      </c>
      <c r="D4050" t="str">
        <f>_xlfn.CONCAT('11A'!$B$10, "-", '11A'!$B$17, "-", '11A'!$D$8, "-", '11A'!$D$7, "-", '11A'!$D$6, "-", '11A'!$C$5)</f>
        <v>Scope one emissions-Total scope one emissions (market-based)-3-tCO2e-Wastewater-Operational emissions</v>
      </c>
      <c r="F4050" t="s">
        <v>17467</v>
      </c>
      <c r="G4050">
        <f>'11A'!$D$17</f>
        <v>54877.27</v>
      </c>
    </row>
    <row r="4051" spans="1:7">
      <c r="A4051" t="s">
        <v>4186</v>
      </c>
      <c r="C4051" t="str">
        <f>'11A'!$V$17</f>
        <v>BR012_S1TOTO</v>
      </c>
      <c r="D4051" t="str">
        <f>_xlfn.CONCAT('11A'!$B$10, "-", '11A'!$B$17, "-", '11A'!$E$8, "-", '11A'!$E$7, "-", '11A'!$E$6, "-", '11A'!$C$5)</f>
        <v>Scope one emissions-Total scope one emissions (market-based)-3-tCO2e-Total-Operational emissions</v>
      </c>
      <c r="F4051" t="s">
        <v>17467</v>
      </c>
      <c r="G4051">
        <f>'11A'!$E$17</f>
        <v>59493.027000000002</v>
      </c>
    </row>
    <row r="4052" spans="1:7">
      <c r="A4052" t="s">
        <v>4186</v>
      </c>
      <c r="C4052" t="str">
        <f>'11A'!$T$19</f>
        <v>BR010_S1WCO</v>
      </c>
      <c r="D4052" t="str">
        <f>_xlfn.CONCAT('11A'!$B$10, "-", '11A'!$B$19, "-", '11A'!$C$8, "-", '11A'!$C$7, "-", '11A'!$C$6, "-", '11A'!$C$5)</f>
        <v>Scope one emissions-Scope one emissions; GHG type CO2-3-tCO2e-Water-Operational emissions</v>
      </c>
      <c r="F4052" t="s">
        <v>17467</v>
      </c>
      <c r="G4052">
        <f>'11A'!$C$19</f>
        <v>3971.768</v>
      </c>
    </row>
    <row r="4053" spans="1:7">
      <c r="A4053" t="s">
        <v>4186</v>
      </c>
      <c r="C4053" t="str">
        <f>'11A'!$U$19</f>
        <v>BR011_S1WWCO</v>
      </c>
      <c r="D4053" t="str">
        <f>_xlfn.CONCAT('11A'!$B$10, "-", '11A'!$B$19, "-", '11A'!$D$8, "-", '11A'!$D$7, "-", '11A'!$D$6, "-", '11A'!$C$5)</f>
        <v>Scope one emissions-Scope one emissions; GHG type CO2-3-tCO2e-Wastewater-Operational emissions</v>
      </c>
      <c r="F4053" t="s">
        <v>17467</v>
      </c>
      <c r="G4053">
        <f>'11A'!$D$19</f>
        <v>14885.169</v>
      </c>
    </row>
    <row r="4054" spans="1:7">
      <c r="A4054" t="s">
        <v>4186</v>
      </c>
      <c r="C4054" t="str">
        <f>'11A'!$V$19</f>
        <v>BR012_S1TOCO</v>
      </c>
      <c r="D4054" t="str">
        <f>_xlfn.CONCAT('11A'!$B$10, "-", '11A'!$B$19, "-", '11A'!$E$8, "-", '11A'!$E$7, "-", '11A'!$E$6, "-", '11A'!$C$5)</f>
        <v>Scope one emissions-Scope one emissions; GHG type CO2-3-tCO2e-Total-Operational emissions</v>
      </c>
      <c r="F4054" t="s">
        <v>17467</v>
      </c>
      <c r="G4054">
        <f>'11A'!$E$19</f>
        <v>18856.936999999998</v>
      </c>
    </row>
    <row r="4055" spans="1:7">
      <c r="A4055" t="s">
        <v>4186</v>
      </c>
      <c r="C4055" t="str">
        <f>'11A'!$T$20</f>
        <v>BR013_S1WCH</v>
      </c>
      <c r="D4055" t="str">
        <f>_xlfn.CONCAT('11A'!$B$10, "-", '11A'!$B$20, "-", '11A'!$C$8, "-", '11A'!$C$7, "-", '11A'!$C$6, "-", '11A'!$C$5)</f>
        <v>Scope one emissions-Scope one emissions; GHG type CH4-3-tCO2e-Water-Operational emissions</v>
      </c>
      <c r="F4055" t="s">
        <v>17467</v>
      </c>
      <c r="G4055">
        <f>'11A'!$C$20</f>
        <v>0.71899999999999997</v>
      </c>
    </row>
    <row r="4056" spans="1:7">
      <c r="A4056" t="s">
        <v>4186</v>
      </c>
      <c r="C4056" t="str">
        <f>'11A'!$U$20</f>
        <v>BR014_S1WWCH</v>
      </c>
      <c r="D4056" t="str">
        <f>_xlfn.CONCAT('11A'!$B$10, "-", '11A'!$B$20, "-", '11A'!$D$8, "-", '11A'!$D$7, "-", '11A'!$D$6, "-", '11A'!$C$5)</f>
        <v>Scope one emissions-Scope one emissions; GHG type CH4-3-tCO2e-Wastewater-Operational emissions</v>
      </c>
      <c r="F4056" t="s">
        <v>17467</v>
      </c>
      <c r="G4056">
        <f>'11A'!$D$20</f>
        <v>14098.584000000001</v>
      </c>
    </row>
    <row r="4057" spans="1:7">
      <c r="A4057" t="s">
        <v>4186</v>
      </c>
      <c r="C4057" t="str">
        <f>'11A'!$V$20</f>
        <v>BR015_S1TOCH</v>
      </c>
      <c r="D4057" t="str">
        <f>_xlfn.CONCAT('11A'!$B$10, "-", '11A'!$B$20, "-", '11A'!$E$8, "-", '11A'!$E$7, "-", '11A'!$E$6, "-", '11A'!$C$5)</f>
        <v>Scope one emissions-Scope one emissions; GHG type CH4-3-tCO2e-Total-Operational emissions</v>
      </c>
      <c r="F4057" t="s">
        <v>17467</v>
      </c>
      <c r="G4057">
        <f>'11A'!$E$20</f>
        <v>14099.303</v>
      </c>
    </row>
    <row r="4058" spans="1:7">
      <c r="A4058" t="s">
        <v>4186</v>
      </c>
      <c r="C4058" t="str">
        <f>'11A'!$T$21</f>
        <v>BR016_S1WNO</v>
      </c>
      <c r="D4058" t="str">
        <f>_xlfn.CONCAT('11A'!$B$10, "-", '11A'!$B$21, "-", '11A'!$C$8, "-", '11A'!$C$7, "-", '11A'!$C$6, "-", '11A'!$C$5)</f>
        <v>Scope one emissions-Scope one emissions; GHG type N2O-3-tCO2e-Water-Operational emissions</v>
      </c>
      <c r="F4058" t="s">
        <v>17467</v>
      </c>
      <c r="G4058">
        <f>'11A'!$C$21</f>
        <v>55.655999999999999</v>
      </c>
    </row>
    <row r="4059" spans="1:7">
      <c r="A4059" t="s">
        <v>4186</v>
      </c>
      <c r="C4059" t="str">
        <f>'11A'!$U$21</f>
        <v>BR017_S1WWNO</v>
      </c>
      <c r="D4059" t="str">
        <f>_xlfn.CONCAT('11A'!$B$10, "-", '11A'!$B$21, "-", '11A'!$D$8, "-", '11A'!$D$7, "-", '11A'!$D$6, "-", '11A'!$C$5)</f>
        <v>Scope one emissions-Scope one emissions; GHG type N2O-3-tCO2e-Wastewater-Operational emissions</v>
      </c>
      <c r="F4059" t="s">
        <v>17467</v>
      </c>
      <c r="G4059">
        <f>'11A'!$D$21</f>
        <v>21409.317999999999</v>
      </c>
    </row>
    <row r="4060" spans="1:7">
      <c r="A4060" t="s">
        <v>4186</v>
      </c>
      <c r="C4060" t="str">
        <f>'11A'!$V$21</f>
        <v>BR018_S1TONO</v>
      </c>
      <c r="D4060" t="str">
        <f>_xlfn.CONCAT('11A'!$B$10, "-", '11A'!$B$21, "-", '11A'!$E$8, "-", '11A'!$E$7, "-", '11A'!$E$6, "-", '11A'!$C$5)</f>
        <v>Scope one emissions-Scope one emissions; GHG type N2O-3-tCO2e-Total-Operational emissions</v>
      </c>
      <c r="F4060" t="s">
        <v>17467</v>
      </c>
      <c r="G4060">
        <f>'11A'!$E$21</f>
        <v>21464.973999999998</v>
      </c>
    </row>
    <row r="4061" spans="1:7">
      <c r="A4061" t="s">
        <v>4186</v>
      </c>
      <c r="C4061" t="str">
        <f>'11A'!$T$22</f>
        <v>BO_6112104</v>
      </c>
      <c r="D4061" t="str">
        <f>_xlfn.CONCAT('11A'!$B$10, "-", '11A'!$B$22, "-", '11A'!$C$8, "-", '11A'!$C$7, "-", '11A'!$C$6, "-", '11A'!$C$5)</f>
        <v>Scope one emissions-Scope one emissions: GHG other types-3-tCO2e-Water-Operational emissions</v>
      </c>
      <c r="F4061" t="s">
        <v>17467</v>
      </c>
      <c r="G4061">
        <f>'11A'!$C$22</f>
        <v>0</v>
      </c>
    </row>
    <row r="4062" spans="1:7">
      <c r="A4062" t="s">
        <v>4186</v>
      </c>
      <c r="C4062" t="str">
        <f>'11A'!$U$22</f>
        <v>BO_353744</v>
      </c>
      <c r="D4062" t="str">
        <f>_xlfn.CONCAT('11A'!$B$10, "-", '11A'!$B$22, "-", '11A'!$D$8, "-", '11A'!$D$7, "-", '11A'!$D$6, "-", '11A'!$C$5)</f>
        <v>Scope one emissions-Scope one emissions: GHG other types-3-tCO2e-Wastewater-Operational emissions</v>
      </c>
      <c r="F4062" t="s">
        <v>17467</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17467</v>
      </c>
      <c r="G4063">
        <f>'11A'!$E$22</f>
        <v>0</v>
      </c>
    </row>
    <row r="4064" spans="1:7">
      <c r="A4064" t="s">
        <v>4186</v>
      </c>
      <c r="C4064" t="str">
        <f>'11A'!$T$25</f>
        <v>BR019_S2WLB</v>
      </c>
      <c r="D4064" t="str">
        <f>_xlfn.CONCAT('11A'!$B$24, "-", '11A'!$B$25, "-", '11A'!$C$8, "-", '11A'!$C$7, "-", '11A'!$C$6, "-", '11A'!$C$5)</f>
        <v>Scope two emissions-Purchased electricity (location-based)-3-tCO2e-Water-Operational emissions</v>
      </c>
      <c r="F4064" t="s">
        <v>17467</v>
      </c>
      <c r="G4064">
        <f>'11A'!$C$25</f>
        <v>44305.82</v>
      </c>
    </row>
    <row r="4065" spans="1:7">
      <c r="A4065" t="s">
        <v>4186</v>
      </c>
      <c r="C4065" t="str">
        <f>'11A'!$U$25</f>
        <v>BR020_S2WWLB</v>
      </c>
      <c r="D4065" t="str">
        <f>_xlfn.CONCAT('11A'!$B$24, "-", '11A'!$B$25, "-", '11A'!$D$8, "-", '11A'!$D$7, "-", '11A'!$D$6, "-", '11A'!$C$5)</f>
        <v>Scope two emissions-Purchased electricity (location-based)-3-tCO2e-Wastewater-Operational emissions</v>
      </c>
      <c r="F4065" t="s">
        <v>17467</v>
      </c>
      <c r="G4065">
        <f>'11A'!$D$25</f>
        <v>39557.54</v>
      </c>
    </row>
    <row r="4066" spans="1:7">
      <c r="A4066" t="s">
        <v>4186</v>
      </c>
      <c r="C4066" t="str">
        <f>'11A'!$V$25</f>
        <v>BR021_S2TOLB</v>
      </c>
      <c r="D4066" t="str">
        <f>_xlfn.CONCAT('11A'!$B$24, "-", '11A'!$B$25, "-", '11A'!$E$8, "-", '11A'!$E$7, "-", '11A'!$E$6, "-", '11A'!$C$5)</f>
        <v>Scope two emissions-Purchased electricity (location-based)-3-tCO2e-Total-Operational emissions</v>
      </c>
      <c r="F4066" t="s">
        <v>17467</v>
      </c>
      <c r="G4066">
        <f>'11A'!$E$25</f>
        <v>83863.360000000001</v>
      </c>
    </row>
    <row r="4067" spans="1:7">
      <c r="A4067" t="s">
        <v>4186</v>
      </c>
      <c r="C4067" t="str">
        <f>'11A'!$T$26</f>
        <v>BR043_S2WMB</v>
      </c>
      <c r="D4067" t="str">
        <f>_xlfn.CONCAT('11A'!$B$24, "-", '11A'!$B$26, "-", '11A'!$C$8, "-", '11A'!$C$7, "-", '11A'!$C$6, "-", '11A'!$C$5)</f>
        <v>Scope two emissions-Purchased electricity (market-based)-3-tCO2e-Water-Operational emissions</v>
      </c>
      <c r="F4067" t="s">
        <v>17467</v>
      </c>
      <c r="G4067">
        <f>'11A'!$C$26</f>
        <v>6261.89</v>
      </c>
    </row>
    <row r="4068" spans="1:7">
      <c r="A4068" t="s">
        <v>4186</v>
      </c>
      <c r="C4068" t="str">
        <f>'11A'!$U$26</f>
        <v>BR044_S2WWMB</v>
      </c>
      <c r="D4068" t="str">
        <f>_xlfn.CONCAT('11A'!$B$24, "-", '11A'!$B$26, "-", '11A'!$D$8, "-", '11A'!$D$7, "-", '11A'!$D$6, "-", '11A'!$C$5)</f>
        <v>Scope two emissions-Purchased electricity (market-based)-3-tCO2e-Wastewater-Operational emissions</v>
      </c>
      <c r="F4068" t="s">
        <v>17467</v>
      </c>
      <c r="G4068">
        <f>'11A'!$D$26</f>
        <v>5590.8</v>
      </c>
    </row>
    <row r="4069" spans="1:7">
      <c r="A4069" t="s">
        <v>4186</v>
      </c>
      <c r="C4069" t="str">
        <f>'11A'!$V$26</f>
        <v>BR045_S2TOMB</v>
      </c>
      <c r="D4069" t="str">
        <f>_xlfn.CONCAT('11A'!$B$24, "-", '11A'!$B$26, "-", '11A'!$E$8, "-", '11A'!$E$7, "-", '11A'!$E$6, "-", '11A'!$C$5)</f>
        <v>Scope two emissions-Purchased electricity (market-based)-3-tCO2e-Total-Operational emissions</v>
      </c>
      <c r="F4069" t="s">
        <v>17467</v>
      </c>
      <c r="G4069">
        <f>'11A'!$E$26</f>
        <v>11852.69</v>
      </c>
    </row>
    <row r="4070" spans="1:7">
      <c r="A4070" t="s">
        <v>4186</v>
      </c>
      <c r="C4070" t="str">
        <f>'11A'!$T$27</f>
        <v>BR046_S2WPH</v>
      </c>
      <c r="D4070" t="str">
        <f>_xlfn.CONCAT('11A'!$B$24, "-", '11A'!$B$27, "-", '11A'!$C$8, "-", '11A'!$C$7, "-", '11A'!$C$6, "-", '11A'!$C$5)</f>
        <v>Scope two emissions-Purchased heat-3-tCO2e-Water-Operational emissions</v>
      </c>
      <c r="F4070" t="s">
        <v>17467</v>
      </c>
      <c r="G4070">
        <f>'11A'!$C$27</f>
        <v>0</v>
      </c>
    </row>
    <row r="4071" spans="1:7">
      <c r="A4071" t="s">
        <v>4186</v>
      </c>
      <c r="C4071" t="str">
        <f>'11A'!$U$27</f>
        <v>BR047_S2WWPH</v>
      </c>
      <c r="D4071" t="str">
        <f>_xlfn.CONCAT('11A'!$B$24, "-", '11A'!$B$27, "-", '11A'!$D$8, "-", '11A'!$D$7, "-", '11A'!$D$6, "-", '11A'!$C$5)</f>
        <v>Scope two emissions-Purchased heat-3-tCO2e-Wastewater-Operational emissions</v>
      </c>
      <c r="F4071" t="s">
        <v>17467</v>
      </c>
      <c r="G4071">
        <f>'11A'!$D$27</f>
        <v>0</v>
      </c>
    </row>
    <row r="4072" spans="1:7">
      <c r="A4072" t="s">
        <v>4186</v>
      </c>
      <c r="C4072" t="str">
        <f>'11A'!$V$27</f>
        <v>BR048_S2TOPH</v>
      </c>
      <c r="D4072" t="str">
        <f>_xlfn.CONCAT('11A'!$B$24, "-", '11A'!$B$27, "-", '11A'!$E$8, "-", '11A'!$E$7, "-", '11A'!$E$6, "-", '11A'!$C$5)</f>
        <v>Scope two emissions-Purchased heat-3-tCO2e-Total-Operational emissions</v>
      </c>
      <c r="F4072" t="s">
        <v>17467</v>
      </c>
      <c r="G4072">
        <f>'11A'!$E$27</f>
        <v>0</v>
      </c>
    </row>
    <row r="4073" spans="1:7">
      <c r="A4073" t="s">
        <v>4186</v>
      </c>
      <c r="C4073" t="str">
        <f>'11A'!$T$28</f>
        <v>BR049_S2WEV</v>
      </c>
      <c r="D4073" t="str">
        <f>_xlfn.CONCAT('11A'!$B$24, "-", '11A'!$B$28, "-", '11A'!$C$8, "-", '11A'!$C$7, "-", '11A'!$C$6, "-", '11A'!$C$5)</f>
        <v>Scope two emissions-Electric vehicles-3-tCO2e-Water-Operational emissions</v>
      </c>
      <c r="F4073" t="s">
        <v>17467</v>
      </c>
      <c r="G4073">
        <f>'11A'!$C$28</f>
        <v>0</v>
      </c>
    </row>
    <row r="4074" spans="1:7">
      <c r="A4074" t="s">
        <v>4186</v>
      </c>
      <c r="C4074" t="str">
        <f>'11A'!$U$28</f>
        <v>BR050_S2WWEV</v>
      </c>
      <c r="D4074" t="str">
        <f>_xlfn.CONCAT('11A'!$B$24, "-", '11A'!$B$28, "-", '11A'!$D$8, "-", '11A'!$D$7, "-", '11A'!$D$6, "-", '11A'!$C$5)</f>
        <v>Scope two emissions-Electric vehicles-3-tCO2e-Wastewater-Operational emissions</v>
      </c>
      <c r="F4074" t="s">
        <v>17467</v>
      </c>
      <c r="G4074">
        <f>'11A'!$D$28</f>
        <v>0</v>
      </c>
    </row>
    <row r="4075" spans="1:7">
      <c r="A4075" t="s">
        <v>4186</v>
      </c>
      <c r="C4075" t="str">
        <f>'11A'!$V$28</f>
        <v>BR051_S2TOEV</v>
      </c>
      <c r="D4075" t="str">
        <f>_xlfn.CONCAT('11A'!$B$24, "-", '11A'!$B$28, "-", '11A'!$E$8, "-", '11A'!$E$7, "-", '11A'!$E$6, "-", '11A'!$C$5)</f>
        <v>Scope two emissions-Electric vehicles-3-tCO2e-Total-Operational emissions</v>
      </c>
      <c r="F4075" t="s">
        <v>17467</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17467</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17467</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17467</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17467</v>
      </c>
      <c r="G4079">
        <f>'11A'!$C$30</f>
        <v>44305.82</v>
      </c>
    </row>
    <row r="4080" spans="1:7">
      <c r="A4080" t="s">
        <v>4186</v>
      </c>
      <c r="C4080" t="str">
        <f>'11A'!$U$30</f>
        <v>BO_6225738</v>
      </c>
      <c r="D4080" t="str">
        <f>_xlfn.CONCAT('11A'!$B$24, "-", '11A'!$B$30, "-", '11A'!$D$8, "-", '11A'!$D$7, "-", '11A'!$D$6, "-", '11A'!$C$5)</f>
        <v>Scope two emissions-Total scope two emissions (location-based)-3-tCO2e-Wastewater-Operational emissions</v>
      </c>
      <c r="F4080" t="s">
        <v>17467</v>
      </c>
      <c r="G4080">
        <f>'11A'!$D$30</f>
        <v>39557.54</v>
      </c>
    </row>
    <row r="4081" spans="1:7">
      <c r="A4081" t="s">
        <v>4186</v>
      </c>
      <c r="C4081" t="str">
        <f>'11A'!$V$30</f>
        <v>BO_4427726</v>
      </c>
      <c r="D4081" t="str">
        <f>_xlfn.CONCAT('11A'!$B$24, "-", '11A'!$B$30, "-", '11A'!$E$8, "-", '11A'!$E$7, "-", '11A'!$E$6, "-", '11A'!$C$5)</f>
        <v>Scope two emissions-Total scope two emissions (location-based)-3-tCO2e-Total-Operational emissions</v>
      </c>
      <c r="F4081" t="s">
        <v>17467</v>
      </c>
      <c r="G4081">
        <f>'11A'!$E$30</f>
        <v>83863.360000000001</v>
      </c>
    </row>
    <row r="4082" spans="1:7">
      <c r="A4082" t="s">
        <v>4186</v>
      </c>
      <c r="C4082" t="str">
        <f>'11A'!$T$31</f>
        <v>BR055_S2WTO</v>
      </c>
      <c r="D4082" t="str">
        <f>_xlfn.CONCAT('11A'!$B$24, "-", '11A'!$B$31, "-", '11A'!$C$8, "-", '11A'!$C$7, "-", '11A'!$C$6, "-", '11A'!$C$5)</f>
        <v>Scope two emissions-Total scope two emissions (market-based)-3-tCO2e-Water-Operational emissions</v>
      </c>
      <c r="F4082" t="s">
        <v>17467</v>
      </c>
      <c r="G4082">
        <f>'11A'!$C$31</f>
        <v>6261.89</v>
      </c>
    </row>
    <row r="4083" spans="1:7">
      <c r="A4083" t="s">
        <v>4186</v>
      </c>
      <c r="C4083" t="str">
        <f>'11A'!$U$31</f>
        <v>BR056_S2WWTO</v>
      </c>
      <c r="D4083" t="str">
        <f>_xlfn.CONCAT('11A'!$B$24, "-", '11A'!$B$31, "-", '11A'!$D$8, "-", '11A'!$D$7, "-", '11A'!$D$6, "-", '11A'!$C$5)</f>
        <v>Scope two emissions-Total scope two emissions (market-based)-3-tCO2e-Wastewater-Operational emissions</v>
      </c>
      <c r="F4083" t="s">
        <v>17467</v>
      </c>
      <c r="G4083">
        <f>'11A'!$D$31</f>
        <v>5590.8</v>
      </c>
    </row>
    <row r="4084" spans="1:7">
      <c r="A4084" t="s">
        <v>4186</v>
      </c>
      <c r="C4084" t="str">
        <f>'11A'!$V$31</f>
        <v>BR057_S2TOTO</v>
      </c>
      <c r="D4084" t="str">
        <f>_xlfn.CONCAT('11A'!$B$24, "-", '11A'!$B$31, "-", '11A'!$E$8, "-", '11A'!$E$7, "-", '11A'!$E$6, "-", '11A'!$C$5)</f>
        <v>Scope two emissions-Total scope two emissions (market-based)-3-tCO2e-Total-Operational emissions</v>
      </c>
      <c r="F4084" t="s">
        <v>17467</v>
      </c>
      <c r="G4084">
        <f>'11A'!$E$31</f>
        <v>11852.69</v>
      </c>
    </row>
    <row r="4085" spans="1:7">
      <c r="A4085" t="s">
        <v>4186</v>
      </c>
      <c r="C4085" t="str">
        <f>'11A'!$T$33</f>
        <v>BR058_S2WCO</v>
      </c>
      <c r="D4085" t="str">
        <f>_xlfn.CONCAT('11A'!$B$24, "-", '11A'!$B$33, "-", '11A'!$C$8, "-", '11A'!$C$7, "-", '11A'!$C$6, "-", '11A'!$C$5)</f>
        <v>Scope two emissions-Scope two emissions; GHG type CO2-3-tCO2e-Water-Operational emissions</v>
      </c>
      <c r="F4085" t="s">
        <v>17467</v>
      </c>
      <c r="G4085">
        <f>'11A'!$C$33</f>
        <v>43808.65</v>
      </c>
    </row>
    <row r="4086" spans="1:7">
      <c r="A4086" t="s">
        <v>4186</v>
      </c>
      <c r="C4086" t="str">
        <f>'11A'!$U$33</f>
        <v>BR059_S2WWCO</v>
      </c>
      <c r="D4086" t="str">
        <f>_xlfn.CONCAT('11A'!$B$24, "-", '11A'!$B$33, "-", '11A'!$D$8, "-", '11A'!$D$7, "-", '11A'!$D$6, "-", '11A'!$C$5)</f>
        <v>Scope two emissions-Scope two emissions; GHG type CO2-3-tCO2e-Wastewater-Operational emissions</v>
      </c>
      <c r="F4086" t="s">
        <v>17467</v>
      </c>
      <c r="G4086">
        <f>'11A'!$D$33</f>
        <v>39113.64</v>
      </c>
    </row>
    <row r="4087" spans="1:7">
      <c r="A4087" t="s">
        <v>4186</v>
      </c>
      <c r="C4087" t="str">
        <f>'11A'!$V$33</f>
        <v>BR060_S2TOCO</v>
      </c>
      <c r="D4087" t="str">
        <f>_xlfn.CONCAT('11A'!$B$24, "-", '11A'!$B$33, "-", '11A'!$E$8, "-", '11A'!$E$7, "-", '11A'!$E$6, "-", '11A'!$C$5)</f>
        <v>Scope two emissions-Scope two emissions; GHG type CO2-3-tCO2e-Total-Operational emissions</v>
      </c>
      <c r="F4087" t="s">
        <v>17467</v>
      </c>
      <c r="G4087">
        <f>'11A'!$E$33</f>
        <v>82922.290000000008</v>
      </c>
    </row>
    <row r="4088" spans="1:7">
      <c r="A4088" t="s">
        <v>4186</v>
      </c>
      <c r="C4088" t="str">
        <f>'11A'!$T$34</f>
        <v>BR061_S2WCH</v>
      </c>
      <c r="D4088" t="str">
        <f>_xlfn.CONCAT('11A'!$B$24, "-", '11A'!$B$34, "-", '11A'!$C$8, "-", '11A'!$C$7, "-", '11A'!$C$6, "-", '11A'!$C$5)</f>
        <v>Scope two emissions-Scope two emissions; GHG type CH4-3-tCO2e-Water-Operational emissions</v>
      </c>
      <c r="F4088" t="s">
        <v>17467</v>
      </c>
      <c r="G4088">
        <f>'11A'!$C$34</f>
        <v>183.29</v>
      </c>
    </row>
    <row r="4089" spans="1:7">
      <c r="A4089" t="s">
        <v>4186</v>
      </c>
      <c r="C4089" t="str">
        <f>'11A'!$U$34</f>
        <v>BR062_S2WWCH</v>
      </c>
      <c r="D4089" t="str">
        <f>_xlfn.CONCAT('11A'!$B$24, "-", '11A'!$B$34, "-", '11A'!$D$8, "-", '11A'!$D$7, "-", '11A'!$D$6, "-", '11A'!$C$5)</f>
        <v>Scope two emissions-Scope two emissions; GHG type CH4-3-tCO2e-Wastewater-Operational emissions</v>
      </c>
      <c r="F4089" t="s">
        <v>17467</v>
      </c>
      <c r="G4089">
        <f>'11A'!$D$34</f>
        <v>163.65</v>
      </c>
    </row>
    <row r="4090" spans="1:7">
      <c r="A4090" t="s">
        <v>4186</v>
      </c>
      <c r="C4090" t="str">
        <f>'11A'!$V$34</f>
        <v>BR063_S2TOCH</v>
      </c>
      <c r="D4090" t="str">
        <f>_xlfn.CONCAT('11A'!$B$24, "-", '11A'!$B$34, "-", '11A'!$E$8, "-", '11A'!$E$7, "-", '11A'!$E$6, "-", '11A'!$C$5)</f>
        <v>Scope two emissions-Scope two emissions; GHG type CH4-3-tCO2e-Total-Operational emissions</v>
      </c>
      <c r="F4090" t="s">
        <v>17467</v>
      </c>
      <c r="G4090">
        <f>'11A'!$E$34</f>
        <v>346.94</v>
      </c>
    </row>
    <row r="4091" spans="1:7">
      <c r="A4091" t="s">
        <v>4186</v>
      </c>
      <c r="C4091" t="str">
        <f>'11A'!$T$35</f>
        <v>BR064_S2WNO</v>
      </c>
      <c r="D4091" t="str">
        <f>_xlfn.CONCAT('11A'!$B$24, "-", '11A'!$B$35, "-", '11A'!$C$8, "-", '11A'!$C$7, "-", '11A'!$C$6, "-", '11A'!$C$5)</f>
        <v>Scope two emissions-Scope two emissions; GHG type N2O-3-tCO2e-Water-Operational emissions</v>
      </c>
      <c r="F4091" t="s">
        <v>17467</v>
      </c>
      <c r="G4091">
        <f>'11A'!$C$35</f>
        <v>313.88</v>
      </c>
    </row>
    <row r="4092" spans="1:7">
      <c r="A4092" t="s">
        <v>4186</v>
      </c>
      <c r="C4092" t="str">
        <f>'11A'!$U$35</f>
        <v>BR065_S2WWNO</v>
      </c>
      <c r="D4092" t="str">
        <f>_xlfn.CONCAT('11A'!$B$24, "-", '11A'!$B$35, "-", '11A'!$D$8, "-", '11A'!$D$7, "-", '11A'!$D$6, "-", '11A'!$C$5)</f>
        <v>Scope two emissions-Scope two emissions; GHG type N2O-3-tCO2e-Wastewater-Operational emissions</v>
      </c>
      <c r="F4092" t="s">
        <v>17467</v>
      </c>
      <c r="G4092">
        <f>'11A'!$D$35</f>
        <v>280.25</v>
      </c>
    </row>
    <row r="4093" spans="1:7">
      <c r="A4093" t="s">
        <v>4186</v>
      </c>
      <c r="C4093" t="str">
        <f>'11A'!$V$35</f>
        <v>BR066_S2TONO</v>
      </c>
      <c r="D4093" t="str">
        <f>_xlfn.CONCAT('11A'!$B$24, "-", '11A'!$B$35, "-", '11A'!$E$8, "-", '11A'!$E$7, "-", '11A'!$E$6, "-", '11A'!$C$5)</f>
        <v>Scope two emissions-Scope two emissions; GHG type N2O-3-tCO2e-Total-Operational emissions</v>
      </c>
      <c r="F4093" t="s">
        <v>17467</v>
      </c>
      <c r="G4093">
        <f>'11A'!$E$35</f>
        <v>594.13</v>
      </c>
    </row>
    <row r="4094" spans="1:7">
      <c r="A4094" t="s">
        <v>4186</v>
      </c>
      <c r="C4094" t="str">
        <f>'11A'!$T$36</f>
        <v>BO_5019183</v>
      </c>
      <c r="D4094" t="str">
        <f>_xlfn.CONCAT('11A'!$B$24, "-", '11A'!$B$36, "-", '11A'!$C$8, "-", '11A'!$C$7, "-", '11A'!$C$6, "-", '11A'!$C$5)</f>
        <v>Scope two emissions-Scope two emissions: GHG other types-3-tCO2e-Water-Operational emissions</v>
      </c>
      <c r="F4094" t="s">
        <v>17467</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17467</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17467</v>
      </c>
      <c r="G4096">
        <f>'11A'!$E$36</f>
        <v>0</v>
      </c>
    </row>
    <row r="4097" spans="1:7">
      <c r="A4097" t="s">
        <v>4186</v>
      </c>
      <c r="C4097" t="str">
        <f>'11A'!$T$39</f>
        <v>BR022_S3WBT</v>
      </c>
      <c r="D4097" t="str">
        <f>_xlfn.CONCAT('11A'!$B$38, "-", '11A'!$B$39, "-", '11A'!$C$8, "-", '11A'!$C$7, "-", '11A'!$C$6, "-", '11A'!$C$5)</f>
        <v>Scope three emissions-Business travel-3-tCO2e-Water-Operational emissions</v>
      </c>
      <c r="F4097" t="s">
        <v>17467</v>
      </c>
      <c r="G4097">
        <f>'11A'!$C$39</f>
        <v>270.8</v>
      </c>
    </row>
    <row r="4098" spans="1:7">
      <c r="A4098" t="s">
        <v>4186</v>
      </c>
      <c r="C4098" t="str">
        <f>'11A'!$U$39</f>
        <v>BR023_S3WWBT</v>
      </c>
      <c r="D4098" t="str">
        <f>_xlfn.CONCAT('11A'!$B$38, "-", '11A'!$B$39, "-", '11A'!$D$8, "-", '11A'!$D$7, "-", '11A'!$D$6, "-", '11A'!$C$5)</f>
        <v>Scope three emissions-Business travel-3-tCO2e-Wastewater-Operational emissions</v>
      </c>
      <c r="F4098" t="s">
        <v>17467</v>
      </c>
      <c r="G4098">
        <f>'11A'!$D$39</f>
        <v>270.8</v>
      </c>
    </row>
    <row r="4099" spans="1:7">
      <c r="A4099" t="s">
        <v>4186</v>
      </c>
      <c r="C4099" t="str">
        <f>'11A'!$V$39</f>
        <v>BR024_S3TOBT</v>
      </c>
      <c r="D4099" t="str">
        <f>_xlfn.CONCAT('11A'!$B$38, "-", '11A'!$B$39, "-", '11A'!$E$8, "-", '11A'!$E$7, "-", '11A'!$E$6, "-", '11A'!$C$5)</f>
        <v>Scope three emissions-Business travel-3-tCO2e-Total-Operational emissions</v>
      </c>
      <c r="F4099" t="s">
        <v>17467</v>
      </c>
      <c r="G4099">
        <f>'11A'!$E$39</f>
        <v>541.6</v>
      </c>
    </row>
    <row r="4100" spans="1:7">
      <c r="A4100" t="s">
        <v>4186</v>
      </c>
      <c r="C4100" t="str">
        <f>'11A'!$T$40</f>
        <v>BR025_S3WOA</v>
      </c>
      <c r="D4100" t="str">
        <f>_xlfn.CONCAT('11A'!$B$38, "-", '11A'!$B$40, "-", '11A'!$C$8, "-", '11A'!$C$7, "-", '11A'!$C$6, "-", '11A'!$C$5)</f>
        <v>Scope three emissions-Outsourced activities-3-tCO2e-Water-Operational emissions</v>
      </c>
      <c r="F4100" t="s">
        <v>17467</v>
      </c>
      <c r="G4100">
        <f>'11A'!$C$40</f>
        <v>1327.75</v>
      </c>
    </row>
    <row r="4101" spans="1:7">
      <c r="A4101" t="s">
        <v>4186</v>
      </c>
      <c r="C4101" t="str">
        <f>'11A'!$U$40</f>
        <v>BR026_S3WWOA</v>
      </c>
      <c r="D4101" t="str">
        <f>_xlfn.CONCAT('11A'!$B$38, "-", '11A'!$B$40, "-", '11A'!$D$8, "-", '11A'!$D$7, "-", '11A'!$D$6, "-", '11A'!$C$5)</f>
        <v>Scope three emissions-Outsourced activities-3-tCO2e-Wastewater-Operational emissions</v>
      </c>
      <c r="F4101" t="s">
        <v>17467</v>
      </c>
      <c r="G4101">
        <f>'11A'!$D$40</f>
        <v>3699.68</v>
      </c>
    </row>
    <row r="4102" spans="1:7">
      <c r="A4102" t="s">
        <v>4186</v>
      </c>
      <c r="C4102" t="str">
        <f>'11A'!$V$40</f>
        <v>BR027_S3TOOA</v>
      </c>
      <c r="D4102" t="str">
        <f>_xlfn.CONCAT('11A'!$B$38, "-", '11A'!$B$40, "-", '11A'!$E$8, "-", '11A'!$E$7, "-", '11A'!$E$6, "-", '11A'!$C$5)</f>
        <v>Scope three emissions-Outsourced activities-3-tCO2e-Total-Operational emissions</v>
      </c>
      <c r="F4102" t="s">
        <v>17467</v>
      </c>
      <c r="G4102">
        <f>'11A'!$E$40</f>
        <v>5027.43</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17467</v>
      </c>
      <c r="G4103">
        <f>'11A'!$C$41</f>
        <v>14649.61</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17467</v>
      </c>
      <c r="G4104">
        <f>'11A'!$D$41</f>
        <v>13072.22</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17467</v>
      </c>
      <c r="G4105">
        <f>'11A'!$E$41</f>
        <v>27721.83</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17467</v>
      </c>
      <c r="G4106">
        <f>'11A'!$C$42</f>
        <v>4053</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17467</v>
      </c>
      <c r="G4107">
        <f>'11A'!$D$42</f>
        <v>3618.64</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17467</v>
      </c>
      <c r="G4108">
        <f>'11A'!$E$42</f>
        <v>7671.6399999999994</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17467</v>
      </c>
      <c r="G4109">
        <f>'11A'!$C$43</f>
        <v>47.085000000000001</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17467</v>
      </c>
      <c r="G4110">
        <f>'11A'!$D$43</f>
        <v>1728.335</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17467</v>
      </c>
      <c r="G4111">
        <f>'11A'!$E$43</f>
        <v>1775.42</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17467</v>
      </c>
      <c r="G4112">
        <f>'11A'!$C$44</f>
        <v>1624.213</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17467</v>
      </c>
      <c r="G4113">
        <f>'11A'!$D$44</f>
        <v>1096.45</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17467</v>
      </c>
      <c r="G4114">
        <f>'11A'!$E$44</f>
        <v>2720.663</v>
      </c>
    </row>
    <row r="4115" spans="1:7">
      <c r="A4115" t="s">
        <v>4186</v>
      </c>
      <c r="C4115" t="str">
        <f>'11A'!$T$45</f>
        <v>BO_6859992</v>
      </c>
      <c r="D4115" t="str">
        <f>_xlfn.CONCAT('11A'!$B$38, "-", '11A'!$B$45, "-", '11A'!$C$8, "-", '11A'!$C$7, "-", '11A'!$C$6, "-", '11A'!$C$5)</f>
        <v>Scope three emissions-Chemicals-3-tCO2e-Water-Operational emissions</v>
      </c>
      <c r="F4115" t="s">
        <v>17467</v>
      </c>
      <c r="G4115">
        <f>'11A'!$C$45</f>
        <v>3304.86</v>
      </c>
    </row>
    <row r="4116" spans="1:7">
      <c r="A4116" t="s">
        <v>4186</v>
      </c>
      <c r="C4116" t="str">
        <f>'11A'!$U$45</f>
        <v>BO_1591628</v>
      </c>
      <c r="D4116" t="str">
        <f>_xlfn.CONCAT('11A'!$B$38, "-", '11A'!$B$45, "-", '11A'!$D$8, "-", '11A'!$D$7, "-", '11A'!$D$6, "-", '11A'!$C$5)</f>
        <v>Scope three emissions-Chemicals-3-tCO2e-Wastewater-Operational emissions</v>
      </c>
      <c r="F4116" t="s">
        <v>17467</v>
      </c>
      <c r="G4116">
        <f>'11A'!$D$45</f>
        <v>2088.9899999999998</v>
      </c>
    </row>
    <row r="4117" spans="1:7">
      <c r="A4117" t="s">
        <v>4186</v>
      </c>
      <c r="C4117" t="str">
        <f>'11A'!$V$45</f>
        <v>BO_8746732</v>
      </c>
      <c r="D4117" t="str">
        <f>_xlfn.CONCAT('11A'!$B$38, "-", '11A'!$B$45, "-", '11A'!$E$8, "-", '11A'!$E$7, "-", '11A'!$E$6, "-", '11A'!$C$5)</f>
        <v>Scope three emissions-Chemicals-3-tCO2e-Total-Operational emissions</v>
      </c>
      <c r="F4117" t="s">
        <v>17467</v>
      </c>
      <c r="G4117">
        <f>'11A'!$E$45</f>
        <v>5393.85</v>
      </c>
    </row>
    <row r="4118" spans="1:7">
      <c r="A4118" t="s">
        <v>4186</v>
      </c>
      <c r="C4118" t="str">
        <f>'11A'!$T$46</f>
        <v>BO_57904</v>
      </c>
      <c r="D4118" t="str">
        <f>_xlfn.CONCAT('11A'!$B$38, "-", '11A'!$B$46, "-", '11A'!$C$8, "-", '11A'!$C$7, "-", '11A'!$C$6, "-", '11A'!$C$5)</f>
        <v>Scope three emissions-Disposal of waste-3-tCO2e-Water-Operational emissions</v>
      </c>
      <c r="F4118" t="s">
        <v>17467</v>
      </c>
      <c r="G4118">
        <f>'11A'!$C$46</f>
        <v>0</v>
      </c>
    </row>
    <row r="4119" spans="1:7">
      <c r="A4119" t="s">
        <v>4186</v>
      </c>
      <c r="C4119" t="str">
        <f>'11A'!$U$46</f>
        <v>BO_9940412</v>
      </c>
      <c r="D4119" t="str">
        <f>_xlfn.CONCAT('11A'!$B$38, "-", '11A'!$B$46, "-", '11A'!$D$8, "-", '11A'!$D$7, "-", '11A'!$D$6, "-", '11A'!$C$5)</f>
        <v>Scope three emissions-Disposal of waste-3-tCO2e-Wastewater-Operational emissions</v>
      </c>
      <c r="F4119" t="s">
        <v>17467</v>
      </c>
      <c r="G4119">
        <f>'11A'!$D$46</f>
        <v>6431.49</v>
      </c>
    </row>
    <row r="4120" spans="1:7">
      <c r="A4120" t="s">
        <v>4186</v>
      </c>
      <c r="C4120" t="str">
        <f>'11A'!$V$46</f>
        <v>BO_3689667</v>
      </c>
      <c r="D4120" t="str">
        <f>_xlfn.CONCAT('11A'!$B$38, "-", '11A'!$B$46, "-", '11A'!$E$8, "-", '11A'!$E$7, "-", '11A'!$E$6, "-", '11A'!$C$5)</f>
        <v>Scope three emissions-Disposal of waste-3-tCO2e-Total-Operational emissions</v>
      </c>
      <c r="F4120" t="s">
        <v>17467</v>
      </c>
      <c r="G4120">
        <f>'11A'!$E$46</f>
        <v>6431.49</v>
      </c>
    </row>
    <row r="4121" spans="1:7">
      <c r="A4121" t="s">
        <v>4186</v>
      </c>
      <c r="C4121" t="str">
        <f>'11A'!$T$47</f>
        <v>BO_2420448</v>
      </c>
      <c r="D4121" t="str">
        <f>_xlfn.CONCAT('11A'!$B$38, "-", '11A'!$B$47, "-", '11A'!$C$8, "-", '11A'!$C$7, "-", '11A'!$C$6, "-", '11A'!$C$5)</f>
        <v>Scope three emissions-Total scope three emissions (location-based)-3-tCO2e-Water-Operational emissions</v>
      </c>
      <c r="F4121" t="s">
        <v>17467</v>
      </c>
      <c r="G4121">
        <f>'11A'!$C$47</f>
        <v>21224.317999999999</v>
      </c>
    </row>
    <row r="4122" spans="1:7">
      <c r="A4122" t="s">
        <v>4186</v>
      </c>
      <c r="C4122" t="str">
        <f>'11A'!$U$47</f>
        <v>BO_6794993</v>
      </c>
      <c r="D4122" t="str">
        <f>_xlfn.CONCAT('11A'!$B$38, "-", '11A'!$B$47, "-", '11A'!$D$8, "-", '11A'!$D$7, "-", '11A'!$D$6, "-", '11A'!$C$5)</f>
        <v>Scope three emissions-Total scope three emissions (location-based)-3-tCO2e-Wastewater-Operational emissions</v>
      </c>
      <c r="F4122" t="s">
        <v>17467</v>
      </c>
      <c r="G4122">
        <f>'11A'!$D$47</f>
        <v>28387.964999999997</v>
      </c>
    </row>
    <row r="4123" spans="1:7">
      <c r="A4123" t="s">
        <v>4186</v>
      </c>
      <c r="C4123" t="str">
        <f>'11A'!$V$47</f>
        <v>BO_1974979</v>
      </c>
      <c r="D4123" t="str">
        <f>_xlfn.CONCAT('11A'!$B$38, "-", '11A'!$B$47, "-", '11A'!$E$8, "-", '11A'!$E$7, "-", '11A'!$E$6, "-", '11A'!$C$5)</f>
        <v>Scope three emissions-Total scope three emissions (location-based)-3-tCO2e-Total-Operational emissions</v>
      </c>
      <c r="F4123" t="s">
        <v>17467</v>
      </c>
      <c r="G4123">
        <f>'11A'!$E$47</f>
        <v>49612.282999999996</v>
      </c>
    </row>
    <row r="4124" spans="1:7">
      <c r="A4124" t="s">
        <v>4186</v>
      </c>
      <c r="C4124" t="str">
        <f>'11A'!$T$48</f>
        <v>BO_5601106</v>
      </c>
      <c r="D4124" t="str">
        <f>_xlfn.CONCAT('11A'!$B$38, "-", '11A'!$B$48, "-", '11A'!$C$8, "-", '11A'!$C$7, "-", '11A'!$C$6, "-", '11A'!$C$5)</f>
        <v>Scope three emissions-Total scope three emissions (market-based)-3-tCO2e-Water-Operational emissions</v>
      </c>
      <c r="F4124" t="s">
        <v>17467</v>
      </c>
      <c r="G4124">
        <f>'11A'!$C$48</f>
        <v>10627.708000000001</v>
      </c>
    </row>
    <row r="4125" spans="1:7">
      <c r="A4125" t="s">
        <v>4186</v>
      </c>
      <c r="C4125" t="str">
        <f>'11A'!$U$48</f>
        <v>BO_8684724</v>
      </c>
      <c r="D4125" t="str">
        <f>_xlfn.CONCAT('11A'!$B$38, "-", '11A'!$B$48, "-", '11A'!$D$8, "-", '11A'!$D$7, "-", '11A'!$D$6, "-", '11A'!$C$5)</f>
        <v>Scope three emissions-Total scope three emissions (market-based)-3-tCO2e-Wastewater-Operational emissions</v>
      </c>
      <c r="F4125" t="s">
        <v>17467</v>
      </c>
      <c r="G4125">
        <f>'11A'!$D$48</f>
        <v>18934.385000000002</v>
      </c>
    </row>
    <row r="4126" spans="1:7">
      <c r="A4126" t="s">
        <v>4186</v>
      </c>
      <c r="C4126" t="str">
        <f>'11A'!$V$48</f>
        <v>BO_4034418</v>
      </c>
      <c r="D4126" t="str">
        <f>_xlfn.CONCAT('11A'!$B$38, "-", '11A'!$B$48, "-", '11A'!$E$8, "-", '11A'!$E$7, "-", '11A'!$E$6, "-", '11A'!$C$5)</f>
        <v>Scope three emissions-Total scope three emissions (market-based)-3-tCO2e-Total-Operational emissions</v>
      </c>
      <c r="F4126" t="s">
        <v>17467</v>
      </c>
      <c r="G4126">
        <f>'11A'!$E$48</f>
        <v>29562.093000000001</v>
      </c>
    </row>
    <row r="4127" spans="1:7">
      <c r="A4127" t="s">
        <v>4186</v>
      </c>
      <c r="C4127" t="str">
        <f>'11A'!$T$50</f>
        <v>BR034_S3WCO</v>
      </c>
      <c r="D4127" t="str">
        <f>_xlfn.CONCAT('11A'!$B$38, "-", '11A'!$B$50, "-", '11A'!$C$8, "-", '11A'!$C$7, "-", '11A'!$C$6, "-", '11A'!$C$5)</f>
        <v>Scope three emissions-Scope three emissions; GHG type CO2-3-tCO2e-Water-Operational emissions</v>
      </c>
      <c r="F4127" t="s">
        <v>17467</v>
      </c>
      <c r="G4127">
        <f>'11A'!$C$50</f>
        <v>0</v>
      </c>
    </row>
    <row r="4128" spans="1:7">
      <c r="A4128" t="s">
        <v>4186</v>
      </c>
      <c r="C4128" t="str">
        <f>'11A'!$U$50</f>
        <v>BR035_S3WWCO</v>
      </c>
      <c r="D4128" t="str">
        <f>_xlfn.CONCAT('11A'!$B$38, "-", '11A'!$B$50, "-", '11A'!$D$8, "-", '11A'!$D$7, "-", '11A'!$D$6, "-", '11A'!$C$5)</f>
        <v>Scope three emissions-Scope three emissions; GHG type CO2-3-tCO2e-Wastewater-Operational emissions</v>
      </c>
      <c r="F4128" t="s">
        <v>17467</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17467</v>
      </c>
      <c r="G4129">
        <f>'11A'!$E$50</f>
        <v>0</v>
      </c>
    </row>
    <row r="4130" spans="1:7">
      <c r="A4130" t="s">
        <v>4186</v>
      </c>
      <c r="C4130" t="str">
        <f>'11A'!$T$51</f>
        <v>BR037_S3WCH</v>
      </c>
      <c r="D4130" t="str">
        <f>_xlfn.CONCAT('11A'!$B$38, "-", '11A'!$B$51, "-", '11A'!$C$8, "-", '11A'!$C$7, "-", '11A'!$C$6, "-", '11A'!$C$5)</f>
        <v>Scope three emissions-Scope three emissions; GHG type CH4-3-tCO2e-Water-Operational emissions</v>
      </c>
      <c r="F4130" t="s">
        <v>17467</v>
      </c>
      <c r="G4130">
        <f>'11A'!$C$51</f>
        <v>0</v>
      </c>
    </row>
    <row r="4131" spans="1:7">
      <c r="A4131" t="s">
        <v>4186</v>
      </c>
      <c r="C4131" t="str">
        <f>'11A'!$U$51</f>
        <v>BR038_S3WWCH</v>
      </c>
      <c r="D4131" t="str">
        <f>_xlfn.CONCAT('11A'!$B$38, "-", '11A'!$B$51, "-", '11A'!$D$8, "-", '11A'!$D$7, "-", '11A'!$D$6, "-", '11A'!$C$5)</f>
        <v>Scope three emissions-Scope three emissions; GHG type CH4-3-tCO2e-Wastewater-Operational emissions</v>
      </c>
      <c r="F4131" t="s">
        <v>17467</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17467</v>
      </c>
      <c r="G4132">
        <f>'11A'!$E$51</f>
        <v>0</v>
      </c>
    </row>
    <row r="4133" spans="1:7">
      <c r="A4133" t="s">
        <v>4186</v>
      </c>
      <c r="C4133" t="str">
        <f>'11A'!$T$52</f>
        <v>BR040_S3WNO</v>
      </c>
      <c r="D4133" t="str">
        <f>_xlfn.CONCAT('11A'!$B$38, "-", '11A'!$B$52, "-", '11A'!$C$8, "-", '11A'!$C$7, "-", '11A'!$C$6, "-", '11A'!$C$5)</f>
        <v>Scope three emissions-Scope three emissions; GHG type N2O-3-tCO2e-Water-Operational emissions</v>
      </c>
      <c r="F4133" t="s">
        <v>17467</v>
      </c>
      <c r="G4133">
        <f>'11A'!$C$52</f>
        <v>0</v>
      </c>
    </row>
    <row r="4134" spans="1:7">
      <c r="A4134" t="s">
        <v>4186</v>
      </c>
      <c r="C4134" t="str">
        <f>'11A'!$U$52</f>
        <v>BR041_S3WWNO</v>
      </c>
      <c r="D4134" t="str">
        <f>_xlfn.CONCAT('11A'!$B$38, "-", '11A'!$B$52, "-", '11A'!$D$8, "-", '11A'!$D$7, "-", '11A'!$D$6, "-", '11A'!$C$5)</f>
        <v>Scope three emissions-Scope three emissions; GHG type N2O-3-tCO2e-Wastewater-Operational emissions</v>
      </c>
      <c r="F4134" t="s">
        <v>17467</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17467</v>
      </c>
      <c r="G4135">
        <f>'11A'!$E$52</f>
        <v>0</v>
      </c>
    </row>
    <row r="4136" spans="1:7">
      <c r="A4136" t="s">
        <v>4186</v>
      </c>
      <c r="C4136" t="str">
        <f>'11A'!$T$53</f>
        <v>BO_9823950</v>
      </c>
      <c r="D4136" t="str">
        <f>_xlfn.CONCAT('11A'!$B$38, "-", '11A'!$B$53, "-", '11A'!$C$8, "-", '11A'!$C$7, "-", '11A'!$C$6, "-", '11A'!$C$5)</f>
        <v>Scope three emissions-Scope three emissions: GHG other types-3-tCO2e-Water-Operational emissions</v>
      </c>
      <c r="F4136" t="s">
        <v>17467</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17467</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17467</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17467</v>
      </c>
      <c r="G4139">
        <f>'11A'!$C$56</f>
        <v>70145.89499999999</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17467</v>
      </c>
      <c r="G4140">
        <f>'11A'!$D$56</f>
        <v>122822.77499999999</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17467</v>
      </c>
      <c r="G4141">
        <f>'11A'!$E$56</f>
        <v>192968.66999999998</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17467</v>
      </c>
      <c r="G4142">
        <f>'11A'!$C$57</f>
        <v>21505.355000000003</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17467</v>
      </c>
      <c r="G4143">
        <f>'11A'!$D$57</f>
        <v>79402.455000000002</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17467</v>
      </c>
      <c r="G4144">
        <f>'11A'!$E$57</f>
        <v>100907.81</v>
      </c>
    </row>
    <row r="4145" spans="1:7">
      <c r="A4145" t="s">
        <v>4186</v>
      </c>
      <c r="C4145" t="str">
        <f>'11A'!$T$60</f>
        <v>BR079_ERWER</v>
      </c>
      <c r="D4145" t="str">
        <f>_xlfn.CONCAT('11A'!$B$59, "-", '11A'!$B$60, "-", '11A'!$C$8, "-", '11A'!$C$7, "-", '11A'!$C$6, "-", '11A'!$C$5)</f>
        <v>Emissions reductions-Exported renewables-3-tCO2e-Water-Operational emissions</v>
      </c>
      <c r="F4145" t="s">
        <v>17467</v>
      </c>
      <c r="G4145">
        <f>'11A'!$C$60</f>
        <v>5485.17</v>
      </c>
    </row>
    <row r="4146" spans="1:7">
      <c r="A4146" t="s">
        <v>4186</v>
      </c>
      <c r="C4146" t="str">
        <f>'11A'!$U$60</f>
        <v>BR080_ERWWER</v>
      </c>
      <c r="D4146" t="str">
        <f>_xlfn.CONCAT('11A'!$B$59, "-", '11A'!$B$60, "-", '11A'!$D$8, "-", '11A'!$D$7, "-", '11A'!$D$6, "-", '11A'!$C$5)</f>
        <v>Emissions reductions-Exported renewables-3-tCO2e-Wastewater-Operational emissions</v>
      </c>
      <c r="F4146" t="s">
        <v>17467</v>
      </c>
      <c r="G4146">
        <f>'11A'!$D$60</f>
        <v>1063.6500000000001</v>
      </c>
    </row>
    <row r="4147" spans="1:7">
      <c r="A4147" t="s">
        <v>4186</v>
      </c>
      <c r="C4147" t="str">
        <f>'11A'!$V$60</f>
        <v>BR081_ERTOER</v>
      </c>
      <c r="D4147" t="str">
        <f>_xlfn.CONCAT('11A'!$B$59, "-", '11A'!$B$60, "-", '11A'!$E$8, "-", '11A'!$E$7, "-", '11A'!$E$6, "-", '11A'!$C$5)</f>
        <v>Emissions reductions-Exported renewables-3-tCO2e-Total-Operational emissions</v>
      </c>
      <c r="F4147" t="s">
        <v>17467</v>
      </c>
      <c r="G4147">
        <f>'11A'!$E$60</f>
        <v>6548.82</v>
      </c>
    </row>
    <row r="4148" spans="1:7">
      <c r="A4148" t="s">
        <v>4186</v>
      </c>
      <c r="C4148" t="str">
        <f>'11A'!$T$61</f>
        <v>BR082_ERWEB</v>
      </c>
      <c r="D4148" t="str">
        <f>_xlfn.CONCAT('11A'!$B$59, "-", '11A'!$B$61, "-", '11A'!$C$8, "-", '11A'!$C$7, "-", '11A'!$C$6, "-", '11A'!$C$5)</f>
        <v>Emissions reductions-Exported biomethane-3-tCO2e-Water-Operational emissions</v>
      </c>
      <c r="F4148" t="s">
        <v>17467</v>
      </c>
      <c r="G4148">
        <f>'11A'!$C$61</f>
        <v>0</v>
      </c>
    </row>
    <row r="4149" spans="1:7">
      <c r="A4149" t="s">
        <v>4186</v>
      </c>
      <c r="C4149" t="str">
        <f>'11A'!$U$61</f>
        <v>BR083_ERWWEB</v>
      </c>
      <c r="D4149" t="str">
        <f>_xlfn.CONCAT('11A'!$B$59, "-", '11A'!$B$61, "-", '11A'!$D$8, "-", '11A'!$D$7, "-", '11A'!$D$6, "-", '11A'!$C$5)</f>
        <v>Emissions reductions-Exported biomethane-3-tCO2e-Wastewater-Operational emissions</v>
      </c>
      <c r="F4149" t="s">
        <v>17467</v>
      </c>
      <c r="G4149">
        <f>'11A'!$D$61</f>
        <v>3858.52</v>
      </c>
    </row>
    <row r="4150" spans="1:7">
      <c r="A4150" t="s">
        <v>4186</v>
      </c>
      <c r="C4150" t="str">
        <f>'11A'!$V$61</f>
        <v>BR084_ERTOEB</v>
      </c>
      <c r="D4150" t="str">
        <f>_xlfn.CONCAT('11A'!$B$59, "-", '11A'!$B$61, "-", '11A'!$E$8, "-", '11A'!$E$7, "-", '11A'!$E$6, "-", '11A'!$C$5)</f>
        <v>Emissions reductions-Exported biomethane-3-tCO2e-Total-Operational emissions</v>
      </c>
      <c r="F4150" t="s">
        <v>17467</v>
      </c>
      <c r="G4150">
        <f>'11A'!$E$61</f>
        <v>3858.52</v>
      </c>
    </row>
    <row r="4151" spans="1:7">
      <c r="A4151" t="s">
        <v>4186</v>
      </c>
      <c r="C4151" t="str">
        <f>'11A'!$T$62</f>
        <v>BO_6717913</v>
      </c>
      <c r="D4151" t="str">
        <f>_xlfn.CONCAT('11A'!$B$59, "-", '11A'!$B$62, "-", '11A'!$C$8, "-", '11A'!$C$7, "-", '11A'!$C$6, "-", '11A'!$C$5)</f>
        <v>Emissions reductions-Insets-3-tCO2e-Water-Operational emissions</v>
      </c>
      <c r="F4151" t="s">
        <v>17467</v>
      </c>
      <c r="G4151">
        <f>'11A'!$C$62</f>
        <v>0</v>
      </c>
    </row>
    <row r="4152" spans="1:7">
      <c r="A4152" t="s">
        <v>4186</v>
      </c>
      <c r="C4152" t="str">
        <f>'11A'!$U$62</f>
        <v>BO_5717374</v>
      </c>
      <c r="D4152" t="str">
        <f>_xlfn.CONCAT('11A'!$B$59, "-", '11A'!$B$62, "-", '11A'!$D$8, "-", '11A'!$D$7, "-", '11A'!$D$6, "-", '11A'!$C$5)</f>
        <v>Emissions reductions-Insets-3-tCO2e-Wastewater-Operational emissions</v>
      </c>
      <c r="F4152" t="s">
        <v>17467</v>
      </c>
      <c r="G4152">
        <f>'11A'!$D$62</f>
        <v>0</v>
      </c>
    </row>
    <row r="4153" spans="1:7">
      <c r="A4153" t="s">
        <v>4186</v>
      </c>
      <c r="C4153" t="str">
        <f>'11A'!$V$62</f>
        <v>BO_4686738</v>
      </c>
      <c r="D4153" t="str">
        <f>_xlfn.CONCAT('11A'!$B$59, "-", '11A'!$B$62, "-", '11A'!$E$8, "-", '11A'!$E$7, "-", '11A'!$E$6, "-", '11A'!$C$5)</f>
        <v>Emissions reductions-Insets-3-tCO2e-Total-Operational emissions</v>
      </c>
      <c r="F4153" t="s">
        <v>17467</v>
      </c>
      <c r="G4153">
        <f>'11A'!$E$62</f>
        <v>0</v>
      </c>
    </row>
    <row r="4154" spans="1:7">
      <c r="A4154" t="s">
        <v>4186</v>
      </c>
      <c r="C4154" t="str">
        <f>'11A'!$T$63</f>
        <v>BR088_ERWOR</v>
      </c>
      <c r="D4154" t="str">
        <f>_xlfn.CONCAT('11A'!$B$59, "-", '11A'!$B$63, "-", '11A'!$C$8, "-", '11A'!$C$7, "-", '11A'!$C$6, "-", '11A'!$C$5)</f>
        <v>Emissions reductions-Other emissions reductions-3-tCO2e-Water-Operational emissions</v>
      </c>
      <c r="F4154" t="s">
        <v>17467</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17467</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17467</v>
      </c>
      <c r="G4156">
        <f>'11A'!$E$63</f>
        <v>0</v>
      </c>
    </row>
    <row r="4157" spans="1:7">
      <c r="A4157" t="s">
        <v>4186</v>
      </c>
      <c r="C4157" t="str">
        <f>'11A'!$T$64</f>
        <v>BR091_ERWTR</v>
      </c>
      <c r="D4157" t="str">
        <f>_xlfn.CONCAT('11A'!$B$59, "-", '11A'!$B$64, "-", '11A'!$C$8, "-", '11A'!$C$7, "-", '11A'!$C$6, "-", '11A'!$C$5)</f>
        <v>Emissions reductions-Total emissions reductions-3-tCO2e-Water-Operational emissions</v>
      </c>
      <c r="F4157" t="s">
        <v>17467</v>
      </c>
      <c r="G4157">
        <f>'11A'!$C$64</f>
        <v>5485.17</v>
      </c>
    </row>
    <row r="4158" spans="1:7">
      <c r="A4158" t="s">
        <v>4186</v>
      </c>
      <c r="C4158" t="str">
        <f>'11A'!$U$64</f>
        <v>BR092_ERWWTR</v>
      </c>
      <c r="D4158" t="str">
        <f>_xlfn.CONCAT('11A'!$B$59, "-", '11A'!$B$64, "-", '11A'!$D$8, "-", '11A'!$D$7, "-", '11A'!$D$6, "-", '11A'!$C$5)</f>
        <v>Emissions reductions-Total emissions reductions-3-tCO2e-Wastewater-Operational emissions</v>
      </c>
      <c r="F4158" t="s">
        <v>17467</v>
      </c>
      <c r="G4158">
        <f>'11A'!$D$64</f>
        <v>4922.17</v>
      </c>
    </row>
    <row r="4159" spans="1:7">
      <c r="A4159" t="s">
        <v>4186</v>
      </c>
      <c r="C4159" t="str">
        <f>'11A'!$V$64</f>
        <v>BR093_ERTOTR</v>
      </c>
      <c r="D4159" t="str">
        <f>_xlfn.CONCAT('11A'!$B$59, "-", '11A'!$B$64, "-", '11A'!$E$8, "-", '11A'!$E$7, "-", '11A'!$E$6, "-", '11A'!$C$5)</f>
        <v>Emissions reductions-Total emissions reductions-3-tCO2e-Total-Operational emissions</v>
      </c>
      <c r="F4159" t="s">
        <v>17467</v>
      </c>
      <c r="G4159">
        <f>'11A'!$E$64</f>
        <v>10407.34</v>
      </c>
    </row>
    <row r="4160" spans="1:7">
      <c r="A4160" t="s">
        <v>4186</v>
      </c>
      <c r="C4160" t="str">
        <f>'11A'!$T$68</f>
        <v>BR094_NEWLB</v>
      </c>
      <c r="D4160" t="str">
        <f>_xlfn.CONCAT('11A'!$B$67, "-", '11A'!$B$68, "-", '11A'!$C$8, "-", '11A'!$C$7, "-", '11A'!$C$6, "-", '11A'!$C$5)</f>
        <v>Net annual emissions-Net annual emissions (location-based)-3-tCO2e-Water-Operational emissions</v>
      </c>
      <c r="F4160" t="s">
        <v>17467</v>
      </c>
      <c r="G4160">
        <f>'11A'!$C$68</f>
        <v>64660.724999999991</v>
      </c>
    </row>
    <row r="4161" spans="1:7">
      <c r="A4161" t="s">
        <v>4186</v>
      </c>
      <c r="C4161" t="str">
        <f>'11A'!$U$68</f>
        <v>BR095_NEWWLB</v>
      </c>
      <c r="D4161" t="str">
        <f>_xlfn.CONCAT('11A'!$B$67, "-", '11A'!$B$68, "-", '11A'!$D$8, "-", '11A'!$D$7, "-", '11A'!$D$6, "-", '11A'!$C$5)</f>
        <v>Net annual emissions-Net annual emissions (location-based)-3-tCO2e-Wastewater-Operational emissions</v>
      </c>
      <c r="F4161" t="s">
        <v>17467</v>
      </c>
      <c r="G4161">
        <f>'11A'!$D$68</f>
        <v>117900.605</v>
      </c>
    </row>
    <row r="4162" spans="1:7">
      <c r="A4162" t="s">
        <v>4186</v>
      </c>
      <c r="C4162" t="str">
        <f>'11A'!$V$68</f>
        <v>BR096_NETOLB</v>
      </c>
      <c r="D4162" t="str">
        <f>_xlfn.CONCAT('11A'!$B$67, "-", '11A'!$B$68, "-", '11A'!$E$8, "-", '11A'!$E$7, "-", '11A'!$E$6, "-", '11A'!$C$5)</f>
        <v>Net annual emissions-Net annual emissions (location-based)-3-tCO2e-Total-Operational emissions</v>
      </c>
      <c r="F4162" t="s">
        <v>17467</v>
      </c>
      <c r="G4162">
        <f>'11A'!$E$68</f>
        <v>182561.33</v>
      </c>
    </row>
    <row r="4163" spans="1:7">
      <c r="A4163" t="s">
        <v>4186</v>
      </c>
      <c r="C4163" t="str">
        <f>'11A'!$T$69</f>
        <v>BR097_NEWMB</v>
      </c>
      <c r="D4163" t="str">
        <f>_xlfn.CONCAT('11A'!$B$67, "-", '11A'!$B$69, "-", '11A'!$C$8, "-", '11A'!$C$7, "-", '11A'!$C$6, "-", '11A'!$C$5)</f>
        <v>Net annual emissions-Net annual emissions (market-based)-3-tCO2e-Water-Operational emissions</v>
      </c>
      <c r="F4163" t="s">
        <v>17467</v>
      </c>
      <c r="G4163">
        <f>'11A'!$C$69</f>
        <v>21505.355000000003</v>
      </c>
    </row>
    <row r="4164" spans="1:7">
      <c r="A4164" t="s">
        <v>4186</v>
      </c>
      <c r="C4164" t="str">
        <f>'11A'!$U$69</f>
        <v>BR098_NEWWMB</v>
      </c>
      <c r="D4164" t="str">
        <f>_xlfn.CONCAT('11A'!$B$67, "-", '11A'!$B$69, "-", '11A'!$D$8, "-", '11A'!$D$7, "-", '11A'!$D$6, "-", '11A'!$C$5)</f>
        <v>Net annual emissions-Net annual emissions (market-based)-3-tCO2e-Wastewater-Operational emissions</v>
      </c>
      <c r="F4164" t="s">
        <v>17467</v>
      </c>
      <c r="G4164">
        <f>'11A'!$D$69</f>
        <v>79402.455000000002</v>
      </c>
    </row>
    <row r="4165" spans="1:7">
      <c r="A4165" t="s">
        <v>4186</v>
      </c>
      <c r="C4165" t="str">
        <f>'11A'!$V$69</f>
        <v>BR099_NETOMB</v>
      </c>
      <c r="D4165" t="str">
        <f>_xlfn.CONCAT('11A'!$B$67, "-", '11A'!$B$69, "-", '11A'!$E$8, "-", '11A'!$E$7, "-", '11A'!$E$6, "-", '11A'!$C$5)</f>
        <v>Net annual emissions-Net annual emissions (market-based)-3-tCO2e-Total-Operational emissions</v>
      </c>
      <c r="F4165" t="s">
        <v>17467</v>
      </c>
      <c r="G4165">
        <f>'11A'!$E$69</f>
        <v>100907.81</v>
      </c>
    </row>
    <row r="4166" spans="1:7">
      <c r="A4166" t="s">
        <v>4186</v>
      </c>
      <c r="C4166" t="str">
        <f>'11A'!$T$76</f>
        <v>BR103_IRWTW</v>
      </c>
      <c r="D4166" t="str">
        <f>_xlfn.CONCAT('11A'!$B$75, "-", '11A'!$B$76, "-", '11A'!$C$73, "-", '11A'!$C$72, "-", '11A'!$C$71)</f>
        <v>GHG intensity ratios-Emissions per Ml of treated water-3-kgCO2e/Ml-Water</v>
      </c>
      <c r="F4166" t="s">
        <v>17467</v>
      </c>
      <c r="G4166">
        <f>'11A'!$C$76</f>
        <v>134.97999999999999</v>
      </c>
    </row>
    <row r="4167" spans="1:7">
      <c r="A4167" t="s">
        <v>4186</v>
      </c>
      <c r="C4167" t="str">
        <f>'11A'!$U$77</f>
        <v>BR104_IRWWSF</v>
      </c>
      <c r="D4167" t="str">
        <f>_xlfn.CONCAT('11A'!$B$75, "-", '11A'!$B$77, "-", '11A'!$D$73, "-", '11A'!$D$72, "-", '11A'!$D$71)</f>
        <v>GHG intensity ratios-Emissions per Ml of sewage treated-3-kgCO2e/Ml-Wastewater</v>
      </c>
      <c r="F4167" t="s">
        <v>17467</v>
      </c>
      <c r="G4167">
        <f>'11A'!$D$77</f>
        <v>166.89</v>
      </c>
    </row>
    <row r="4168" spans="1:7">
      <c r="A4168" t="s">
        <v>4186</v>
      </c>
      <c r="C4168" t="str">
        <f>'11A'!$T$84</f>
        <v>BR085_ERWGO</v>
      </c>
      <c r="D4168" t="str">
        <f>_xlfn.CONCAT('11A'!$B$83, "-", '11A'!$B$84, "-", '11A'!$C$81, "-", '11A'!$C$80, "-", '11A'!$C$79)</f>
        <v>Other-Green tariff electricity-3-tCO2e-Water</v>
      </c>
      <c r="F4168" t="s">
        <v>17467</v>
      </c>
      <c r="G4168">
        <f>'11A'!$C$84</f>
        <v>0</v>
      </c>
    </row>
    <row r="4169" spans="1:7">
      <c r="A4169" t="s">
        <v>4186</v>
      </c>
      <c r="C4169" t="str">
        <f>'11A'!$U$84</f>
        <v>BR086_ERWWGO</v>
      </c>
      <c r="D4169" t="str">
        <f>_xlfn.CONCAT('11A'!$B$83, "-", '11A'!$B$84, "-", '11A'!$D$81, "-", '11A'!$D$80, "-", '11A'!$D$79)</f>
        <v>Other-Green tariff electricity-3-tCO2e-Wastewater</v>
      </c>
      <c r="F4169" t="s">
        <v>17467</v>
      </c>
      <c r="G4169">
        <f>'11A'!$D$84</f>
        <v>0</v>
      </c>
    </row>
    <row r="4170" spans="1:7">
      <c r="A4170" t="s">
        <v>4186</v>
      </c>
      <c r="C4170" t="str">
        <f>'11A'!$V$84</f>
        <v>BR087_ERTOGO</v>
      </c>
      <c r="D4170" t="str">
        <f>_xlfn.CONCAT('11A'!$B$83, "-", '11A'!$B$84, "-", '11A'!$E$81, "-", '11A'!$E$80, "-", '11A'!$E$79)</f>
        <v>Other-Green tariff electricity-3-tCO2e-Total</v>
      </c>
      <c r="F4170" t="s">
        <v>17467</v>
      </c>
      <c r="G4170">
        <f>'11A'!$E$84</f>
        <v>0</v>
      </c>
    </row>
    <row r="4171" spans="1:7">
      <c r="A4171" t="s">
        <v>4186</v>
      </c>
      <c r="C4171" t="str">
        <f>'11A'!$T$92</f>
        <v>BO_214</v>
      </c>
      <c r="D4171" t="str">
        <f>_xlfn.CONCAT('11A'!$B$83, "-", '11A'!$B$92, "-", '11A'!$C$81, "-", '11A'!$C$80, "-", '11A'!$C$79)</f>
        <v>Other-Capital projects (cradle-to-gate)-3-tCO2e-Water</v>
      </c>
      <c r="F4171" t="s">
        <v>17467</v>
      </c>
      <c r="G4171" t="str">
        <f>'11A'!$C$92</f>
        <v>N/A</v>
      </c>
    </row>
    <row r="4172" spans="1:7">
      <c r="A4172" t="s">
        <v>4186</v>
      </c>
      <c r="C4172" t="str">
        <f>'11A'!$U$92</f>
        <v>BO_8644</v>
      </c>
      <c r="D4172" t="str">
        <f>_xlfn.CONCAT('11A'!$B$83, "-", '11A'!$B$92, "-", '11A'!$D$81, "-", '11A'!$D$80, "-", '11A'!$D$79)</f>
        <v>Other-Capital projects (cradle-to-gate)-3-tCO2e-Wastewater</v>
      </c>
      <c r="F4172" t="s">
        <v>17467</v>
      </c>
      <c r="G4172" t="str">
        <f>'11A'!$D$92</f>
        <v>N/A</v>
      </c>
    </row>
    <row r="4173" spans="1:7">
      <c r="A4173" t="s">
        <v>4186</v>
      </c>
      <c r="C4173" t="str">
        <f>'11A'!$V$92</f>
        <v>BO_2449</v>
      </c>
      <c r="D4173" t="str">
        <f>_xlfn.CONCAT('11A'!$B$83, "-", '11A'!$B$92, "-", '11A'!$E$81, "-", '11A'!$E$80, "-", '11A'!$E$79)</f>
        <v>Other-Capital projects (cradle-to-gate)-3-tCO2e-Total</v>
      </c>
      <c r="F4173" t="s">
        <v>17467</v>
      </c>
      <c r="G4173" t="str">
        <f>'11A'!$E$92</f>
        <v>N/A</v>
      </c>
    </row>
    <row r="4174" spans="1:7">
      <c r="A4174" t="s">
        <v>4186</v>
      </c>
      <c r="C4174" t="str">
        <f>'11A'!$T$93</f>
        <v>BO_2143514</v>
      </c>
      <c r="D4174" t="str">
        <f>_xlfn.CONCAT('11A'!$B$83, "-", '11A'!$B$93, "-", '11A'!$C$81, "-", '11A'!$C$80, "-", '11A'!$C$79)</f>
        <v>Other-Capital projects (cradle-to-build)-3-tCO2e-Water</v>
      </c>
      <c r="F4174" t="s">
        <v>17467</v>
      </c>
      <c r="G4174" t="str">
        <f>'11A'!$C$93</f>
        <v>N/A</v>
      </c>
    </row>
    <row r="4175" spans="1:7">
      <c r="A4175" t="s">
        <v>4186</v>
      </c>
      <c r="C4175" t="str">
        <f>'11A'!$U$93</f>
        <v>BO_8427041</v>
      </c>
      <c r="D4175" t="str">
        <f>_xlfn.CONCAT('11A'!$B$83, "-", '11A'!$B$93, "-", '11A'!$D$81, "-", '11A'!$D$80, "-", '11A'!$D$79)</f>
        <v>Other-Capital projects (cradle-to-build)-3-tCO2e-Wastewater</v>
      </c>
      <c r="F4175" t="s">
        <v>17467</v>
      </c>
      <c r="G4175" t="str">
        <f>'11A'!$D$93</f>
        <v>N/A</v>
      </c>
    </row>
    <row r="4176" spans="1:7">
      <c r="A4176" t="s">
        <v>4186</v>
      </c>
      <c r="C4176" t="str">
        <f>'11A'!$V$93</f>
        <v>BO_3244856</v>
      </c>
      <c r="D4176" t="str">
        <f>_xlfn.CONCAT('11A'!$B$83, "-", '11A'!$B$93, "-", '11A'!$E$81, "-", '11A'!$E$80, "-", '11A'!$E$79)</f>
        <v>Other-Capital projects (cradle-to-build)-3-tCO2e-Total</v>
      </c>
      <c r="F4176" t="s">
        <v>17467</v>
      </c>
      <c r="G4176">
        <f>'11A'!$E$93</f>
        <v>17098</v>
      </c>
    </row>
    <row r="4177" spans="1:7">
      <c r="A4177" t="s">
        <v>4186</v>
      </c>
      <c r="C4177" t="s">
        <v>18461</v>
      </c>
      <c r="D4177" t="s">
        <v>18468</v>
      </c>
      <c r="F4177" t="s">
        <v>17467</v>
      </c>
      <c r="G4177">
        <f>'11A'!$C$96</f>
        <v>0</v>
      </c>
    </row>
    <row r="4178" spans="1:7">
      <c r="A4178" t="s">
        <v>4186</v>
      </c>
      <c r="C4178" t="s">
        <v>18462</v>
      </c>
      <c r="D4178" t="s">
        <v>18469</v>
      </c>
      <c r="F4178" t="s">
        <v>17467</v>
      </c>
      <c r="G4178">
        <f>'11A'!$D$96</f>
        <v>0</v>
      </c>
    </row>
    <row r="4179" spans="1:7">
      <c r="A4179" t="s">
        <v>4186</v>
      </c>
      <c r="C4179" t="s">
        <v>18463</v>
      </c>
      <c r="D4179" t="s">
        <v>18470</v>
      </c>
      <c r="F4179" t="s">
        <v>17467</v>
      </c>
      <c r="G4179">
        <f>'11A'!$E$96</f>
        <v>0</v>
      </c>
    </row>
  </sheetData>
  <conditionalFormatting sqref="C3815:C4030">
    <cfRule type="duplicateValues" dxfId="214" priority="7"/>
    <cfRule type="duplicateValues" dxfId="213" priority="8"/>
    <cfRule type="duplicateValues" dxfId="212"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F8CA-5D0E-480D-8DB8-2AA89F4B3406}">
  <dimension ref="A2:C4"/>
  <sheetViews>
    <sheetView tabSelected="1" workbookViewId="0">
      <selection activeCell="A4" sqref="A4"/>
    </sheetView>
  </sheetViews>
  <sheetFormatPr defaultRowHeight="13.8"/>
  <cols>
    <col min="1" max="1" width="10.296875" customWidth="1"/>
    <col min="2" max="2" width="14.19921875" customWidth="1"/>
    <col min="3" max="3" width="86" bestFit="1" customWidth="1"/>
  </cols>
  <sheetData>
    <row r="2" spans="1:3">
      <c r="A2" s="2658" t="s">
        <v>17321</v>
      </c>
      <c r="B2" s="2658" t="s">
        <v>6862</v>
      </c>
      <c r="C2" s="2658" t="s">
        <v>18846</v>
      </c>
    </row>
    <row r="3" spans="1:3">
      <c r="A3" s="2659">
        <v>1</v>
      </c>
      <c r="B3" s="2660">
        <v>45118</v>
      </c>
      <c r="C3" s="2659" t="s">
        <v>18847</v>
      </c>
    </row>
    <row r="4" spans="1:3">
      <c r="A4" s="2659">
        <v>2</v>
      </c>
      <c r="B4" s="2660">
        <v>45146</v>
      </c>
      <c r="C4" s="2659" t="s">
        <v>18848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17" zoomScaleNormal="100" workbookViewId="0"/>
  </sheetViews>
  <sheetFormatPr defaultRowHeight="13.8"/>
  <cols>
    <col min="2" max="2" width="26.5" bestFit="1" customWidth="1"/>
    <col min="3" max="3" width="50.5" bestFit="1" customWidth="1"/>
  </cols>
  <sheetData>
    <row r="1" spans="1:12" ht="28.8" thickBot="1">
      <c r="A1" s="2582" t="s">
        <v>18474</v>
      </c>
      <c r="B1" s="2582"/>
      <c r="C1" s="2583"/>
      <c r="D1" s="2582"/>
      <c r="E1" s="2582"/>
      <c r="F1" s="2582"/>
      <c r="G1" s="2582"/>
      <c r="H1" s="2664"/>
      <c r="I1" s="2664"/>
    </row>
    <row r="2" spans="1:12" ht="16.8" thickTop="1">
      <c r="A2" s="2584"/>
      <c r="B2" s="2584"/>
      <c r="C2" s="2584"/>
      <c r="D2" s="2584"/>
      <c r="E2" s="2584"/>
      <c r="F2" s="2584"/>
      <c r="G2" s="2584"/>
      <c r="H2" s="2665"/>
      <c r="I2" s="2665"/>
    </row>
    <row r="3" spans="1:12" ht="16.2">
      <c r="A3" s="2584"/>
      <c r="B3" s="2585" t="s">
        <v>15626</v>
      </c>
      <c r="C3" s="2585" t="s">
        <v>15627</v>
      </c>
      <c r="D3" s="2584"/>
      <c r="E3" s="2584"/>
      <c r="F3" s="2584"/>
      <c r="G3" s="2584"/>
      <c r="H3" s="2666"/>
      <c r="I3" s="2666"/>
    </row>
    <row r="4" spans="1:12" ht="16.2">
      <c r="A4" s="2584"/>
      <c r="B4" s="2585" t="s">
        <v>15619</v>
      </c>
      <c r="C4" s="2586">
        <v>1.1000000000000001</v>
      </c>
      <c r="D4" s="2584"/>
      <c r="E4" s="2584"/>
      <c r="F4" s="2584"/>
      <c r="G4" s="2584"/>
      <c r="H4" s="2666"/>
      <c r="I4" s="2666"/>
    </row>
    <row r="5" spans="1:12" ht="16.2">
      <c r="A5" s="2584"/>
      <c r="B5" s="2585" t="s">
        <v>15620</v>
      </c>
      <c r="C5" s="2585" t="s">
        <v>18473</v>
      </c>
      <c r="D5" s="2584"/>
      <c r="E5" s="2584"/>
      <c r="F5" s="2584"/>
      <c r="G5" s="2584"/>
      <c r="H5" s="2666"/>
      <c r="I5" s="2666"/>
    </row>
    <row r="6" spans="1:12" ht="16.2">
      <c r="A6" s="2584"/>
      <c r="B6" s="2585" t="s">
        <v>15621</v>
      </c>
      <c r="C6" s="2646">
        <v>45078</v>
      </c>
      <c r="D6" s="2584"/>
      <c r="E6" s="2584"/>
      <c r="F6" s="2584"/>
      <c r="G6" s="2584"/>
      <c r="H6" s="2666"/>
      <c r="I6" s="2666"/>
    </row>
    <row r="7" spans="1:12" ht="16.2">
      <c r="A7" s="2584"/>
      <c r="B7" s="2585" t="s">
        <v>15622</v>
      </c>
      <c r="C7" s="2585" t="s">
        <v>15623</v>
      </c>
      <c r="D7" s="2584"/>
      <c r="E7" s="2584"/>
      <c r="F7" s="2584"/>
      <c r="G7" s="2584"/>
      <c r="H7" s="2666"/>
      <c r="I7" s="2666"/>
    </row>
    <row r="8" spans="1:12" ht="16.2">
      <c r="A8" s="2584"/>
      <c r="B8" s="2585" t="s">
        <v>15624</v>
      </c>
      <c r="C8" s="2587" t="s">
        <v>15625</v>
      </c>
      <c r="D8" s="2584"/>
      <c r="E8" s="2584"/>
      <c r="F8" s="2584"/>
      <c r="G8" s="2584"/>
      <c r="H8" s="2666"/>
      <c r="I8" s="2666"/>
    </row>
    <row r="9" spans="1:12" ht="16.2">
      <c r="A9" s="2584"/>
      <c r="B9" s="2584"/>
      <c r="C9" s="2584"/>
      <c r="D9" s="2584"/>
      <c r="E9" s="2584"/>
      <c r="F9" s="2584"/>
      <c r="G9" s="2584"/>
      <c r="H9" s="2666"/>
      <c r="I9" s="2666"/>
    </row>
    <row r="11" spans="1:12" ht="14.4" thickBot="1"/>
    <row r="12" spans="1:12" ht="15.6" thickBot="1">
      <c r="A12" s="2661" t="s">
        <v>15628</v>
      </c>
      <c r="B12" s="2662"/>
      <c r="C12" s="2662"/>
      <c r="D12" s="2662"/>
      <c r="E12" s="2662"/>
      <c r="F12" s="2662"/>
      <c r="G12" s="2662"/>
      <c r="H12" s="2662"/>
      <c r="I12" s="2662"/>
      <c r="J12" s="2662"/>
      <c r="K12" s="2662"/>
      <c r="L12" s="2663"/>
    </row>
    <row r="13" spans="1:12">
      <c r="A13" s="2667" t="s">
        <v>15635</v>
      </c>
      <c r="B13" s="2668"/>
      <c r="C13" s="2668"/>
      <c r="D13" s="2668"/>
      <c r="E13" s="2668"/>
      <c r="F13" s="2668"/>
      <c r="G13" s="2668"/>
      <c r="H13" s="2668"/>
      <c r="I13" s="2668"/>
      <c r="J13" s="2668"/>
      <c r="K13" s="2668"/>
      <c r="L13" s="2669"/>
    </row>
    <row r="14" spans="1:12">
      <c r="A14" s="2667"/>
      <c r="B14" s="2668"/>
      <c r="C14" s="2668"/>
      <c r="D14" s="2668"/>
      <c r="E14" s="2668"/>
      <c r="F14" s="2668"/>
      <c r="G14" s="2668"/>
      <c r="H14" s="2668"/>
      <c r="I14" s="2668"/>
      <c r="J14" s="2668"/>
      <c r="K14" s="2668"/>
      <c r="L14" s="2669"/>
    </row>
    <row r="15" spans="1:12">
      <c r="A15" s="2667"/>
      <c r="B15" s="2668"/>
      <c r="C15" s="2668"/>
      <c r="D15" s="2668"/>
      <c r="E15" s="2668"/>
      <c r="F15" s="2668"/>
      <c r="G15" s="2668"/>
      <c r="H15" s="2668"/>
      <c r="I15" s="2668"/>
      <c r="J15" s="2668"/>
      <c r="K15" s="2668"/>
      <c r="L15" s="2669"/>
    </row>
    <row r="16" spans="1:12">
      <c r="A16" s="2667"/>
      <c r="B16" s="2668"/>
      <c r="C16" s="2668"/>
      <c r="D16" s="2668"/>
      <c r="E16" s="2668"/>
      <c r="F16" s="2668"/>
      <c r="G16" s="2668"/>
      <c r="H16" s="2668"/>
      <c r="I16" s="2668"/>
      <c r="J16" s="2668"/>
      <c r="K16" s="2668"/>
      <c r="L16" s="2669"/>
    </row>
    <row r="17" spans="1:12" ht="14.4" thickBot="1">
      <c r="A17" s="2667"/>
      <c r="B17" s="2668"/>
      <c r="C17" s="2668"/>
      <c r="D17" s="2668"/>
      <c r="E17" s="2668"/>
      <c r="F17" s="2668"/>
      <c r="G17" s="2668"/>
      <c r="H17" s="2668"/>
      <c r="I17" s="2668"/>
      <c r="J17" s="2668"/>
      <c r="K17" s="2668"/>
      <c r="L17" s="2669"/>
    </row>
    <row r="18" spans="1:12" ht="15.6" thickBot="1">
      <c r="A18" s="2661" t="s">
        <v>15629</v>
      </c>
      <c r="B18" s="2662"/>
      <c r="C18" s="2662"/>
      <c r="D18" s="2662"/>
      <c r="E18" s="2662"/>
      <c r="F18" s="2662"/>
      <c r="G18" s="2662"/>
      <c r="H18" s="2662"/>
      <c r="I18" s="2662"/>
      <c r="J18" s="2662"/>
      <c r="K18" s="2662"/>
      <c r="L18" s="2663"/>
    </row>
    <row r="19" spans="1:12">
      <c r="A19" s="2673" t="s">
        <v>18522</v>
      </c>
      <c r="B19" s="2674"/>
      <c r="C19" s="2674"/>
      <c r="D19" s="2674"/>
      <c r="E19" s="2674"/>
      <c r="F19" s="2674"/>
      <c r="G19" s="2674"/>
      <c r="H19" s="2674"/>
      <c r="I19" s="2674"/>
      <c r="J19" s="2674"/>
      <c r="K19" s="2674"/>
      <c r="L19" s="2675"/>
    </row>
    <row r="20" spans="1:12">
      <c r="A20" s="2673"/>
      <c r="B20" s="2674"/>
      <c r="C20" s="2674"/>
      <c r="D20" s="2674"/>
      <c r="E20" s="2674"/>
      <c r="F20" s="2674"/>
      <c r="G20" s="2674"/>
      <c r="H20" s="2674"/>
      <c r="I20" s="2674"/>
      <c r="J20" s="2674"/>
      <c r="K20" s="2674"/>
      <c r="L20" s="2675"/>
    </row>
    <row r="21" spans="1:12">
      <c r="A21" s="2673"/>
      <c r="B21" s="2674"/>
      <c r="C21" s="2674"/>
      <c r="D21" s="2674"/>
      <c r="E21" s="2674"/>
      <c r="F21" s="2674"/>
      <c r="G21" s="2674"/>
      <c r="H21" s="2674"/>
      <c r="I21" s="2674"/>
      <c r="J21" s="2674"/>
      <c r="K21" s="2674"/>
      <c r="L21" s="2675"/>
    </row>
    <row r="22" spans="1:12">
      <c r="A22" s="2673"/>
      <c r="B22" s="2674"/>
      <c r="C22" s="2674"/>
      <c r="D22" s="2674"/>
      <c r="E22" s="2674"/>
      <c r="F22" s="2674"/>
      <c r="G22" s="2674"/>
      <c r="H22" s="2674"/>
      <c r="I22" s="2674"/>
      <c r="J22" s="2674"/>
      <c r="K22" s="2674"/>
      <c r="L22" s="2675"/>
    </row>
    <row r="23" spans="1:12">
      <c r="A23" s="2673"/>
      <c r="B23" s="2674"/>
      <c r="C23" s="2674"/>
      <c r="D23" s="2674"/>
      <c r="E23" s="2674"/>
      <c r="F23" s="2674"/>
      <c r="G23" s="2674"/>
      <c r="H23" s="2674"/>
      <c r="I23" s="2674"/>
      <c r="J23" s="2674"/>
      <c r="K23" s="2674"/>
      <c r="L23" s="2675"/>
    </row>
    <row r="24" spans="1:12">
      <c r="A24" s="2673"/>
      <c r="B24" s="2674"/>
      <c r="C24" s="2674"/>
      <c r="D24" s="2674"/>
      <c r="E24" s="2674"/>
      <c r="F24" s="2674"/>
      <c r="G24" s="2674"/>
      <c r="H24" s="2674"/>
      <c r="I24" s="2674"/>
      <c r="J24" s="2674"/>
      <c r="K24" s="2674"/>
      <c r="L24" s="2675"/>
    </row>
    <row r="25" spans="1:12">
      <c r="A25" s="2673"/>
      <c r="B25" s="2674"/>
      <c r="C25" s="2674"/>
      <c r="D25" s="2674"/>
      <c r="E25" s="2674"/>
      <c r="F25" s="2674"/>
      <c r="G25" s="2674"/>
      <c r="H25" s="2674"/>
      <c r="I25" s="2674"/>
      <c r="J25" s="2674"/>
      <c r="K25" s="2674"/>
      <c r="L25" s="2675"/>
    </row>
    <row r="26" spans="1:12">
      <c r="A26" s="2673"/>
      <c r="B26" s="2674"/>
      <c r="C26" s="2674"/>
      <c r="D26" s="2674"/>
      <c r="E26" s="2674"/>
      <c r="F26" s="2674"/>
      <c r="G26" s="2674"/>
      <c r="H26" s="2674"/>
      <c r="I26" s="2674"/>
      <c r="J26" s="2674"/>
      <c r="K26" s="2674"/>
      <c r="L26" s="2675"/>
    </row>
    <row r="27" spans="1:12">
      <c r="A27" s="2673"/>
      <c r="B27" s="2674"/>
      <c r="C27" s="2674"/>
      <c r="D27" s="2674"/>
      <c r="E27" s="2674"/>
      <c r="F27" s="2674"/>
      <c r="G27" s="2674"/>
      <c r="H27" s="2674"/>
      <c r="I27" s="2674"/>
      <c r="J27" s="2674"/>
      <c r="K27" s="2674"/>
      <c r="L27" s="2675"/>
    </row>
    <row r="28" spans="1:12">
      <c r="A28" s="2673"/>
      <c r="B28" s="2674"/>
      <c r="C28" s="2674"/>
      <c r="D28" s="2674"/>
      <c r="E28" s="2674"/>
      <c r="F28" s="2674"/>
      <c r="G28" s="2674"/>
      <c r="H28" s="2674"/>
      <c r="I28" s="2674"/>
      <c r="J28" s="2674"/>
      <c r="K28" s="2674"/>
      <c r="L28" s="2675"/>
    </row>
    <row r="29" spans="1:12">
      <c r="A29" s="2673"/>
      <c r="B29" s="2674"/>
      <c r="C29" s="2674"/>
      <c r="D29" s="2674"/>
      <c r="E29" s="2674"/>
      <c r="F29" s="2674"/>
      <c r="G29" s="2674"/>
      <c r="H29" s="2674"/>
      <c r="I29" s="2674"/>
      <c r="J29" s="2674"/>
      <c r="K29" s="2674"/>
      <c r="L29" s="2675"/>
    </row>
    <row r="30" spans="1:12">
      <c r="A30" s="2673"/>
      <c r="B30" s="2674"/>
      <c r="C30" s="2674"/>
      <c r="D30" s="2674"/>
      <c r="E30" s="2674"/>
      <c r="F30" s="2674"/>
      <c r="G30" s="2674"/>
      <c r="H30" s="2674"/>
      <c r="I30" s="2674"/>
      <c r="J30" s="2674"/>
      <c r="K30" s="2674"/>
      <c r="L30" s="2675"/>
    </row>
    <row r="31" spans="1:12" ht="147.75" customHeight="1">
      <c r="A31" s="2673"/>
      <c r="B31" s="2674"/>
      <c r="C31" s="2674"/>
      <c r="D31" s="2674"/>
      <c r="E31" s="2674"/>
      <c r="F31" s="2674"/>
      <c r="G31" s="2674"/>
      <c r="H31" s="2674"/>
      <c r="I31" s="2674"/>
      <c r="J31" s="2674"/>
      <c r="K31" s="2674"/>
      <c r="L31" s="2675"/>
    </row>
    <row r="32" spans="1:12" ht="14.4" thickBot="1">
      <c r="A32" s="2621"/>
      <c r="B32" s="2622"/>
      <c r="C32" s="2622"/>
      <c r="D32" s="2622"/>
      <c r="E32" s="2622"/>
      <c r="F32" s="2622"/>
      <c r="G32" s="2622"/>
      <c r="H32" s="2622"/>
      <c r="I32" s="2622"/>
      <c r="J32" s="2622"/>
      <c r="K32" s="2622"/>
      <c r="L32" s="2623"/>
    </row>
    <row r="33" spans="1:12" ht="15.6" thickBot="1">
      <c r="A33" s="2661" t="s">
        <v>15630</v>
      </c>
      <c r="B33" s="2662"/>
      <c r="C33" s="2662"/>
      <c r="D33" s="2662"/>
      <c r="E33" s="2662"/>
      <c r="F33" s="2662"/>
      <c r="G33" s="2662"/>
      <c r="H33" s="2662"/>
      <c r="I33" s="2662"/>
      <c r="J33" s="2662"/>
      <c r="K33" s="2662"/>
      <c r="L33" s="2663"/>
    </row>
    <row r="34" spans="1:12">
      <c r="A34" s="2618" t="s">
        <v>15634</v>
      </c>
      <c r="B34" s="2619"/>
      <c r="C34" s="2619"/>
      <c r="D34" s="2619"/>
      <c r="E34" s="2619"/>
      <c r="F34" s="2619"/>
      <c r="G34" s="2619"/>
      <c r="H34" s="2619"/>
      <c r="I34" s="2619"/>
      <c r="J34" s="2619"/>
      <c r="K34" s="2619"/>
      <c r="L34" s="2620"/>
    </row>
    <row r="35" spans="1:12" ht="14.4" thickBot="1">
      <c r="A35" s="2618"/>
      <c r="B35" s="2619"/>
      <c r="C35" s="2619"/>
      <c r="D35" s="2619"/>
      <c r="E35" s="2619"/>
      <c r="F35" s="2619"/>
      <c r="G35" s="2619"/>
      <c r="H35" s="2619"/>
      <c r="I35" s="2619"/>
      <c r="J35" s="2619"/>
      <c r="K35" s="2619"/>
      <c r="L35" s="2620"/>
    </row>
    <row r="36" spans="1:12" ht="15.6" thickBot="1">
      <c r="A36" s="2661" t="s">
        <v>15631</v>
      </c>
      <c r="B36" s="2662"/>
      <c r="C36" s="2662"/>
      <c r="D36" s="2662"/>
      <c r="E36" s="2662"/>
      <c r="F36" s="2662"/>
      <c r="G36" s="2662"/>
      <c r="H36" s="2662"/>
      <c r="I36" s="2662"/>
      <c r="J36" s="2662"/>
      <c r="K36" s="2662"/>
      <c r="L36" s="2663"/>
    </row>
    <row r="37" spans="1:12">
      <c r="A37" s="2676" t="s">
        <v>15633</v>
      </c>
      <c r="B37" s="2677"/>
      <c r="C37" s="2677"/>
      <c r="D37" s="2677"/>
      <c r="E37" s="2677"/>
      <c r="F37" s="2677"/>
      <c r="G37" s="2677"/>
      <c r="H37" s="2677"/>
      <c r="I37" s="2677"/>
      <c r="J37" s="2677"/>
      <c r="K37" s="2677"/>
      <c r="L37" s="2678"/>
    </row>
    <row r="38" spans="1:12">
      <c r="A38" s="2673"/>
      <c r="B38" s="2674"/>
      <c r="C38" s="2674"/>
      <c r="D38" s="2674"/>
      <c r="E38" s="2674"/>
      <c r="F38" s="2674"/>
      <c r="G38" s="2674"/>
      <c r="H38" s="2674"/>
      <c r="I38" s="2674"/>
      <c r="J38" s="2674"/>
      <c r="K38" s="2674"/>
      <c r="L38" s="2675"/>
    </row>
    <row r="39" spans="1:12" ht="14.4" thickBot="1">
      <c r="A39" s="2679"/>
      <c r="B39" s="2680"/>
      <c r="C39" s="2680"/>
      <c r="D39" s="2680"/>
      <c r="E39" s="2680"/>
      <c r="F39" s="2680"/>
      <c r="G39" s="2680"/>
      <c r="H39" s="2680"/>
      <c r="I39" s="2680"/>
      <c r="J39" s="2680"/>
      <c r="K39" s="2680"/>
      <c r="L39" s="2681"/>
    </row>
    <row r="40" spans="1:12" ht="15.6" thickBot="1">
      <c r="A40" s="2661" t="s">
        <v>15632</v>
      </c>
      <c r="B40" s="2662"/>
      <c r="C40" s="2662"/>
      <c r="D40" s="2662"/>
      <c r="E40" s="2662"/>
      <c r="F40" s="2662"/>
      <c r="G40" s="2662"/>
      <c r="H40" s="2662"/>
      <c r="I40" s="2662"/>
      <c r="J40" s="2662"/>
      <c r="K40" s="2662"/>
      <c r="L40" s="2663"/>
    </row>
    <row r="41" spans="1:12">
      <c r="A41" s="2670" t="s">
        <v>18471</v>
      </c>
      <c r="B41" s="2671"/>
      <c r="C41" s="2671"/>
      <c r="D41" s="2671"/>
      <c r="E41" s="2671"/>
      <c r="F41" s="2671"/>
      <c r="G41" s="2671"/>
      <c r="H41" s="2671"/>
      <c r="I41" s="2671"/>
      <c r="J41" s="2671"/>
      <c r="K41" s="2671"/>
      <c r="L41" s="2672"/>
    </row>
    <row r="42" spans="1:12">
      <c r="A42" s="2670" t="s">
        <v>18472</v>
      </c>
      <c r="B42" s="2671"/>
      <c r="C42" s="2671"/>
      <c r="D42" s="2671"/>
      <c r="E42" s="2671"/>
      <c r="F42" s="2671"/>
      <c r="G42" s="2671"/>
      <c r="H42" s="2671"/>
      <c r="I42" s="2671"/>
      <c r="J42" s="2671"/>
      <c r="K42" s="2671"/>
      <c r="L42" s="2672"/>
    </row>
    <row r="43" spans="1:12" ht="14.4" thickBot="1">
      <c r="A43" s="2615"/>
      <c r="B43" s="2616"/>
      <c r="C43" s="2616"/>
      <c r="D43" s="2616"/>
      <c r="E43" s="2616"/>
      <c r="F43" s="2616"/>
      <c r="G43" s="2616"/>
      <c r="H43" s="2616"/>
      <c r="I43" s="2616"/>
      <c r="J43" s="2616"/>
      <c r="K43" s="2616"/>
      <c r="L43" s="2617"/>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3.8"/>
  <cols>
    <col min="3" max="3" width="52.69921875" bestFit="1" customWidth="1"/>
  </cols>
  <sheetData>
    <row r="1" spans="1:4">
      <c r="A1" t="s">
        <v>18533</v>
      </c>
    </row>
    <row r="3" spans="1:4" ht="30">
      <c r="A3" s="2643" t="s">
        <v>4178</v>
      </c>
      <c r="B3" s="2643" t="s">
        <v>18527</v>
      </c>
      <c r="C3" s="2643" t="s">
        <v>18528</v>
      </c>
      <c r="D3" s="2645" t="s">
        <v>18529</v>
      </c>
    </row>
    <row r="4" spans="1:4" s="2642" customFormat="1" ht="26.4">
      <c r="A4" s="2644" t="s">
        <v>4187</v>
      </c>
      <c r="B4" s="2644">
        <v>111</v>
      </c>
      <c r="C4" s="2644" t="s">
        <v>18530</v>
      </c>
      <c r="D4" s="2644">
        <v>1.1000000000000001</v>
      </c>
    </row>
    <row r="5" spans="1:4" ht="26.4">
      <c r="A5" s="2644" t="s">
        <v>4187</v>
      </c>
      <c r="B5" s="2644">
        <v>112</v>
      </c>
      <c r="C5" s="2644" t="s">
        <v>18531</v>
      </c>
      <c r="D5" s="2644">
        <v>1.1000000000000001</v>
      </c>
    </row>
    <row r="6" spans="1:4" ht="52.8">
      <c r="A6" s="2644" t="s">
        <v>4184</v>
      </c>
      <c r="B6" s="2644">
        <v>26</v>
      </c>
      <c r="C6" s="2644" t="s">
        <v>18532</v>
      </c>
      <c r="D6" s="2644">
        <v>1.1000000000000001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3.8"/>
  <cols>
    <col min="1" max="1" width="1.59765625" style="219" customWidth="1"/>
    <col min="2" max="2" width="36.69921875" style="248" bestFit="1" customWidth="1"/>
    <col min="3" max="3" width="126" style="248" customWidth="1"/>
    <col min="4" max="4" width="33.69921875" style="248" bestFit="1" customWidth="1"/>
    <col min="5" max="5" width="40.09765625" style="248" customWidth="1"/>
    <col min="6" max="6" width="31.09765625" style="248" customWidth="1"/>
    <col min="7" max="16384" width="9" style="219"/>
  </cols>
  <sheetData>
    <row r="1" spans="1:6" ht="30" customHeight="1">
      <c r="B1" s="219"/>
      <c r="C1" s="219"/>
      <c r="D1" s="219"/>
      <c r="E1" s="219"/>
      <c r="F1" s="1951"/>
    </row>
    <row r="2" spans="1:6" ht="45" customHeight="1">
      <c r="B2" s="2682" t="s">
        <v>18</v>
      </c>
      <c r="C2" s="2682"/>
      <c r="D2" s="2682"/>
      <c r="E2" s="2682"/>
      <c r="F2" s="2682"/>
    </row>
    <row r="3" spans="1:6" ht="14.4" thickBot="1">
      <c r="B3" s="243"/>
      <c r="C3" s="243"/>
      <c r="D3" s="219"/>
      <c r="E3" s="219"/>
      <c r="F3" s="1951"/>
    </row>
    <row r="4" spans="1:6" ht="14.4" thickBot="1">
      <c r="A4" s="224"/>
      <c r="B4" s="244" t="s">
        <v>14</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3.8"/>
  <cols>
    <col min="2" max="2" width="11.796875" bestFit="1" customWidth="1"/>
    <col min="3" max="3" width="8.19921875" bestFit="1" customWidth="1"/>
  </cols>
  <sheetData>
    <row r="1" spans="1:10">
      <c r="A1" s="2507" t="s">
        <v>4178</v>
      </c>
      <c r="B1" s="2507" t="s">
        <v>17345</v>
      </c>
      <c r="C1" s="2507" t="s">
        <v>17346</v>
      </c>
      <c r="H1" t="s">
        <v>17333</v>
      </c>
      <c r="I1" t="s">
        <v>17333</v>
      </c>
      <c r="J1" t="s">
        <v>18135</v>
      </c>
    </row>
    <row r="2" spans="1:10">
      <c r="A2" t="s">
        <v>4193</v>
      </c>
      <c r="B2" t="s">
        <v>17347</v>
      </c>
      <c r="C2" t="s">
        <v>17347</v>
      </c>
      <c r="H2" t="s">
        <v>4187</v>
      </c>
      <c r="I2" t="s">
        <v>4187</v>
      </c>
      <c r="J2" t="s">
        <v>17340</v>
      </c>
    </row>
    <row r="3" spans="1:10">
      <c r="A3" t="s">
        <v>17337</v>
      </c>
      <c r="B3" t="s">
        <v>17349</v>
      </c>
      <c r="C3" t="s">
        <v>17349</v>
      </c>
      <c r="H3" t="s">
        <v>4189</v>
      </c>
      <c r="I3" t="s">
        <v>4189</v>
      </c>
      <c r="J3" t="s">
        <v>4179</v>
      </c>
    </row>
    <row r="4" spans="1:10">
      <c r="A4" t="s">
        <v>17338</v>
      </c>
      <c r="B4" t="s">
        <v>17347</v>
      </c>
      <c r="C4" t="s">
        <v>17347</v>
      </c>
      <c r="H4" t="s">
        <v>17335</v>
      </c>
      <c r="I4" t="s">
        <v>17335</v>
      </c>
    </row>
    <row r="5" spans="1:10">
      <c r="A5" t="s">
        <v>17333</v>
      </c>
      <c r="B5" t="s">
        <v>17457</v>
      </c>
      <c r="C5" t="s">
        <v>17348</v>
      </c>
      <c r="H5" t="s">
        <v>17339</v>
      </c>
      <c r="I5" t="s">
        <v>17339</v>
      </c>
    </row>
    <row r="6" spans="1:10">
      <c r="A6" t="s">
        <v>4187</v>
      </c>
      <c r="B6" t="s">
        <v>17457</v>
      </c>
      <c r="C6" t="s">
        <v>17457</v>
      </c>
      <c r="H6" t="s">
        <v>4181</v>
      </c>
      <c r="I6" t="s">
        <v>4181</v>
      </c>
    </row>
    <row r="7" spans="1:10">
      <c r="A7" t="s">
        <v>4189</v>
      </c>
      <c r="B7" t="s">
        <v>17457</v>
      </c>
      <c r="C7" t="s">
        <v>17457</v>
      </c>
      <c r="H7" t="s">
        <v>4184</v>
      </c>
      <c r="I7" t="s">
        <v>4184</v>
      </c>
    </row>
    <row r="8" spans="1:10">
      <c r="A8" t="s">
        <v>17335</v>
      </c>
      <c r="B8" t="s">
        <v>17457</v>
      </c>
      <c r="C8" t="s">
        <v>17457</v>
      </c>
      <c r="H8" t="s">
        <v>4190</v>
      </c>
      <c r="I8" t="s">
        <v>4190</v>
      </c>
    </row>
    <row r="9" spans="1:10">
      <c r="A9" t="s">
        <v>4192</v>
      </c>
      <c r="B9" t="s">
        <v>17347</v>
      </c>
      <c r="C9" t="s">
        <v>17347</v>
      </c>
      <c r="H9" t="s">
        <v>17341</v>
      </c>
      <c r="I9" t="s">
        <v>17341</v>
      </c>
    </row>
    <row r="10" spans="1:10">
      <c r="A10" t="s">
        <v>17339</v>
      </c>
      <c r="B10" t="s">
        <v>17457</v>
      </c>
      <c r="C10" t="s">
        <v>17457</v>
      </c>
      <c r="H10" t="s">
        <v>17342</v>
      </c>
      <c r="I10" t="s">
        <v>17342</v>
      </c>
    </row>
    <row r="11" spans="1:10">
      <c r="A11" t="s">
        <v>4195</v>
      </c>
      <c r="B11" t="s">
        <v>17347</v>
      </c>
      <c r="C11" t="s">
        <v>17347</v>
      </c>
      <c r="H11" t="s">
        <v>17336</v>
      </c>
      <c r="I11" t="s">
        <v>17336</v>
      </c>
    </row>
    <row r="12" spans="1:10">
      <c r="A12" t="s">
        <v>17340</v>
      </c>
      <c r="B12" t="s">
        <v>18132</v>
      </c>
      <c r="C12" t="s">
        <v>17348</v>
      </c>
      <c r="H12" t="s">
        <v>17344</v>
      </c>
      <c r="I12" t="s">
        <v>17344</v>
      </c>
    </row>
    <row r="13" spans="1:10">
      <c r="A13" t="s">
        <v>4179</v>
      </c>
      <c r="B13" t="s">
        <v>18132</v>
      </c>
      <c r="C13" t="s">
        <v>17348</v>
      </c>
      <c r="H13" t="s">
        <v>4186</v>
      </c>
      <c r="I13" t="s">
        <v>4186</v>
      </c>
    </row>
    <row r="14" spans="1:10">
      <c r="A14" t="s">
        <v>4181</v>
      </c>
      <c r="B14" t="s">
        <v>17457</v>
      </c>
      <c r="C14" t="s">
        <v>17457</v>
      </c>
      <c r="H14" t="s">
        <v>18133</v>
      </c>
      <c r="I14" t="s">
        <v>18134</v>
      </c>
    </row>
    <row r="15" spans="1:10">
      <c r="A15" t="s">
        <v>4184</v>
      </c>
      <c r="B15" t="s">
        <v>17457</v>
      </c>
      <c r="C15" t="s">
        <v>17457</v>
      </c>
    </row>
    <row r="16" spans="1:10">
      <c r="A16" t="s">
        <v>4190</v>
      </c>
      <c r="B16" t="s">
        <v>17457</v>
      </c>
      <c r="C16" t="s">
        <v>17457</v>
      </c>
    </row>
    <row r="17" spans="1:3">
      <c r="A17" t="s">
        <v>17341</v>
      </c>
      <c r="B17" t="s">
        <v>17457</v>
      </c>
      <c r="C17" t="s">
        <v>17457</v>
      </c>
    </row>
    <row r="18" spans="1:3">
      <c r="A18" t="s">
        <v>17342</v>
      </c>
      <c r="B18" t="s">
        <v>17457</v>
      </c>
      <c r="C18" t="s">
        <v>17457</v>
      </c>
    </row>
    <row r="19" spans="1:3">
      <c r="A19" t="s">
        <v>17343</v>
      </c>
      <c r="B19" t="s">
        <v>17347</v>
      </c>
      <c r="C19" t="s">
        <v>17347</v>
      </c>
    </row>
    <row r="20" spans="1:3">
      <c r="A20" t="s">
        <v>17336</v>
      </c>
      <c r="B20" t="s">
        <v>17457</v>
      </c>
      <c r="C20" t="s">
        <v>17457</v>
      </c>
    </row>
    <row r="21" spans="1:3">
      <c r="A21" t="s">
        <v>17344</v>
      </c>
      <c r="B21" t="s">
        <v>17457</v>
      </c>
      <c r="C21" t="s">
        <v>17457</v>
      </c>
    </row>
    <row r="22" spans="1:3">
      <c r="A22" t="s">
        <v>4186</v>
      </c>
      <c r="B22" t="s">
        <v>17457</v>
      </c>
      <c r="C22" t="s">
        <v>17457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26" activePane="bottomLeft" state="frozen"/>
      <selection pane="bottomLeft" activeCell="J33" sqref="J33"/>
    </sheetView>
  </sheetViews>
  <sheetFormatPr defaultColWidth="103.69921875" defaultRowHeight="15.6"/>
  <cols>
    <col min="1" max="1" width="2.5" style="224" customWidth="1"/>
    <col min="2" max="2" width="22.19921875" style="224" customWidth="1"/>
    <col min="3" max="3" width="13.5" style="224" customWidth="1"/>
    <col min="4" max="4" width="5.5" style="224" bestFit="1" customWidth="1"/>
    <col min="5" max="5" width="4.69921875" style="224" bestFit="1" customWidth="1"/>
    <col min="6" max="6" width="9.296875" style="224" bestFit="1" customWidth="1"/>
    <col min="7" max="7" width="20.19921875" style="224" bestFit="1" customWidth="1"/>
    <col min="8" max="8" width="14.19921875" style="224" bestFit="1" customWidth="1"/>
    <col min="9" max="9" width="17.09765625" style="224" bestFit="1" customWidth="1"/>
    <col min="10" max="10" width="23.09765625" style="224" bestFit="1" customWidth="1"/>
    <col min="11" max="11" width="2.59765625" style="224" customWidth="1"/>
    <col min="12" max="12" width="15.69921875" style="261" bestFit="1" customWidth="1"/>
    <col min="13" max="13" width="2.59765625" style="261" customWidth="1"/>
    <col min="14" max="14" width="47.5" style="261" bestFit="1" customWidth="1"/>
    <col min="15" max="15" width="16.69921875" style="261" customWidth="1"/>
    <col min="16" max="16" width="6.19921875" style="263" customWidth="1"/>
    <col min="17" max="17" width="20.59765625" style="224" bestFit="1" customWidth="1"/>
    <col min="18" max="18" width="6.19921875" style="263" customWidth="1"/>
    <col min="19" max="22" width="6.19921875" style="263" hidden="1" customWidth="1"/>
    <col min="23" max="23" width="6.19921875" style="224" customWidth="1"/>
    <col min="24" max="24" width="10.09765625" style="224" customWidth="1"/>
    <col min="25" max="25" width="25.09765625" style="224" customWidth="1"/>
    <col min="26" max="26" width="15.09765625" style="224" bestFit="1" customWidth="1"/>
    <col min="27" max="27" width="20.69921875" style="224" bestFit="1" customWidth="1"/>
    <col min="28" max="28" width="14.69921875" style="224" bestFit="1" customWidth="1"/>
    <col min="29" max="29" width="13.19921875" style="224" bestFit="1" customWidth="1"/>
    <col min="30" max="30" width="23.09765625" style="224" bestFit="1" customWidth="1"/>
    <col min="31" max="16384" width="103.69921875" style="224"/>
  </cols>
  <sheetData>
    <row r="1" spans="1:30" s="259" customFormat="1" ht="22.8">
      <c r="B1" s="2721" t="s">
        <v>4197</v>
      </c>
      <c r="C1" s="2721"/>
      <c r="D1" s="2721"/>
      <c r="E1" s="2721"/>
      <c r="F1" s="2721"/>
      <c r="G1" s="2721"/>
      <c r="H1" s="2721"/>
      <c r="I1" s="2721"/>
      <c r="J1" s="2721"/>
      <c r="L1" s="260"/>
      <c r="M1" s="260"/>
      <c r="N1" s="260"/>
      <c r="O1" s="261"/>
      <c r="P1" s="262"/>
      <c r="R1" s="262"/>
      <c r="S1" s="263"/>
      <c r="T1" s="263"/>
      <c r="U1" s="263"/>
      <c r="V1" s="262"/>
      <c r="W1" s="261"/>
      <c r="X1" s="2721" t="s">
        <v>4198</v>
      </c>
      <c r="Y1" s="2721"/>
      <c r="Z1" s="2721"/>
      <c r="AA1" s="2721"/>
      <c r="AB1" s="2721"/>
      <c r="AC1" s="2721"/>
      <c r="AD1" s="2721"/>
    </row>
    <row r="2" spans="1:30" s="259" customFormat="1" ht="22.8">
      <c r="B2" s="2721" t="str">
        <f>SelectCompany!B4</f>
        <v>Dŵr Cymru</v>
      </c>
      <c r="C2" s="2721"/>
      <c r="D2" s="2721"/>
      <c r="E2" s="2721"/>
      <c r="F2" s="2721"/>
      <c r="G2" s="2721"/>
      <c r="H2" s="2721"/>
      <c r="I2" s="2721"/>
      <c r="J2" s="2721"/>
      <c r="L2" s="260"/>
      <c r="M2" s="260"/>
      <c r="N2" s="260"/>
      <c r="O2" s="261"/>
      <c r="P2" s="262"/>
      <c r="R2" s="262"/>
      <c r="S2" s="263"/>
      <c r="T2" s="263"/>
      <c r="U2" s="263"/>
      <c r="V2" s="262"/>
      <c r="X2" s="2721"/>
      <c r="Y2" s="2721"/>
      <c r="Z2" s="2721"/>
      <c r="AA2" s="2721"/>
      <c r="AB2" s="2721"/>
      <c r="AC2" s="2721"/>
      <c r="AD2" s="2721"/>
    </row>
    <row r="3" spans="1:30" s="264" customFormat="1" ht="19.2">
      <c r="B3" s="2722" t="s">
        <v>4199</v>
      </c>
      <c r="C3" s="2723"/>
      <c r="D3" s="2723"/>
      <c r="E3" s="2723"/>
      <c r="F3" s="2723"/>
      <c r="G3" s="2723"/>
      <c r="H3" s="2723"/>
      <c r="I3" s="2723"/>
      <c r="J3" s="2723"/>
      <c r="K3" s="2723"/>
      <c r="L3" s="2723"/>
      <c r="M3" s="2723"/>
      <c r="N3" s="2723"/>
      <c r="O3" s="261"/>
      <c r="P3" s="262"/>
      <c r="Q3" s="265" t="s">
        <v>4200</v>
      </c>
      <c r="R3" s="262"/>
      <c r="S3" s="263"/>
      <c r="T3" s="263"/>
      <c r="U3" s="263"/>
      <c r="V3" s="262"/>
      <c r="X3" s="2724" t="s">
        <v>4199</v>
      </c>
      <c r="Y3" s="2725"/>
      <c r="Z3" s="2725"/>
      <c r="AA3" s="2725"/>
      <c r="AB3" s="2725"/>
      <c r="AC3" s="2725"/>
      <c r="AD3" s="2726"/>
    </row>
    <row r="4" spans="1:30" ht="16.2" thickBot="1">
      <c r="B4" s="266"/>
      <c r="C4" s="266"/>
      <c r="D4" s="266"/>
      <c r="E4" s="266"/>
      <c r="F4" s="2709"/>
      <c r="G4" s="2709"/>
      <c r="H4" s="2709"/>
      <c r="I4" s="2709"/>
      <c r="J4" s="2709"/>
      <c r="L4" s="260"/>
      <c r="P4" s="262"/>
      <c r="Q4" s="267"/>
      <c r="R4" s="262"/>
      <c r="S4" s="2710" t="s">
        <v>4201</v>
      </c>
      <c r="T4" s="2710"/>
      <c r="U4" s="2710"/>
      <c r="V4" s="262"/>
      <c r="X4" s="266"/>
      <c r="Y4" s="266"/>
      <c r="Z4" s="2709"/>
      <c r="AA4" s="2709"/>
      <c r="AB4" s="2709"/>
      <c r="AC4" s="2709"/>
      <c r="AD4" s="2709"/>
    </row>
    <row r="5" spans="1:30" thickTop="1">
      <c r="A5" s="197"/>
      <c r="B5" s="2711" t="s">
        <v>4202</v>
      </c>
      <c r="C5" s="2712"/>
      <c r="D5" s="2712" t="s">
        <v>4203</v>
      </c>
      <c r="E5" s="2712" t="s">
        <v>4204</v>
      </c>
      <c r="F5" s="2715" t="s">
        <v>4205</v>
      </c>
      <c r="G5" s="2715" t="s">
        <v>4206</v>
      </c>
      <c r="H5" s="2715"/>
      <c r="I5" s="2715"/>
      <c r="J5" s="2717" t="s">
        <v>4207</v>
      </c>
      <c r="K5" s="197"/>
      <c r="L5" s="2719" t="s">
        <v>4208</v>
      </c>
      <c r="M5" s="268"/>
      <c r="N5" s="2719" t="s">
        <v>4209</v>
      </c>
      <c r="O5" s="268"/>
      <c r="P5" s="262"/>
      <c r="Q5" s="267"/>
      <c r="R5" s="262"/>
      <c r="S5" s="269" t="s">
        <v>4210</v>
      </c>
      <c r="T5" s="270"/>
      <c r="U5" s="270"/>
      <c r="V5" s="262"/>
      <c r="X5" s="2711" t="s">
        <v>4202</v>
      </c>
      <c r="Y5" s="2712"/>
      <c r="Z5" s="2715" t="s">
        <v>4205</v>
      </c>
      <c r="AA5" s="2715" t="s">
        <v>4206</v>
      </c>
      <c r="AB5" s="2715"/>
      <c r="AC5" s="2715"/>
      <c r="AD5" s="2717" t="s">
        <v>4207</v>
      </c>
    </row>
    <row r="6" spans="1:30" ht="45.6" thickBot="1">
      <c r="A6" s="197"/>
      <c r="B6" s="2713"/>
      <c r="C6" s="2714"/>
      <c r="D6" s="2714"/>
      <c r="E6" s="2714"/>
      <c r="F6" s="2716"/>
      <c r="G6" s="271" t="s">
        <v>4211</v>
      </c>
      <c r="H6" s="271" t="s">
        <v>4212</v>
      </c>
      <c r="I6" s="271" t="s">
        <v>4213</v>
      </c>
      <c r="J6" s="2718"/>
      <c r="K6" s="197"/>
      <c r="L6" s="2720"/>
      <c r="M6" s="268"/>
      <c r="N6" s="2720"/>
      <c r="O6" s="268"/>
      <c r="P6" s="262"/>
      <c r="Q6" s="267"/>
      <c r="R6" s="262"/>
      <c r="S6" s="224"/>
      <c r="T6" s="224"/>
      <c r="U6" s="224"/>
      <c r="V6" s="262"/>
      <c r="X6" s="2713"/>
      <c r="Y6" s="2714"/>
      <c r="Z6" s="2716"/>
      <c r="AA6" s="271" t="s">
        <v>4211</v>
      </c>
      <c r="AB6" s="271" t="s">
        <v>4212</v>
      </c>
      <c r="AC6" s="271" t="s">
        <v>4213</v>
      </c>
      <c r="AD6" s="2718"/>
    </row>
    <row r="7" spans="1:30" s="267" customFormat="1" ht="16.2"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707" t="s">
        <v>4214</v>
      </c>
      <c r="C8" s="2708"/>
      <c r="D8" s="277" t="s">
        <v>4215</v>
      </c>
      <c r="E8" s="277">
        <v>3</v>
      </c>
      <c r="F8" s="278">
        <v>841.31700000000001</v>
      </c>
      <c r="G8" s="278">
        <v>-5.4409999999999998</v>
      </c>
      <c r="H8" s="278">
        <v>6.6740000000000004</v>
      </c>
      <c r="I8" s="1933">
        <f>IFERROR(G8 - H8,0)</f>
        <v>-12.115</v>
      </c>
      <c r="J8" s="1934">
        <f>IFERROR(F8 + I8,0)</f>
        <v>829.202</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07" t="s">
        <v>4214</v>
      </c>
      <c r="Y8" s="2708"/>
      <c r="Z8" s="278" t="s">
        <v>4217</v>
      </c>
      <c r="AA8" s="278" t="s">
        <v>4218</v>
      </c>
      <c r="AB8" s="278" t="s">
        <v>4219</v>
      </c>
      <c r="AC8" s="279" t="s">
        <v>4220</v>
      </c>
      <c r="AD8" s="280" t="s">
        <v>4221</v>
      </c>
    </row>
    <row r="9" spans="1:30" ht="15">
      <c r="A9" s="197"/>
      <c r="B9" s="2703" t="s">
        <v>4222</v>
      </c>
      <c r="C9" s="2704"/>
      <c r="D9" s="286" t="s">
        <v>4215</v>
      </c>
      <c r="E9" s="286">
        <v>3</v>
      </c>
      <c r="F9" s="287">
        <v>-848.00599999999997</v>
      </c>
      <c r="G9" s="287">
        <v>-18.934999999999999</v>
      </c>
      <c r="H9" s="287">
        <v>-7.915</v>
      </c>
      <c r="I9" s="1937">
        <f t="shared" ref="I9:I22" si="2">IFERROR(G9 - H9,0)</f>
        <v>-11.02</v>
      </c>
      <c r="J9" s="1938">
        <f t="shared" ref="J9:J21" si="3">IFERROR(F9 + I9,0)</f>
        <v>-859.02599999999995</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703" t="s">
        <v>4222</v>
      </c>
      <c r="Y9" s="2704"/>
      <c r="Z9" s="287" t="s">
        <v>4224</v>
      </c>
      <c r="AA9" s="287" t="s">
        <v>4225</v>
      </c>
      <c r="AB9" s="287" t="s">
        <v>4226</v>
      </c>
      <c r="AC9" s="288" t="s">
        <v>4227</v>
      </c>
      <c r="AD9" s="289" t="s">
        <v>4228</v>
      </c>
    </row>
    <row r="10" spans="1:30" ht="15">
      <c r="A10" s="197"/>
      <c r="B10" s="2703" t="s">
        <v>4229</v>
      </c>
      <c r="C10" s="2704"/>
      <c r="D10" s="286" t="s">
        <v>4215</v>
      </c>
      <c r="E10" s="286">
        <v>3</v>
      </c>
      <c r="F10" s="287">
        <v>0.35799999999999998</v>
      </c>
      <c r="G10" s="287">
        <v>0</v>
      </c>
      <c r="H10" s="287">
        <v>0</v>
      </c>
      <c r="I10" s="1937">
        <f>IFERROR(G10 - H10,0)</f>
        <v>0</v>
      </c>
      <c r="J10" s="1938">
        <f t="shared" si="3"/>
        <v>0.35799999999999998</v>
      </c>
      <c r="K10" s="197"/>
      <c r="L10" s="290" t="s">
        <v>4230</v>
      </c>
      <c r="M10" s="282"/>
      <c r="N10" s="291"/>
      <c r="O10" s="174"/>
      <c r="P10" s="262"/>
      <c r="Q10" s="284">
        <f t="shared" si="4"/>
        <v>0</v>
      </c>
      <c r="R10" s="262"/>
      <c r="S10" s="285">
        <f t="shared" si="5"/>
        <v>0</v>
      </c>
      <c r="T10" s="285">
        <f t="shared" si="0"/>
        <v>0</v>
      </c>
      <c r="U10" s="285">
        <f t="shared" si="1"/>
        <v>0</v>
      </c>
      <c r="V10" s="262"/>
      <c r="X10" s="2703" t="s">
        <v>4229</v>
      </c>
      <c r="Y10" s="2704"/>
      <c r="Z10" s="287" t="s">
        <v>4231</v>
      </c>
      <c r="AA10" s="287" t="s">
        <v>4232</v>
      </c>
      <c r="AB10" s="287" t="s">
        <v>4233</v>
      </c>
      <c r="AC10" s="288" t="s">
        <v>4234</v>
      </c>
      <c r="AD10" s="289" t="s">
        <v>4235</v>
      </c>
    </row>
    <row r="11" spans="1:30" ht="15">
      <c r="A11" s="197"/>
      <c r="B11" s="2703" t="s">
        <v>4236</v>
      </c>
      <c r="C11" s="2704"/>
      <c r="D11" s="286" t="s">
        <v>4215</v>
      </c>
      <c r="E11" s="286">
        <v>3</v>
      </c>
      <c r="F11" s="1937">
        <f>IFERROR(SUM(F8:F10),0)</f>
        <v>-6.3309999999999649</v>
      </c>
      <c r="G11" s="1937">
        <f>IFERROR(SUM(G8:G10),0)</f>
        <v>-24.375999999999998</v>
      </c>
      <c r="H11" s="1937">
        <f>IFERROR(SUM(H8:H10),0)</f>
        <v>-1.2409999999999997</v>
      </c>
      <c r="I11" s="1937">
        <f t="shared" si="2"/>
        <v>-23.134999999999998</v>
      </c>
      <c r="J11" s="1938">
        <f t="shared" si="3"/>
        <v>-29.465999999999962</v>
      </c>
      <c r="K11" s="197"/>
      <c r="L11" s="290" t="s">
        <v>4237</v>
      </c>
      <c r="M11" s="282"/>
      <c r="N11" s="291"/>
      <c r="O11" s="174"/>
      <c r="P11" s="262"/>
      <c r="R11" s="262"/>
      <c r="S11" s="270"/>
      <c r="T11" s="270"/>
      <c r="U11" s="270"/>
      <c r="V11" s="262"/>
      <c r="X11" s="2703" t="s">
        <v>4236</v>
      </c>
      <c r="Y11" s="2704"/>
      <c r="Z11" s="288" t="s">
        <v>4238</v>
      </c>
      <c r="AA11" s="288" t="s">
        <v>4239</v>
      </c>
      <c r="AB11" s="288" t="s">
        <v>4240</v>
      </c>
      <c r="AC11" s="288" t="s">
        <v>4241</v>
      </c>
      <c r="AD11" s="289" t="s">
        <v>4242</v>
      </c>
    </row>
    <row r="12" spans="1:30" ht="15">
      <c r="A12" s="197"/>
      <c r="B12" s="2705" t="s">
        <v>4243</v>
      </c>
      <c r="C12" s="2706"/>
      <c r="D12" s="292" t="s">
        <v>4215</v>
      </c>
      <c r="E12" s="292">
        <v>3</v>
      </c>
      <c r="F12" s="287">
        <v>0</v>
      </c>
      <c r="G12" s="287">
        <v>31.552</v>
      </c>
      <c r="H12" s="287">
        <v>0</v>
      </c>
      <c r="I12" s="1937">
        <f t="shared" si="2"/>
        <v>31.552</v>
      </c>
      <c r="J12" s="1938">
        <f t="shared" si="3"/>
        <v>31.552</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05" t="s">
        <v>4243</v>
      </c>
      <c r="Y12" s="2706"/>
      <c r="Z12" s="287" t="s">
        <v>4245</v>
      </c>
      <c r="AA12" s="287" t="s">
        <v>4246</v>
      </c>
      <c r="AB12" s="287" t="s">
        <v>4247</v>
      </c>
      <c r="AC12" s="288" t="s">
        <v>4248</v>
      </c>
      <c r="AD12" s="289" t="s">
        <v>4249</v>
      </c>
    </row>
    <row r="13" spans="1:30" ht="15">
      <c r="A13" s="197"/>
      <c r="B13" s="2697" t="s">
        <v>4250</v>
      </c>
      <c r="C13" s="2698"/>
      <c r="D13" s="293" t="s">
        <v>4215</v>
      </c>
      <c r="E13" s="293">
        <v>3</v>
      </c>
      <c r="F13" s="287">
        <v>14.733000000000001</v>
      </c>
      <c r="G13" s="287">
        <v>0</v>
      </c>
      <c r="H13" s="287">
        <v>0.9</v>
      </c>
      <c r="I13" s="1937">
        <f t="shared" si="2"/>
        <v>-0.9</v>
      </c>
      <c r="J13" s="1938">
        <f t="shared" si="3"/>
        <v>13.833</v>
      </c>
      <c r="K13" s="197"/>
      <c r="L13" s="290" t="s">
        <v>4251</v>
      </c>
      <c r="M13" s="282"/>
      <c r="N13" s="291"/>
      <c r="O13" s="174"/>
      <c r="P13" s="262"/>
      <c r="Q13" s="284">
        <f t="shared" si="6"/>
        <v>0</v>
      </c>
      <c r="R13" s="262"/>
      <c r="S13" s="285">
        <f t="shared" si="7"/>
        <v>0</v>
      </c>
      <c r="T13" s="285">
        <f t="shared" si="8"/>
        <v>0</v>
      </c>
      <c r="U13" s="285">
        <f t="shared" si="9"/>
        <v>0</v>
      </c>
      <c r="V13" s="262"/>
      <c r="X13" s="2697" t="s">
        <v>4250</v>
      </c>
      <c r="Y13" s="2698"/>
      <c r="Z13" s="287" t="s">
        <v>4252</v>
      </c>
      <c r="AA13" s="287" t="s">
        <v>4253</v>
      </c>
      <c r="AB13" s="287" t="s">
        <v>4254</v>
      </c>
      <c r="AC13" s="288" t="s">
        <v>4255</v>
      </c>
      <c r="AD13" s="289" t="s">
        <v>4256</v>
      </c>
    </row>
    <row r="14" spans="1:30" ht="15">
      <c r="A14" s="197"/>
      <c r="B14" s="2701" t="s">
        <v>4257</v>
      </c>
      <c r="C14" s="2702"/>
      <c r="D14" s="294" t="s">
        <v>4215</v>
      </c>
      <c r="E14" s="294">
        <v>3</v>
      </c>
      <c r="F14" s="287">
        <v>-506.13900000000001</v>
      </c>
      <c r="G14" s="287">
        <v>-26.088000000000001</v>
      </c>
      <c r="H14" s="287">
        <v>0</v>
      </c>
      <c r="I14" s="1937">
        <f t="shared" si="2"/>
        <v>-26.088000000000001</v>
      </c>
      <c r="J14" s="1938">
        <f t="shared" si="3"/>
        <v>-532.22699999999998</v>
      </c>
      <c r="K14" s="197"/>
      <c r="L14" s="290" t="s">
        <v>4258</v>
      </c>
      <c r="M14" s="282"/>
      <c r="N14" s="291"/>
      <c r="O14" s="282"/>
      <c r="P14" s="262"/>
      <c r="Q14" s="284">
        <f t="shared" si="6"/>
        <v>0</v>
      </c>
      <c r="R14" s="262"/>
      <c r="S14" s="285">
        <f t="shared" si="7"/>
        <v>0</v>
      </c>
      <c r="T14" s="285">
        <f t="shared" si="8"/>
        <v>0</v>
      </c>
      <c r="U14" s="285">
        <f t="shared" si="9"/>
        <v>0</v>
      </c>
      <c r="V14" s="262"/>
      <c r="X14" s="2701" t="s">
        <v>4257</v>
      </c>
      <c r="Y14" s="2702"/>
      <c r="Z14" s="287" t="s">
        <v>4259</v>
      </c>
      <c r="AA14" s="287" t="s">
        <v>4260</v>
      </c>
      <c r="AB14" s="287" t="s">
        <v>4261</v>
      </c>
      <c r="AC14" s="288" t="s">
        <v>4262</v>
      </c>
      <c r="AD14" s="289" t="s">
        <v>4263</v>
      </c>
    </row>
    <row r="15" spans="1:30" ht="15">
      <c r="A15" s="197"/>
      <c r="B15" s="2699" t="s">
        <v>4264</v>
      </c>
      <c r="C15" s="2700"/>
      <c r="D15" s="295" t="s">
        <v>4215</v>
      </c>
      <c r="E15" s="295">
        <v>3</v>
      </c>
      <c r="F15" s="287">
        <v>0</v>
      </c>
      <c r="G15" s="287">
        <v>-2.2120000000000002</v>
      </c>
      <c r="H15" s="287">
        <v>0</v>
      </c>
      <c r="I15" s="1937">
        <f t="shared" si="2"/>
        <v>-2.2120000000000002</v>
      </c>
      <c r="J15" s="1938">
        <f t="shared" si="3"/>
        <v>-2.2120000000000002</v>
      </c>
      <c r="K15" s="197"/>
      <c r="L15" s="290" t="s">
        <v>4265</v>
      </c>
      <c r="M15" s="282"/>
      <c r="N15" s="291"/>
      <c r="O15" s="282"/>
      <c r="P15" s="262"/>
      <c r="Q15" s="284">
        <f t="shared" si="6"/>
        <v>0</v>
      </c>
      <c r="R15" s="262"/>
      <c r="S15" s="285">
        <f t="shared" si="7"/>
        <v>0</v>
      </c>
      <c r="T15" s="285">
        <f t="shared" si="8"/>
        <v>0</v>
      </c>
      <c r="U15" s="285">
        <f t="shared" si="9"/>
        <v>0</v>
      </c>
      <c r="V15" s="262"/>
      <c r="X15" s="2699" t="s">
        <v>4264</v>
      </c>
      <c r="Y15" s="2700"/>
      <c r="Z15" s="287" t="s">
        <v>4266</v>
      </c>
      <c r="AA15" s="287" t="s">
        <v>4267</v>
      </c>
      <c r="AB15" s="287" t="s">
        <v>4268</v>
      </c>
      <c r="AC15" s="288" t="s">
        <v>4269</v>
      </c>
      <c r="AD15" s="289" t="s">
        <v>4270</v>
      </c>
    </row>
    <row r="16" spans="1:30" ht="15">
      <c r="A16" s="197"/>
      <c r="B16" s="2699" t="s">
        <v>4271</v>
      </c>
      <c r="C16" s="2700"/>
      <c r="D16" s="295" t="s">
        <v>4215</v>
      </c>
      <c r="E16" s="295">
        <v>3</v>
      </c>
      <c r="F16" s="1937">
        <f>IFERROR(SUM(F11:F15),0)</f>
        <v>-497.73699999999997</v>
      </c>
      <c r="G16" s="1937">
        <f>IFERROR(SUM(G11:G15),0)</f>
        <v>-21.123999999999999</v>
      </c>
      <c r="H16" s="1937">
        <f>IFERROR(SUM(H11:H15),0)</f>
        <v>-0.34099999999999964</v>
      </c>
      <c r="I16" s="1937">
        <f t="shared" si="2"/>
        <v>-20.782999999999998</v>
      </c>
      <c r="J16" s="1938">
        <f t="shared" si="3"/>
        <v>-518.52</v>
      </c>
      <c r="K16" s="197"/>
      <c r="L16" s="290" t="s">
        <v>4272</v>
      </c>
      <c r="M16" s="282"/>
      <c r="N16" s="291"/>
      <c r="O16" s="282"/>
      <c r="P16" s="262"/>
      <c r="R16" s="262"/>
      <c r="S16" s="270"/>
      <c r="T16" s="270"/>
      <c r="U16" s="270"/>
      <c r="V16" s="262"/>
      <c r="X16" s="2699" t="s">
        <v>4271</v>
      </c>
      <c r="Y16" s="2700"/>
      <c r="Z16" s="288" t="s">
        <v>4273</v>
      </c>
      <c r="AA16" s="288" t="s">
        <v>4274</v>
      </c>
      <c r="AB16" s="288" t="s">
        <v>4275</v>
      </c>
      <c r="AC16" s="288" t="s">
        <v>4276</v>
      </c>
      <c r="AD16" s="289" t="s">
        <v>4277</v>
      </c>
    </row>
    <row r="17" spans="1:30" ht="15">
      <c r="A17" s="197"/>
      <c r="B17" s="2699" t="s">
        <v>4278</v>
      </c>
      <c r="C17" s="2700"/>
      <c r="D17" s="295" t="s">
        <v>4215</v>
      </c>
      <c r="E17" s="295">
        <v>3</v>
      </c>
      <c r="F17" s="287">
        <v>115.364</v>
      </c>
      <c r="G17" s="287">
        <v>0</v>
      </c>
      <c r="H17" s="287">
        <v>0</v>
      </c>
      <c r="I17" s="1937">
        <f t="shared" si="2"/>
        <v>0</v>
      </c>
      <c r="J17" s="1938">
        <f t="shared" si="3"/>
        <v>115.364</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99" t="s">
        <v>4278</v>
      </c>
      <c r="Y17" s="2700"/>
      <c r="Z17" s="287" t="s">
        <v>4280</v>
      </c>
      <c r="AA17" s="287" t="s">
        <v>4281</v>
      </c>
      <c r="AB17" s="287" t="s">
        <v>4282</v>
      </c>
      <c r="AC17" s="288" t="s">
        <v>4283</v>
      </c>
      <c r="AD17" s="289" t="s">
        <v>4284</v>
      </c>
    </row>
    <row r="18" spans="1:30" ht="15">
      <c r="A18" s="197"/>
      <c r="B18" s="2697" t="s">
        <v>4285</v>
      </c>
      <c r="C18" s="2698"/>
      <c r="D18" s="293" t="s">
        <v>4215</v>
      </c>
      <c r="E18" s="293">
        <v>3</v>
      </c>
      <c r="F18" s="1937">
        <f>IFERROR(SUM(F16:F17),0)</f>
        <v>-382.37299999999993</v>
      </c>
      <c r="G18" s="1937">
        <f>IFERROR(SUM(G16:G17),0)</f>
        <v>-21.123999999999999</v>
      </c>
      <c r="H18" s="1937">
        <f>IFERROR(SUM(H16:H17),0)</f>
        <v>-0.34099999999999964</v>
      </c>
      <c r="I18" s="1937">
        <f t="shared" si="2"/>
        <v>-20.782999999999998</v>
      </c>
      <c r="J18" s="1938">
        <f t="shared" si="3"/>
        <v>-403.15599999999995</v>
      </c>
      <c r="K18" s="197"/>
      <c r="L18" s="290" t="s">
        <v>4286</v>
      </c>
      <c r="M18" s="282"/>
      <c r="N18" s="291"/>
      <c r="O18" s="282"/>
      <c r="P18" s="262"/>
      <c r="R18" s="262"/>
      <c r="S18" s="270"/>
      <c r="T18" s="270"/>
      <c r="U18" s="270"/>
      <c r="V18" s="262"/>
      <c r="X18" s="2697" t="s">
        <v>4285</v>
      </c>
      <c r="Y18" s="2698"/>
      <c r="Z18" s="288" t="s">
        <v>4287</v>
      </c>
      <c r="AA18" s="288" t="s">
        <v>4288</v>
      </c>
      <c r="AB18" s="288" t="s">
        <v>4289</v>
      </c>
      <c r="AC18" s="288" t="s">
        <v>4290</v>
      </c>
      <c r="AD18" s="289" t="s">
        <v>4291</v>
      </c>
    </row>
    <row r="19" spans="1:30" ht="15">
      <c r="A19" s="197"/>
      <c r="B19" s="2701" t="s">
        <v>4292</v>
      </c>
      <c r="C19" s="2702"/>
      <c r="D19" s="293" t="s">
        <v>4215</v>
      </c>
      <c r="E19" s="293">
        <v>3</v>
      </c>
      <c r="F19" s="1956">
        <f>IFERROR((-F27),0)</f>
        <v>5.4000000000000006E-2</v>
      </c>
      <c r="G19" s="1956">
        <f>IFERROR((-G27),0)</f>
        <v>0</v>
      </c>
      <c r="H19" s="1956">
        <f>IFERROR((-H27),0)</f>
        <v>0</v>
      </c>
      <c r="I19" s="1937">
        <f t="shared" si="2"/>
        <v>0</v>
      </c>
      <c r="J19" s="1938">
        <f t="shared" si="3"/>
        <v>5.4000000000000006E-2</v>
      </c>
      <c r="K19" s="197"/>
      <c r="L19" s="290" t="s">
        <v>4293</v>
      </c>
      <c r="M19" s="282"/>
      <c r="N19" s="291"/>
      <c r="O19" s="282"/>
      <c r="P19" s="262"/>
      <c r="R19" s="262"/>
      <c r="S19" s="270"/>
      <c r="T19" s="270"/>
      <c r="U19" s="270"/>
      <c r="V19" s="262"/>
      <c r="X19" s="2701" t="s">
        <v>4292</v>
      </c>
      <c r="Y19" s="2702"/>
      <c r="Z19" s="381" t="s">
        <v>4294</v>
      </c>
      <c r="AA19" s="381" t="s">
        <v>4295</v>
      </c>
      <c r="AB19" s="381" t="s">
        <v>4296</v>
      </c>
      <c r="AC19" s="288" t="s">
        <v>4297</v>
      </c>
      <c r="AD19" s="289" t="s">
        <v>4298</v>
      </c>
    </row>
    <row r="20" spans="1:30" ht="15">
      <c r="A20" s="197"/>
      <c r="B20" s="2697" t="s">
        <v>4299</v>
      </c>
      <c r="C20" s="2698"/>
      <c r="D20" s="293" t="s">
        <v>4215</v>
      </c>
      <c r="E20" s="293">
        <v>3</v>
      </c>
      <c r="F20" s="287">
        <v>83.009</v>
      </c>
      <c r="G20" s="287">
        <v>5.2809999999999997</v>
      </c>
      <c r="H20" s="287">
        <v>8.5999999999999993E-2</v>
      </c>
      <c r="I20" s="1937">
        <f t="shared" si="2"/>
        <v>5.1949999999999994</v>
      </c>
      <c r="J20" s="1938">
        <f t="shared" si="3"/>
        <v>88.203999999999994</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97" t="s">
        <v>4299</v>
      </c>
      <c r="Y20" s="2698"/>
      <c r="Z20" s="287" t="s">
        <v>4301</v>
      </c>
      <c r="AA20" s="287" t="s">
        <v>4302</v>
      </c>
      <c r="AB20" s="287" t="s">
        <v>4303</v>
      </c>
      <c r="AC20" s="288" t="s">
        <v>4304</v>
      </c>
      <c r="AD20" s="289" t="s">
        <v>4305</v>
      </c>
    </row>
    <row r="21" spans="1:30" ht="15">
      <c r="A21" s="197"/>
      <c r="B21" s="2697" t="s">
        <v>4306</v>
      </c>
      <c r="C21" s="2698"/>
      <c r="D21" s="293" t="s">
        <v>4215</v>
      </c>
      <c r="E21" s="293">
        <v>3</v>
      </c>
      <c r="F21" s="1937">
        <f>IFERROR(SUM(F18:F20),0)</f>
        <v>-299.30999999999995</v>
      </c>
      <c r="G21" s="1937">
        <f>IFERROR(SUM(G18:G20),0)</f>
        <v>-15.843</v>
      </c>
      <c r="H21" s="1937">
        <f>IFERROR(SUM(H18:H20),0)</f>
        <v>-0.25499999999999967</v>
      </c>
      <c r="I21" s="1937">
        <f t="shared" si="2"/>
        <v>-15.588000000000001</v>
      </c>
      <c r="J21" s="1938">
        <f t="shared" si="3"/>
        <v>-314.89799999999997</v>
      </c>
      <c r="K21" s="197"/>
      <c r="L21" s="290" t="s">
        <v>4307</v>
      </c>
      <c r="M21" s="282"/>
      <c r="N21" s="291"/>
      <c r="O21" s="282"/>
      <c r="P21" s="262"/>
      <c r="R21" s="262"/>
      <c r="S21" s="270"/>
      <c r="T21" s="270"/>
      <c r="U21" s="270"/>
      <c r="V21" s="262"/>
      <c r="X21" s="2697" t="s">
        <v>4306</v>
      </c>
      <c r="Y21" s="2698"/>
      <c r="Z21" s="288" t="s">
        <v>4308</v>
      </c>
      <c r="AA21" s="288" t="s">
        <v>4309</v>
      </c>
      <c r="AB21" s="288" t="s">
        <v>4310</v>
      </c>
      <c r="AC21" s="288" t="s">
        <v>4311</v>
      </c>
      <c r="AD21" s="289" t="s">
        <v>4312</v>
      </c>
    </row>
    <row r="22" spans="1:30" thickBot="1">
      <c r="A22" s="197"/>
      <c r="B22" s="2693" t="s">
        <v>4313</v>
      </c>
      <c r="C22" s="2694"/>
      <c r="D22" s="296" t="s">
        <v>4215</v>
      </c>
      <c r="E22" s="296">
        <v>3</v>
      </c>
      <c r="F22" s="297">
        <v>0</v>
      </c>
      <c r="G22" s="297">
        <v>0</v>
      </c>
      <c r="H22" s="297">
        <v>0</v>
      </c>
      <c r="I22" s="1939">
        <f t="shared" si="2"/>
        <v>0</v>
      </c>
      <c r="J22" s="1940">
        <f>IFERROR(F22 + I22,0)</f>
        <v>0</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93" t="s">
        <v>4313</v>
      </c>
      <c r="Y22" s="2694"/>
      <c r="Z22" s="297" t="s">
        <v>4315</v>
      </c>
      <c r="AA22" s="297" t="s">
        <v>4316</v>
      </c>
      <c r="AB22" s="297" t="s">
        <v>4317</v>
      </c>
      <c r="AC22" s="298" t="s">
        <v>4318</v>
      </c>
      <c r="AD22" s="299" t="s">
        <v>4319</v>
      </c>
    </row>
    <row r="23" spans="1:30" ht="16.2"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2" thickTop="1" thickBot="1">
      <c r="A24" s="197"/>
      <c r="B24" s="2683" t="s">
        <v>4320</v>
      </c>
      <c r="C24" s="2684"/>
      <c r="D24" s="268"/>
      <c r="E24" s="268"/>
      <c r="F24" s="1917"/>
      <c r="G24" s="1917"/>
      <c r="H24" s="1917"/>
      <c r="I24" s="1917"/>
      <c r="J24" s="1917"/>
      <c r="K24" s="106"/>
      <c r="L24" s="305"/>
      <c r="M24" s="305"/>
      <c r="N24" s="305"/>
      <c r="O24" s="305"/>
      <c r="P24" s="306"/>
      <c r="R24" s="306"/>
      <c r="S24" s="270"/>
      <c r="T24" s="270"/>
      <c r="U24" s="270"/>
      <c r="V24" s="306"/>
      <c r="X24" s="2683" t="s">
        <v>4320</v>
      </c>
      <c r="Y24" s="2684"/>
      <c r="Z24" s="309"/>
      <c r="AA24" s="309"/>
      <c r="AB24" s="309"/>
      <c r="AC24" s="309"/>
      <c r="AD24" s="309"/>
    </row>
    <row r="25" spans="1:30" thickTop="1">
      <c r="A25" s="197"/>
      <c r="B25" s="2691" t="s">
        <v>4321</v>
      </c>
      <c r="C25" s="2692"/>
      <c r="D25" s="310" t="s">
        <v>4215</v>
      </c>
      <c r="E25" s="310">
        <v>3</v>
      </c>
      <c r="F25" s="278">
        <v>0.10299999999999999</v>
      </c>
      <c r="G25" s="278">
        <v>0</v>
      </c>
      <c r="H25" s="278">
        <v>0</v>
      </c>
      <c r="I25" s="1933">
        <f t="shared" ref="I25:I27" si="13">IFERROR(G25 - H25,0)</f>
        <v>0</v>
      </c>
      <c r="J25" s="1934">
        <f t="shared" ref="J25:J27" si="14">IFERROR(F25 + I25,0)</f>
        <v>0.10299999999999999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91" t="s">
        <v>4321</v>
      </c>
      <c r="Y25" s="2692"/>
      <c r="Z25" s="278" t="s">
        <v>4323</v>
      </c>
      <c r="AA25" s="278" t="s">
        <v>4324</v>
      </c>
      <c r="AB25" s="278" t="s">
        <v>4325</v>
      </c>
      <c r="AC25" s="279" t="s">
        <v>4326</v>
      </c>
      <c r="AD25" s="280" t="s">
        <v>4327</v>
      </c>
    </row>
    <row r="26" spans="1:30" ht="15">
      <c r="A26" s="197"/>
      <c r="B26" s="2695" t="s">
        <v>4328</v>
      </c>
      <c r="C26" s="2696"/>
      <c r="D26" s="311" t="s">
        <v>4215</v>
      </c>
      <c r="E26" s="311">
        <v>3</v>
      </c>
      <c r="F26" s="287">
        <v>-0.157</v>
      </c>
      <c r="G26" s="287">
        <v>0</v>
      </c>
      <c r="H26" s="287">
        <v>0</v>
      </c>
      <c r="I26" s="1935">
        <f t="shared" si="13"/>
        <v>0</v>
      </c>
      <c r="J26" s="1936">
        <f t="shared" si="14"/>
        <v>-0.157</v>
      </c>
      <c r="K26" s="106"/>
      <c r="L26" s="290" t="s">
        <v>4329</v>
      </c>
      <c r="M26" s="282"/>
      <c r="N26" s="291"/>
      <c r="O26" s="282"/>
      <c r="P26" s="262"/>
      <c r="Q26" s="284">
        <f t="shared" si="15"/>
        <v>0</v>
      </c>
      <c r="R26" s="262"/>
      <c r="S26" s="285">
        <f t="shared" si="16"/>
        <v>0</v>
      </c>
      <c r="T26" s="285">
        <f t="shared" si="17"/>
        <v>0</v>
      </c>
      <c r="U26" s="285">
        <f t="shared" si="18"/>
        <v>0</v>
      </c>
      <c r="V26" s="262"/>
      <c r="X26" s="2695" t="s">
        <v>4330</v>
      </c>
      <c r="Y26" s="2696"/>
      <c r="Z26" s="287" t="s">
        <v>4331</v>
      </c>
      <c r="AA26" s="287" t="s">
        <v>4332</v>
      </c>
      <c r="AB26" s="287" t="s">
        <v>4333</v>
      </c>
      <c r="AC26" s="312" t="s">
        <v>4334</v>
      </c>
      <c r="AD26" s="313" t="s">
        <v>4335</v>
      </c>
    </row>
    <row r="27" spans="1:30" thickBot="1">
      <c r="A27" s="197"/>
      <c r="B27" s="2693" t="s">
        <v>4292</v>
      </c>
      <c r="C27" s="2694"/>
      <c r="D27" s="296" t="s">
        <v>4215</v>
      </c>
      <c r="E27" s="296">
        <v>3</v>
      </c>
      <c r="F27" s="1931">
        <f>IFERROR(SUM( F25:F26 ),0)</f>
        <v>-5.4000000000000006E-2</v>
      </c>
      <c r="G27" s="1931">
        <f>IFERROR(SUM( G25:G26 ),0)</f>
        <v>0</v>
      </c>
      <c r="H27" s="1931">
        <f>IFERROR(SUM( H25:H26 ),0)</f>
        <v>0</v>
      </c>
      <c r="I27" s="1931">
        <f t="shared" si="13"/>
        <v>0</v>
      </c>
      <c r="J27" s="1932">
        <f t="shared" si="14"/>
        <v>-5.4000000000000006E-2</v>
      </c>
      <c r="K27" s="106"/>
      <c r="L27" s="300" t="s">
        <v>4336</v>
      </c>
      <c r="M27" s="301"/>
      <c r="N27" s="302"/>
      <c r="O27" s="301"/>
      <c r="P27" s="262"/>
      <c r="R27" s="262"/>
      <c r="S27" s="270"/>
      <c r="T27" s="270"/>
      <c r="U27" s="270"/>
      <c r="V27" s="262"/>
      <c r="X27" s="2693" t="s">
        <v>4292</v>
      </c>
      <c r="Y27" s="2694"/>
      <c r="Z27" s="314" t="s">
        <v>4337</v>
      </c>
      <c r="AA27" s="314" t="s">
        <v>4338</v>
      </c>
      <c r="AB27" s="314" t="s">
        <v>4339</v>
      </c>
      <c r="AC27" s="314" t="s">
        <v>4340</v>
      </c>
      <c r="AD27" s="315" t="s">
        <v>4341</v>
      </c>
    </row>
    <row r="28" spans="1:30" ht="16.2"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2" thickTop="1" thickBot="1">
      <c r="A29" s="197"/>
      <c r="B29" s="2683" t="s">
        <v>4342</v>
      </c>
      <c r="C29" s="2684"/>
      <c r="D29" s="268"/>
      <c r="E29" s="268"/>
      <c r="F29" s="1918"/>
      <c r="G29" s="1917"/>
      <c r="H29" s="1917"/>
      <c r="I29" s="1917"/>
      <c r="J29" s="1917"/>
      <c r="K29" s="106"/>
      <c r="L29" s="305"/>
      <c r="M29" s="305"/>
      <c r="N29" s="305"/>
      <c r="O29" s="305"/>
      <c r="P29" s="306"/>
      <c r="R29" s="306"/>
      <c r="S29" s="307"/>
      <c r="T29" s="308"/>
      <c r="U29" s="308"/>
      <c r="V29" s="306"/>
      <c r="X29" s="2683" t="s">
        <v>4342</v>
      </c>
      <c r="Y29" s="2684"/>
      <c r="Z29" s="316"/>
      <c r="AA29" s="309"/>
      <c r="AB29" s="309"/>
      <c r="AC29" s="309"/>
      <c r="AD29" s="309"/>
    </row>
    <row r="30" spans="1:30" thickTop="1">
      <c r="A30" s="197"/>
      <c r="B30" s="2687" t="s">
        <v>4343</v>
      </c>
      <c r="C30" s="2688"/>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687" t="s">
        <v>4343</v>
      </c>
      <c r="Y30" s="2688"/>
      <c r="Z30" s="319"/>
      <c r="AA30" s="320"/>
      <c r="AB30" s="321" t="s">
        <v>4345</v>
      </c>
      <c r="AC30" s="320"/>
      <c r="AD30" s="322"/>
    </row>
    <row r="31" spans="1:30" ht="15">
      <c r="A31" s="197"/>
      <c r="B31" s="2689" t="s">
        <v>4346</v>
      </c>
      <c r="C31" s="2690"/>
      <c r="D31" s="325" t="s">
        <v>4215</v>
      </c>
      <c r="E31" s="325">
        <v>3</v>
      </c>
      <c r="F31" s="1923"/>
      <c r="G31" s="1924"/>
      <c r="H31" s="1925">
        <v>2.1429999999999998</v>
      </c>
      <c r="I31" s="1924"/>
      <c r="J31" s="1926"/>
      <c r="K31" s="106"/>
      <c r="L31" s="330" t="s">
        <v>4347</v>
      </c>
      <c r="M31" s="301"/>
      <c r="N31" s="331"/>
      <c r="O31" s="301"/>
      <c r="P31" s="262"/>
      <c r="Q31" s="284">
        <f t="shared" si="19"/>
        <v>0</v>
      </c>
      <c r="R31" s="262"/>
      <c r="S31" s="307"/>
      <c r="T31" s="270"/>
      <c r="U31" s="285">
        <f t="shared" si="20"/>
        <v>0</v>
      </c>
      <c r="V31" s="262"/>
      <c r="X31" s="2689" t="s">
        <v>4346</v>
      </c>
      <c r="Y31" s="2690"/>
      <c r="Z31" s="326"/>
      <c r="AA31" s="327"/>
      <c r="AB31" s="328" t="s">
        <v>4348</v>
      </c>
      <c r="AC31" s="327"/>
      <c r="AD31" s="329"/>
    </row>
    <row r="32" spans="1:30" ht="15">
      <c r="A32" s="197"/>
      <c r="B32" s="2689" t="s">
        <v>4349</v>
      </c>
      <c r="C32" s="2690"/>
      <c r="D32" s="325" t="s">
        <v>4215</v>
      </c>
      <c r="E32" s="325">
        <v>3</v>
      </c>
      <c r="F32" s="1923"/>
      <c r="G32" s="1924"/>
      <c r="H32" s="1925">
        <v>4.5309999999999997</v>
      </c>
      <c r="I32" s="1924"/>
      <c r="J32" s="1926"/>
      <c r="K32" s="106"/>
      <c r="L32" s="330" t="s">
        <v>4350</v>
      </c>
      <c r="M32" s="301"/>
      <c r="N32" s="331"/>
      <c r="O32" s="301"/>
      <c r="P32" s="262"/>
      <c r="Q32" s="284">
        <f t="shared" si="19"/>
        <v>0</v>
      </c>
      <c r="R32" s="262"/>
      <c r="S32" s="307"/>
      <c r="T32" s="270"/>
      <c r="U32" s="285">
        <f t="shared" si="20"/>
        <v>0</v>
      </c>
      <c r="V32" s="262"/>
      <c r="X32" s="2689" t="s">
        <v>4349</v>
      </c>
      <c r="Y32" s="2690"/>
      <c r="Z32" s="326"/>
      <c r="AA32" s="327"/>
      <c r="AB32" s="328" t="s">
        <v>4351</v>
      </c>
      <c r="AC32" s="327"/>
      <c r="AD32" s="329"/>
    </row>
    <row r="33" spans="1:30" thickBot="1">
      <c r="A33" s="197"/>
      <c r="B33" s="2685" t="s">
        <v>4214</v>
      </c>
      <c r="C33" s="2686"/>
      <c r="D33" s="332" t="s">
        <v>4215</v>
      </c>
      <c r="E33" s="332">
        <v>3</v>
      </c>
      <c r="F33" s="1927"/>
      <c r="G33" s="1928"/>
      <c r="H33" s="1930">
        <f>IFERROR(SUM(H30:H32), 0)</f>
        <v>6.6739999999999995</v>
      </c>
      <c r="I33" s="1928"/>
      <c r="J33" s="1929"/>
      <c r="K33" s="106"/>
      <c r="L33" s="300" t="s">
        <v>4352</v>
      </c>
      <c r="M33" s="301"/>
      <c r="N33" s="302"/>
      <c r="O33" s="301"/>
      <c r="P33" s="262"/>
      <c r="Q33" s="284"/>
      <c r="R33" s="262"/>
      <c r="S33" s="307"/>
      <c r="T33" s="270"/>
      <c r="V33" s="262"/>
      <c r="X33" s="2685" t="s">
        <v>4214</v>
      </c>
      <c r="Y33" s="2686"/>
      <c r="Z33" s="333"/>
      <c r="AA33" s="334"/>
      <c r="AB33" s="335" t="s">
        <v>4353</v>
      </c>
      <c r="AC33" s="334"/>
      <c r="AD33" s="336"/>
    </row>
    <row r="34" spans="1:30" ht="16.2"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1" priority="15" operator="equal">
      <formula>0</formula>
    </cfRule>
  </conditionalFormatting>
  <conditionalFormatting sqref="Q12:Q15 Q17 Q20 Q22 Q25:Q26 Q30:Q33">
    <cfRule type="cellIs" dxfId="21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C1" zoomScale="90" zoomScaleNormal="90" zoomScaleSheetLayoutView="100" workbookViewId="0">
      <pane ySplit="6" topLeftCell="A8" activePane="bottomLeft" state="frozen"/>
      <selection pane="bottomLeft" activeCell="N8" sqref="N8"/>
    </sheetView>
  </sheetViews>
  <sheetFormatPr defaultColWidth="9.09765625" defaultRowHeight="13.8"/>
  <cols>
    <col min="1" max="1" width="1.59765625" style="224" customWidth="1"/>
    <col min="2" max="2" width="14" style="224" customWidth="1"/>
    <col min="3" max="3" width="32.59765625" style="224" customWidth="1"/>
    <col min="4" max="4" width="5.5" style="224" bestFit="1" customWidth="1"/>
    <col min="5" max="5" width="4.69921875" style="224" bestFit="1" customWidth="1"/>
    <col min="6" max="6" width="9" style="224" bestFit="1" customWidth="1"/>
    <col min="7" max="7" width="18.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0.19921875" style="224" bestFit="1" customWidth="1"/>
    <col min="18" max="18" width="1.59765625" style="263" customWidth="1"/>
    <col min="19" max="19" width="20.19921875" style="263" hidden="1" customWidth="1"/>
    <col min="20" max="22" width="1.59765625" style="263" hidden="1" customWidth="1"/>
    <col min="23" max="23" width="1.59765625" style="224" customWidth="1"/>
    <col min="24" max="24" width="30.09765625" style="224" bestFit="1" customWidth="1"/>
    <col min="25" max="25" width="19.69921875" style="224" customWidth="1"/>
    <col min="26" max="26" width="13.09765625" style="224" bestFit="1" customWidth="1"/>
    <col min="27" max="27" width="19.09765625" style="224" customWidth="1"/>
    <col min="28" max="28" width="10.69921875" style="224" bestFit="1" customWidth="1"/>
    <col min="29" max="29" width="11.69921875" style="224" bestFit="1" customWidth="1"/>
    <col min="30" max="30" width="23.09765625" style="224" bestFit="1" customWidth="1"/>
    <col min="31" max="31" width="1.59765625" style="224" customWidth="1"/>
    <col min="32" max="16384" width="9.09765625" style="224"/>
  </cols>
  <sheetData>
    <row r="1" spans="1:31" s="259" customFormat="1" ht="22.8">
      <c r="B1" s="2721" t="s">
        <v>4354</v>
      </c>
      <c r="C1" s="2721"/>
      <c r="D1" s="2721"/>
      <c r="E1" s="2721"/>
      <c r="F1" s="2721"/>
      <c r="G1" s="2721"/>
      <c r="H1" s="2721"/>
      <c r="I1" s="2721"/>
      <c r="J1" s="339"/>
      <c r="P1" s="340"/>
      <c r="Q1" s="267"/>
      <c r="R1" s="262"/>
      <c r="S1" s="263"/>
      <c r="T1" s="263"/>
      <c r="U1" s="263"/>
      <c r="V1" s="262"/>
      <c r="X1" s="2721" t="s">
        <v>4198</v>
      </c>
      <c r="Y1" s="2721"/>
      <c r="Z1" s="2721"/>
      <c r="AA1" s="2721"/>
      <c r="AB1" s="2721"/>
      <c r="AC1" s="2721"/>
      <c r="AD1" s="339"/>
      <c r="AE1" s="341"/>
    </row>
    <row r="2" spans="1:31" s="259" customFormat="1" ht="22.8">
      <c r="B2" s="2721" t="str">
        <f>SelectCompany!B4</f>
        <v>Dŵr Cymru</v>
      </c>
      <c r="C2" s="2721"/>
      <c r="D2" s="2721"/>
      <c r="E2" s="2721"/>
      <c r="F2" s="2721"/>
      <c r="G2" s="2721"/>
      <c r="H2" s="2721"/>
      <c r="I2" s="2721"/>
      <c r="J2" s="339"/>
      <c r="P2" s="340"/>
      <c r="Q2" s="267"/>
      <c r="R2" s="262"/>
      <c r="S2" s="263"/>
      <c r="T2" s="263"/>
      <c r="U2" s="263"/>
      <c r="V2" s="262"/>
      <c r="X2" s="2721"/>
      <c r="Y2" s="2721"/>
      <c r="Z2" s="2721"/>
      <c r="AA2" s="2721"/>
      <c r="AB2" s="2721"/>
      <c r="AC2" s="2721"/>
      <c r="AD2" s="339"/>
      <c r="AE2" s="341"/>
    </row>
    <row r="3" spans="1:31" s="264" customFormat="1" ht="19.2">
      <c r="B3" s="2736" t="s">
        <v>4355</v>
      </c>
      <c r="C3" s="2737"/>
      <c r="D3" s="2737"/>
      <c r="E3" s="2737"/>
      <c r="F3" s="2737"/>
      <c r="G3" s="2737"/>
      <c r="H3" s="2737"/>
      <c r="I3" s="2737"/>
      <c r="J3" s="2737"/>
      <c r="K3" s="2737"/>
      <c r="L3" s="2737"/>
      <c r="M3" s="2737"/>
      <c r="N3" s="2737"/>
      <c r="P3" s="342"/>
      <c r="Q3" s="265" t="s">
        <v>4200</v>
      </c>
      <c r="R3" s="262"/>
      <c r="S3" s="263"/>
      <c r="T3" s="263"/>
      <c r="U3" s="263"/>
      <c r="V3" s="262"/>
      <c r="X3" s="2738" t="s">
        <v>4355</v>
      </c>
      <c r="Y3" s="2739"/>
      <c r="Z3" s="2739"/>
      <c r="AA3" s="2739"/>
      <c r="AB3" s="2739"/>
      <c r="AC3" s="2739"/>
      <c r="AD3" s="2740"/>
      <c r="AE3" s="343"/>
    </row>
    <row r="4" spans="1:31" ht="16.2" thickBot="1">
      <c r="B4" s="266"/>
      <c r="C4" s="266"/>
      <c r="D4" s="266"/>
      <c r="E4" s="266"/>
      <c r="F4" s="2733"/>
      <c r="G4" s="2733"/>
      <c r="H4" s="2733"/>
      <c r="I4" s="2733"/>
      <c r="J4" s="344"/>
      <c r="P4" s="345"/>
      <c r="Q4" s="267"/>
      <c r="R4" s="262"/>
      <c r="S4" s="2710" t="s">
        <v>4201</v>
      </c>
      <c r="T4" s="2710"/>
      <c r="U4" s="2710"/>
      <c r="V4" s="262"/>
      <c r="X4" s="266"/>
      <c r="Y4" s="266"/>
      <c r="Z4" s="2733"/>
      <c r="AA4" s="2733"/>
      <c r="AB4" s="2733"/>
      <c r="AC4" s="2733"/>
      <c r="AD4" s="344"/>
      <c r="AE4" s="346"/>
    </row>
    <row r="5" spans="1:31" ht="15.6" thickTop="1">
      <c r="A5" s="197"/>
      <c r="B5" s="2734" t="s">
        <v>4202</v>
      </c>
      <c r="C5" s="2715"/>
      <c r="D5" s="2712" t="s">
        <v>4203</v>
      </c>
      <c r="E5" s="2712" t="s">
        <v>4204</v>
      </c>
      <c r="F5" s="2715" t="s">
        <v>4205</v>
      </c>
      <c r="G5" s="2715" t="s">
        <v>4206</v>
      </c>
      <c r="H5" s="2715"/>
      <c r="I5" s="2715"/>
      <c r="J5" s="2717" t="s">
        <v>4207</v>
      </c>
      <c r="K5" s="197"/>
      <c r="L5" s="2719" t="s">
        <v>4208</v>
      </c>
      <c r="M5" s="197"/>
      <c r="N5" s="2719" t="s">
        <v>4209</v>
      </c>
      <c r="O5" s="197"/>
      <c r="P5" s="345"/>
      <c r="Q5" s="267"/>
      <c r="R5" s="262"/>
      <c r="S5" s="269" t="s">
        <v>4210</v>
      </c>
      <c r="T5" s="270"/>
      <c r="U5" s="270"/>
      <c r="V5" s="262"/>
      <c r="X5" s="2734" t="s">
        <v>4202</v>
      </c>
      <c r="Y5" s="2715"/>
      <c r="Z5" s="2715" t="s">
        <v>4205</v>
      </c>
      <c r="AA5" s="2715" t="s">
        <v>4206</v>
      </c>
      <c r="AB5" s="2715"/>
      <c r="AC5" s="2715"/>
      <c r="AD5" s="2717" t="s">
        <v>4207</v>
      </c>
      <c r="AE5" s="317"/>
    </row>
    <row r="6" spans="1:31" ht="60.6" thickBot="1">
      <c r="A6" s="197"/>
      <c r="B6" s="2735"/>
      <c r="C6" s="2716"/>
      <c r="D6" s="2714"/>
      <c r="E6" s="2714"/>
      <c r="F6" s="2716"/>
      <c r="G6" s="271" t="s">
        <v>4211</v>
      </c>
      <c r="H6" s="271" t="s">
        <v>4212</v>
      </c>
      <c r="I6" s="271" t="s">
        <v>4213</v>
      </c>
      <c r="J6" s="2718"/>
      <c r="K6" s="197"/>
      <c r="L6" s="2720"/>
      <c r="M6" s="197"/>
      <c r="N6" s="2720"/>
      <c r="O6" s="197"/>
      <c r="P6" s="345"/>
      <c r="Q6" s="267"/>
      <c r="R6" s="262"/>
      <c r="S6" s="224"/>
      <c r="T6" s="224"/>
      <c r="U6" s="224"/>
      <c r="V6" s="262"/>
      <c r="X6" s="2735"/>
      <c r="Y6" s="2716"/>
      <c r="Z6" s="2716"/>
      <c r="AA6" s="271" t="s">
        <v>4211</v>
      </c>
      <c r="AB6" s="271" t="s">
        <v>4212</v>
      </c>
      <c r="AC6" s="271" t="s">
        <v>4213</v>
      </c>
      <c r="AD6" s="2718"/>
      <c r="AE6" s="317"/>
    </row>
    <row r="7" spans="1:31" ht="16.8"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6" thickTop="1">
      <c r="A8" s="197"/>
      <c r="B8" s="2729" t="s">
        <v>4306</v>
      </c>
      <c r="C8" s="2730"/>
      <c r="D8" s="277" t="s">
        <v>4215</v>
      </c>
      <c r="E8" s="277">
        <v>3</v>
      </c>
      <c r="F8" s="1952">
        <f>IFERROR('1A'!F21,0)</f>
        <v>-299.30999999999995</v>
      </c>
      <c r="G8" s="1952">
        <f>IFERROR('1A'!G21,0)</f>
        <v>-15.843</v>
      </c>
      <c r="H8" s="1952">
        <f>IFERROR('1A'!H21,0)</f>
        <v>-0.25499999999999967</v>
      </c>
      <c r="I8" s="1933">
        <f>IFERROR(G8-H8,0)</f>
        <v>-15.588000000000001</v>
      </c>
      <c r="J8" s="1953">
        <f>IFERROR(F8+I8,0)</f>
        <v>-314.89799999999997</v>
      </c>
      <c r="K8" s="197"/>
      <c r="L8" s="281" t="s">
        <v>4356</v>
      </c>
      <c r="M8" s="197"/>
      <c r="N8" s="283"/>
      <c r="O8" s="197"/>
      <c r="P8" s="345"/>
      <c r="Q8" s="284"/>
      <c r="R8" s="262"/>
      <c r="S8" s="270"/>
      <c r="T8" s="270"/>
      <c r="U8" s="270"/>
      <c r="V8" s="262"/>
      <c r="X8" s="2729" t="s">
        <v>4306</v>
      </c>
      <c r="Y8" s="2730"/>
      <c r="Z8" s="350" t="s">
        <v>4308</v>
      </c>
      <c r="AA8" s="350" t="s">
        <v>4309</v>
      </c>
      <c r="AB8" s="350" t="s">
        <v>4310</v>
      </c>
      <c r="AC8" s="279" t="s">
        <v>4311</v>
      </c>
      <c r="AD8" s="351" t="s">
        <v>4312</v>
      </c>
      <c r="AE8" s="352"/>
    </row>
    <row r="9" spans="1:31" ht="30">
      <c r="A9" s="197"/>
      <c r="B9" s="2689" t="s">
        <v>4357</v>
      </c>
      <c r="C9" s="2690"/>
      <c r="D9" s="325" t="s">
        <v>4215</v>
      </c>
      <c r="E9" s="325">
        <v>3</v>
      </c>
      <c r="F9" s="287">
        <v>93.361999999999995</v>
      </c>
      <c r="G9" s="287">
        <v>0</v>
      </c>
      <c r="H9" s="287">
        <v>0</v>
      </c>
      <c r="I9" s="1937">
        <f t="shared" ref="I9:I11" si="0">IFERROR(G9-H9,0)</f>
        <v>0</v>
      </c>
      <c r="J9" s="1936">
        <f t="shared" ref="J9:J11" si="1">IFERROR(F9+I9,0)</f>
        <v>93.361999999999995</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689" t="s">
        <v>4357</v>
      </c>
      <c r="Y9" s="2690"/>
      <c r="Z9" s="287" t="s">
        <v>4359</v>
      </c>
      <c r="AA9" s="287" t="s">
        <v>4360</v>
      </c>
      <c r="AB9" s="287" t="s">
        <v>4361</v>
      </c>
      <c r="AC9" s="288" t="s">
        <v>4362</v>
      </c>
      <c r="AD9" s="313" t="s">
        <v>4363</v>
      </c>
      <c r="AE9" s="352"/>
    </row>
    <row r="10" spans="1:31" ht="30">
      <c r="A10" s="197"/>
      <c r="B10" s="2731" t="s">
        <v>4364</v>
      </c>
      <c r="C10" s="2732"/>
      <c r="D10" s="286" t="s">
        <v>4215</v>
      </c>
      <c r="E10" s="286">
        <v>3</v>
      </c>
      <c r="F10" s="287">
        <v>445.05</v>
      </c>
      <c r="G10" s="287">
        <v>0</v>
      </c>
      <c r="H10" s="287">
        <v>0</v>
      </c>
      <c r="I10" s="1937">
        <f t="shared" si="0"/>
        <v>0</v>
      </c>
      <c r="J10" s="1936">
        <f t="shared" si="1"/>
        <v>445.05</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31" t="s">
        <v>4364</v>
      </c>
      <c r="Y10" s="2732"/>
      <c r="Z10" s="287" t="s">
        <v>4366</v>
      </c>
      <c r="AA10" s="287" t="s">
        <v>4367</v>
      </c>
      <c r="AB10" s="287" t="s">
        <v>4368</v>
      </c>
      <c r="AC10" s="288" t="s">
        <v>4369</v>
      </c>
      <c r="AD10" s="313" t="s">
        <v>4370</v>
      </c>
      <c r="AE10" s="352"/>
    </row>
    <row r="11" spans="1:31" ht="30.6" thickBot="1">
      <c r="A11" s="197"/>
      <c r="B11" s="2727" t="s">
        <v>4371</v>
      </c>
      <c r="C11" s="2728"/>
      <c r="D11" s="355" t="s">
        <v>4215</v>
      </c>
      <c r="E11" s="355">
        <v>3</v>
      </c>
      <c r="F11" s="1939">
        <f>IFERROR(SUM( F8:F10 ),0)</f>
        <v>239.10200000000006</v>
      </c>
      <c r="G11" s="1939">
        <f>IFERROR(SUM( G8:G10 ),0)</f>
        <v>-15.843</v>
      </c>
      <c r="H11" s="1939">
        <f>IFERROR(SUM( H8:H10 ),0)</f>
        <v>-0.25499999999999967</v>
      </c>
      <c r="I11" s="1939">
        <f t="shared" si="0"/>
        <v>-15.588000000000001</v>
      </c>
      <c r="J11" s="1932">
        <f t="shared" si="1"/>
        <v>223.51400000000007</v>
      </c>
      <c r="K11" s="197"/>
      <c r="L11" s="356" t="s">
        <v>4372</v>
      </c>
      <c r="M11" s="197"/>
      <c r="N11" s="302"/>
      <c r="O11" s="197"/>
      <c r="P11" s="345"/>
      <c r="Q11" s="284"/>
      <c r="R11" s="262"/>
      <c r="S11" s="270"/>
      <c r="T11" s="270"/>
      <c r="U11" s="270"/>
      <c r="V11" s="262"/>
      <c r="X11" s="2727" t="s">
        <v>4371</v>
      </c>
      <c r="Y11" s="2728"/>
      <c r="Z11" s="298" t="s">
        <v>4373</v>
      </c>
      <c r="AA11" s="298" t="s">
        <v>4374</v>
      </c>
      <c r="AB11" s="298" t="s">
        <v>4375</v>
      </c>
      <c r="AC11" s="298" t="s">
        <v>4376</v>
      </c>
      <c r="AD11" s="315" t="s">
        <v>4377</v>
      </c>
      <c r="AE11" s="352"/>
    </row>
    <row r="12" spans="1:31" ht="14.4"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0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0" zoomScaleNormal="80" zoomScaleSheetLayoutView="100" workbookViewId="0">
      <pane ySplit="6" topLeftCell="A42" activePane="bottomLeft" state="frozen"/>
      <selection pane="bottomLeft" activeCell="F50" sqref="F50:H51"/>
    </sheetView>
  </sheetViews>
  <sheetFormatPr defaultColWidth="9.09765625" defaultRowHeight="13.8"/>
  <cols>
    <col min="1" max="1" width="1.59765625" style="224" customWidth="1"/>
    <col min="2" max="2" width="14.09765625" style="224" customWidth="1"/>
    <col min="3" max="3" width="22.09765625" style="224" customWidth="1"/>
    <col min="4" max="4" width="5.5" style="224" bestFit="1" customWidth="1"/>
    <col min="5" max="5" width="4.69921875" style="224" bestFit="1" customWidth="1"/>
    <col min="6" max="6" width="18.19921875" style="224" customWidth="1"/>
    <col min="7" max="7" width="19.69921875" style="224" customWidth="1"/>
    <col min="8" max="8" width="9.69921875" style="224" bestFit="1" customWidth="1"/>
    <col min="9" max="9" width="11.69921875" style="224" bestFit="1" customWidth="1"/>
    <col min="10" max="10" width="23.09765625" style="360" bestFit="1" customWidth="1"/>
    <col min="11" max="11" width="1.59765625" style="224" customWidth="1"/>
    <col min="12" max="12" width="15.69921875" style="224" bestFit="1" customWidth="1"/>
    <col min="13" max="13" width="1.59765625" style="224" customWidth="1"/>
    <col min="14" max="14" width="29.5" style="224" bestFit="1" customWidth="1"/>
    <col min="15"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224" customWidth="1"/>
    <col min="24" max="24" width="40.59765625" style="224" bestFit="1" customWidth="1"/>
    <col min="25" max="25" width="9.69921875" style="224" customWidth="1"/>
    <col min="26" max="26" width="16.09765625" style="224" bestFit="1" customWidth="1"/>
    <col min="27" max="27" width="19.19921875" style="224" bestFit="1" customWidth="1"/>
    <col min="28" max="28" width="14.19921875" style="224" bestFit="1" customWidth="1"/>
    <col min="29" max="29" width="17.09765625" style="224" bestFit="1" customWidth="1"/>
    <col min="30" max="30" width="23.09765625" style="224" bestFit="1" customWidth="1"/>
    <col min="31" max="31" width="26.09765625" style="224" customWidth="1"/>
    <col min="32" max="16384" width="9.09765625" style="224"/>
  </cols>
  <sheetData>
    <row r="1" spans="1:30" s="259" customFormat="1" ht="22.8">
      <c r="B1" s="2721" t="s">
        <v>4378</v>
      </c>
      <c r="C1" s="2721"/>
      <c r="D1" s="2721"/>
      <c r="E1" s="2721"/>
      <c r="F1" s="2721"/>
      <c r="G1" s="2721"/>
      <c r="H1" s="2721"/>
      <c r="I1" s="2721"/>
      <c r="J1" s="339"/>
      <c r="P1" s="340"/>
      <c r="R1" s="361"/>
      <c r="S1" s="263"/>
      <c r="T1" s="263"/>
      <c r="U1" s="263"/>
      <c r="V1" s="361"/>
      <c r="X1" s="2721" t="s">
        <v>4198</v>
      </c>
      <c r="Y1" s="2721"/>
      <c r="Z1" s="2721"/>
      <c r="AA1" s="2721"/>
      <c r="AB1" s="2721"/>
      <c r="AC1" s="2721"/>
      <c r="AD1" s="339"/>
    </row>
    <row r="2" spans="1:30" s="259" customFormat="1" ht="22.8">
      <c r="B2" s="2721" t="str">
        <f>SelectCompany!B4</f>
        <v>Dŵr Cymru</v>
      </c>
      <c r="C2" s="2721"/>
      <c r="D2" s="2721"/>
      <c r="E2" s="2721"/>
      <c r="F2" s="2721"/>
      <c r="G2" s="2721"/>
      <c r="H2" s="2721"/>
      <c r="I2" s="2721"/>
      <c r="J2" s="339"/>
      <c r="P2" s="340"/>
      <c r="R2" s="361"/>
      <c r="S2" s="263"/>
      <c r="T2" s="263"/>
      <c r="U2" s="263"/>
      <c r="V2" s="361"/>
      <c r="X2" s="2721"/>
      <c r="Y2" s="2721"/>
      <c r="Z2" s="2721"/>
      <c r="AA2" s="2721"/>
      <c r="AB2" s="2721"/>
      <c r="AC2" s="2721"/>
      <c r="AD2" s="339"/>
    </row>
    <row r="3" spans="1:30" s="264" customFormat="1" ht="19.2">
      <c r="B3" s="2722" t="s">
        <v>4379</v>
      </c>
      <c r="C3" s="2723"/>
      <c r="D3" s="2723"/>
      <c r="E3" s="2723"/>
      <c r="F3" s="2723"/>
      <c r="G3" s="2723"/>
      <c r="H3" s="2723"/>
      <c r="I3" s="2723"/>
      <c r="J3" s="2723"/>
      <c r="K3" s="2723"/>
      <c r="L3" s="2723"/>
      <c r="M3" s="2723"/>
      <c r="N3" s="2723"/>
      <c r="P3" s="342"/>
      <c r="Q3" s="265" t="s">
        <v>4200</v>
      </c>
      <c r="R3" s="361"/>
      <c r="S3" s="263"/>
      <c r="T3" s="263"/>
      <c r="U3" s="263"/>
      <c r="V3" s="361"/>
      <c r="X3" s="2724" t="s">
        <v>4379</v>
      </c>
      <c r="Y3" s="2725"/>
      <c r="Z3" s="2725"/>
      <c r="AA3" s="2725"/>
      <c r="AB3" s="2725"/>
      <c r="AC3" s="2725"/>
      <c r="AD3" s="2726"/>
    </row>
    <row r="4" spans="1:30" ht="16.2" thickBot="1">
      <c r="B4" s="266"/>
      <c r="C4" s="266"/>
      <c r="D4" s="266"/>
      <c r="E4" s="266"/>
      <c r="F4" s="2733"/>
      <c r="G4" s="2733"/>
      <c r="H4" s="2733"/>
      <c r="I4" s="2733"/>
      <c r="J4" s="344"/>
      <c r="P4" s="345"/>
      <c r="R4" s="361"/>
      <c r="S4" s="2710" t="s">
        <v>4201</v>
      </c>
      <c r="T4" s="2710"/>
      <c r="U4" s="2710"/>
      <c r="V4" s="361"/>
      <c r="X4" s="266"/>
      <c r="Y4" s="266"/>
      <c r="Z4" s="2733"/>
      <c r="AA4" s="2733"/>
      <c r="AB4" s="2733"/>
      <c r="AC4" s="2733"/>
      <c r="AD4" s="344"/>
    </row>
    <row r="5" spans="1:30" ht="15.6" thickTop="1">
      <c r="A5" s="197"/>
      <c r="B5" s="2734" t="s">
        <v>4202</v>
      </c>
      <c r="C5" s="2715"/>
      <c r="D5" s="2712" t="s">
        <v>4203</v>
      </c>
      <c r="E5" s="2712" t="s">
        <v>4204</v>
      </c>
      <c r="F5" s="2715" t="s">
        <v>4205</v>
      </c>
      <c r="G5" s="2715" t="s">
        <v>4206</v>
      </c>
      <c r="H5" s="2715"/>
      <c r="I5" s="2715"/>
      <c r="J5" s="2717" t="s">
        <v>4207</v>
      </c>
      <c r="K5" s="197"/>
      <c r="L5" s="2719" t="s">
        <v>4208</v>
      </c>
      <c r="M5" s="197"/>
      <c r="N5" s="2719" t="s">
        <v>4209</v>
      </c>
      <c r="O5" s="197"/>
      <c r="P5" s="345"/>
      <c r="R5" s="361"/>
      <c r="S5" s="269" t="s">
        <v>4210</v>
      </c>
      <c r="T5" s="270"/>
      <c r="U5" s="270"/>
      <c r="V5" s="361"/>
      <c r="X5" s="2734" t="s">
        <v>4202</v>
      </c>
      <c r="Y5" s="2715"/>
      <c r="Z5" s="2715" t="s">
        <v>4205</v>
      </c>
      <c r="AA5" s="2715" t="s">
        <v>4206</v>
      </c>
      <c r="AB5" s="2715"/>
      <c r="AC5" s="2715"/>
      <c r="AD5" s="2717" t="s">
        <v>4207</v>
      </c>
    </row>
    <row r="6" spans="1:30" ht="45.6" thickBot="1">
      <c r="A6" s="197"/>
      <c r="B6" s="2735"/>
      <c r="C6" s="2716"/>
      <c r="D6" s="2714"/>
      <c r="E6" s="2714"/>
      <c r="F6" s="2716"/>
      <c r="G6" s="271" t="s">
        <v>4211</v>
      </c>
      <c r="H6" s="271" t="s">
        <v>4212</v>
      </c>
      <c r="I6" s="271" t="s">
        <v>4213</v>
      </c>
      <c r="J6" s="2718"/>
      <c r="K6" s="197"/>
      <c r="L6" s="2720"/>
      <c r="M6" s="197"/>
      <c r="N6" s="2720"/>
      <c r="O6" s="197"/>
      <c r="P6" s="345"/>
      <c r="R6" s="361"/>
      <c r="S6" s="224"/>
      <c r="T6" s="224"/>
      <c r="U6" s="224"/>
      <c r="V6" s="361"/>
      <c r="X6" s="2735"/>
      <c r="Y6" s="2716"/>
      <c r="Z6" s="2716"/>
      <c r="AA6" s="271" t="s">
        <v>4211</v>
      </c>
      <c r="AB6" s="271" t="s">
        <v>4212</v>
      </c>
      <c r="AC6" s="271" t="s">
        <v>4213</v>
      </c>
      <c r="AD6" s="2718"/>
    </row>
    <row r="7" spans="1:30" ht="16.8"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2" thickTop="1" thickBot="1">
      <c r="A8" s="197"/>
      <c r="B8" s="2683" t="s">
        <v>4380</v>
      </c>
      <c r="C8" s="2684"/>
      <c r="D8" s="362"/>
      <c r="E8" s="362"/>
      <c r="F8" s="83"/>
      <c r="G8" s="83"/>
      <c r="H8" s="83"/>
      <c r="I8" s="83"/>
      <c r="J8" s="349"/>
      <c r="K8" s="197"/>
      <c r="L8" s="178"/>
      <c r="M8" s="197"/>
      <c r="N8" s="197"/>
      <c r="O8" s="197"/>
      <c r="P8" s="345"/>
      <c r="R8" s="361"/>
      <c r="S8" s="224"/>
      <c r="T8" s="224"/>
      <c r="U8" s="224"/>
      <c r="V8" s="361"/>
      <c r="X8" s="2683" t="s">
        <v>4380</v>
      </c>
      <c r="Y8" s="2684"/>
      <c r="Z8" s="83"/>
      <c r="AA8" s="83"/>
      <c r="AB8" s="83"/>
      <c r="AC8" s="83"/>
      <c r="AD8" s="349"/>
    </row>
    <row r="9" spans="1:30" ht="15.6" thickTop="1">
      <c r="A9" s="197"/>
      <c r="B9" s="2729" t="s">
        <v>4381</v>
      </c>
      <c r="C9" s="2730"/>
      <c r="D9" s="277" t="s">
        <v>4215</v>
      </c>
      <c r="E9" s="277">
        <v>3</v>
      </c>
      <c r="F9" s="278">
        <v>6959.1890000000003</v>
      </c>
      <c r="G9" s="278">
        <v>-118.376</v>
      </c>
      <c r="H9" s="278">
        <v>0</v>
      </c>
      <c r="I9" s="1933">
        <f>IFERROR(G9-H9,0)</f>
        <v>-118.376</v>
      </c>
      <c r="J9" s="1953">
        <f>IFERROR(F9+I9,0)</f>
        <v>6840.8130000000001</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29" t="s">
        <v>4381</v>
      </c>
      <c r="Y9" s="2730"/>
      <c r="Z9" s="278" t="s">
        <v>4383</v>
      </c>
      <c r="AA9" s="278" t="s">
        <v>4384</v>
      </c>
      <c r="AB9" s="278" t="s">
        <v>4385</v>
      </c>
      <c r="AC9" s="279" t="s">
        <v>4386</v>
      </c>
      <c r="AD9" s="351" t="s">
        <v>4387</v>
      </c>
    </row>
    <row r="10" spans="1:30" ht="15">
      <c r="A10" s="197"/>
      <c r="B10" s="2689" t="s">
        <v>4388</v>
      </c>
      <c r="C10" s="2690"/>
      <c r="D10" s="325" t="s">
        <v>4215</v>
      </c>
      <c r="E10" s="325">
        <v>3</v>
      </c>
      <c r="F10" s="287">
        <v>202.2</v>
      </c>
      <c r="G10" s="287">
        <v>-12.602</v>
      </c>
      <c r="H10" s="287">
        <v>0</v>
      </c>
      <c r="I10" s="1937">
        <f>IFERROR(G10-H10,0)</f>
        <v>-12.602</v>
      </c>
      <c r="J10" s="1936">
        <f t="shared" ref="J10:J15" si="2">IFERROR(F10+I10,0)</f>
        <v>189.59799999999998</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689" t="s">
        <v>4388</v>
      </c>
      <c r="Y10" s="2690"/>
      <c r="Z10" s="287" t="s">
        <v>4390</v>
      </c>
      <c r="AA10" s="287" t="s">
        <v>4391</v>
      </c>
      <c r="AB10" s="287" t="s">
        <v>4392</v>
      </c>
      <c r="AC10" s="288" t="s">
        <v>4393</v>
      </c>
      <c r="AD10" s="313" t="s">
        <v>4394</v>
      </c>
    </row>
    <row r="11" spans="1:30" ht="15">
      <c r="A11" s="197"/>
      <c r="B11" s="2731" t="s">
        <v>4395</v>
      </c>
      <c r="C11" s="2732"/>
      <c r="D11" s="286" t="s">
        <v>4215</v>
      </c>
      <c r="E11" s="286">
        <v>3</v>
      </c>
      <c r="F11" s="287">
        <v>0</v>
      </c>
      <c r="G11" s="287">
        <v>0</v>
      </c>
      <c r="H11" s="287">
        <v>0</v>
      </c>
      <c r="I11" s="1937">
        <f t="shared" ref="I11:I15" si="5">IFERROR(G11-H11,0)</f>
        <v>0</v>
      </c>
      <c r="J11" s="1936">
        <f t="shared" si="2"/>
        <v>0</v>
      </c>
      <c r="K11" s="197"/>
      <c r="L11" s="290" t="s">
        <v>4396</v>
      </c>
      <c r="M11" s="197"/>
      <c r="N11" s="291"/>
      <c r="O11" s="197"/>
      <c r="P11" s="363"/>
      <c r="Q11" s="284">
        <f t="shared" si="3"/>
        <v>0</v>
      </c>
      <c r="R11" s="361"/>
      <c r="S11" s="285">
        <f t="shared" si="4"/>
        <v>0</v>
      </c>
      <c r="T11" s="285">
        <f t="shared" si="0"/>
        <v>0</v>
      </c>
      <c r="U11" s="285">
        <f t="shared" si="1"/>
        <v>0</v>
      </c>
      <c r="V11" s="361"/>
      <c r="X11" s="2731" t="s">
        <v>4395</v>
      </c>
      <c r="Y11" s="2732"/>
      <c r="Z11" s="287" t="s">
        <v>4397</v>
      </c>
      <c r="AA11" s="287" t="s">
        <v>4398</v>
      </c>
      <c r="AB11" s="287" t="s">
        <v>4399</v>
      </c>
      <c r="AC11" s="288" t="s">
        <v>4400</v>
      </c>
      <c r="AD11" s="313" t="s">
        <v>4401</v>
      </c>
    </row>
    <row r="12" spans="1:30" ht="15">
      <c r="A12" s="197"/>
      <c r="B12" s="2703" t="s">
        <v>4402</v>
      </c>
      <c r="C12" s="2704"/>
      <c r="D12" s="286" t="s">
        <v>4215</v>
      </c>
      <c r="E12" s="286">
        <v>3</v>
      </c>
      <c r="F12" s="287">
        <v>0</v>
      </c>
      <c r="G12" s="287">
        <v>0</v>
      </c>
      <c r="H12" s="287">
        <v>0</v>
      </c>
      <c r="I12" s="1937">
        <f t="shared" si="5"/>
        <v>0</v>
      </c>
      <c r="J12" s="1936">
        <f t="shared" si="2"/>
        <v>0</v>
      </c>
      <c r="K12" s="197"/>
      <c r="L12" s="290" t="s">
        <v>4403</v>
      </c>
      <c r="M12" s="197"/>
      <c r="N12" s="291"/>
      <c r="O12" s="197"/>
      <c r="P12" s="363"/>
      <c r="Q12" s="284">
        <f t="shared" si="3"/>
        <v>0</v>
      </c>
      <c r="R12" s="361"/>
      <c r="S12" s="285">
        <f t="shared" si="4"/>
        <v>0</v>
      </c>
      <c r="T12" s="285">
        <f t="shared" si="0"/>
        <v>0</v>
      </c>
      <c r="U12" s="285">
        <f t="shared" si="1"/>
        <v>0</v>
      </c>
      <c r="V12" s="361"/>
      <c r="X12" s="2703" t="s">
        <v>4402</v>
      </c>
      <c r="Y12" s="2704"/>
      <c r="Z12" s="287" t="s">
        <v>4404</v>
      </c>
      <c r="AA12" s="287" t="s">
        <v>4405</v>
      </c>
      <c r="AB12" s="287" t="s">
        <v>4406</v>
      </c>
      <c r="AC12" s="288" t="s">
        <v>4407</v>
      </c>
      <c r="AD12" s="313" t="s">
        <v>4408</v>
      </c>
    </row>
    <row r="13" spans="1:30" ht="15">
      <c r="A13" s="197"/>
      <c r="B13" s="2747" t="s">
        <v>4409</v>
      </c>
      <c r="C13" s="2748"/>
      <c r="D13" s="286" t="s">
        <v>4215</v>
      </c>
      <c r="E13" s="286">
        <v>3</v>
      </c>
      <c r="F13" s="287">
        <v>11.1</v>
      </c>
      <c r="G13" s="287">
        <v>0</v>
      </c>
      <c r="H13" s="287">
        <v>0</v>
      </c>
      <c r="I13" s="1937">
        <f t="shared" si="5"/>
        <v>0</v>
      </c>
      <c r="J13" s="1936">
        <f t="shared" si="2"/>
        <v>11.1</v>
      </c>
      <c r="K13" s="197"/>
      <c r="L13" s="290" t="s">
        <v>4410</v>
      </c>
      <c r="M13" s="197"/>
      <c r="N13" s="291"/>
      <c r="O13" s="197"/>
      <c r="P13" s="363"/>
      <c r="Q13" s="284">
        <f t="shared" si="3"/>
        <v>0</v>
      </c>
      <c r="R13" s="361"/>
      <c r="S13" s="285">
        <f t="shared" si="4"/>
        <v>0</v>
      </c>
      <c r="T13" s="285">
        <f t="shared" si="0"/>
        <v>0</v>
      </c>
      <c r="U13" s="285">
        <f t="shared" si="1"/>
        <v>0</v>
      </c>
      <c r="V13" s="361"/>
      <c r="X13" s="2747" t="s">
        <v>4409</v>
      </c>
      <c r="Y13" s="2748"/>
      <c r="Z13" s="287" t="s">
        <v>4411</v>
      </c>
      <c r="AA13" s="287" t="s">
        <v>4412</v>
      </c>
      <c r="AB13" s="287" t="s">
        <v>4413</v>
      </c>
      <c r="AC13" s="288" t="s">
        <v>4414</v>
      </c>
      <c r="AD13" s="313" t="s">
        <v>4415</v>
      </c>
    </row>
    <row r="14" spans="1:30" ht="15">
      <c r="A14" s="197"/>
      <c r="B14" s="2689" t="s">
        <v>4416</v>
      </c>
      <c r="C14" s="2690"/>
      <c r="D14" s="325" t="s">
        <v>4215</v>
      </c>
      <c r="E14" s="325">
        <v>3</v>
      </c>
      <c r="F14" s="287">
        <v>12.01</v>
      </c>
      <c r="G14" s="287">
        <v>0</v>
      </c>
      <c r="H14" s="287">
        <v>0</v>
      </c>
      <c r="I14" s="1937">
        <f t="shared" si="5"/>
        <v>0</v>
      </c>
      <c r="J14" s="1936">
        <f t="shared" si="2"/>
        <v>12.01</v>
      </c>
      <c r="K14" s="197"/>
      <c r="L14" s="290" t="s">
        <v>4417</v>
      </c>
      <c r="M14" s="197"/>
      <c r="N14" s="291"/>
      <c r="O14" s="197"/>
      <c r="P14" s="363"/>
      <c r="Q14" s="284">
        <f t="shared" si="3"/>
        <v>0</v>
      </c>
      <c r="R14" s="361"/>
      <c r="S14" s="285">
        <f t="shared" si="4"/>
        <v>0</v>
      </c>
      <c r="T14" s="285">
        <f t="shared" si="0"/>
        <v>0</v>
      </c>
      <c r="U14" s="285">
        <f t="shared" si="1"/>
        <v>0</v>
      </c>
      <c r="V14" s="361"/>
      <c r="X14" s="2689" t="s">
        <v>4416</v>
      </c>
      <c r="Y14" s="2690"/>
      <c r="Z14" s="287" t="s">
        <v>4418</v>
      </c>
      <c r="AA14" s="287" t="s">
        <v>4419</v>
      </c>
      <c r="AB14" s="287" t="s">
        <v>4420</v>
      </c>
      <c r="AC14" s="288" t="s">
        <v>4421</v>
      </c>
      <c r="AD14" s="313" t="s">
        <v>4422</v>
      </c>
    </row>
    <row r="15" spans="1:30" ht="15.6" thickBot="1">
      <c r="A15" s="197"/>
      <c r="B15" s="2743" t="s">
        <v>4423</v>
      </c>
      <c r="C15" s="2744"/>
      <c r="D15" s="364" t="s">
        <v>4215</v>
      </c>
      <c r="E15" s="364">
        <v>3</v>
      </c>
      <c r="F15" s="1939">
        <f>IFERROR(SUM(F9:F14),0)</f>
        <v>7184.4990000000007</v>
      </c>
      <c r="G15" s="1939">
        <f>IFERROR(SUM(G9:G14),0)</f>
        <v>-130.97800000000001</v>
      </c>
      <c r="H15" s="1939">
        <f>IFERROR(SUM(H9:H14),0)</f>
        <v>0</v>
      </c>
      <c r="I15" s="1939">
        <f t="shared" si="5"/>
        <v>-130.97800000000001</v>
      </c>
      <c r="J15" s="1932">
        <f t="shared" si="2"/>
        <v>7053.5210000000006</v>
      </c>
      <c r="K15" s="197"/>
      <c r="L15" s="356" t="s">
        <v>4424</v>
      </c>
      <c r="M15" s="197"/>
      <c r="N15" s="302"/>
      <c r="O15" s="197"/>
      <c r="P15" s="363"/>
      <c r="R15" s="361"/>
      <c r="V15" s="361"/>
      <c r="X15" s="2743" t="s">
        <v>4425</v>
      </c>
      <c r="Y15" s="2744"/>
      <c r="Z15" s="298" t="s">
        <v>4426</v>
      </c>
      <c r="AA15" s="298" t="s">
        <v>4427</v>
      </c>
      <c r="AB15" s="298" t="s">
        <v>4428</v>
      </c>
      <c r="AC15" s="298" t="s">
        <v>4429</v>
      </c>
      <c r="AD15" s="315" t="s">
        <v>4430</v>
      </c>
    </row>
    <row r="16" spans="1:30" ht="16.8"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2" thickTop="1" thickBot="1">
      <c r="A17" s="197"/>
      <c r="B17" s="2683" t="s">
        <v>4431</v>
      </c>
      <c r="C17" s="2684"/>
      <c r="D17" s="362"/>
      <c r="E17" s="362"/>
      <c r="F17" s="1954"/>
      <c r="G17" s="1954"/>
      <c r="H17" s="1954"/>
      <c r="I17" s="1954"/>
      <c r="J17" s="1955"/>
      <c r="K17" s="197"/>
      <c r="L17" s="178"/>
      <c r="M17" s="197"/>
      <c r="N17" s="197"/>
      <c r="O17" s="197"/>
      <c r="P17" s="363"/>
      <c r="R17" s="361"/>
      <c r="V17" s="361"/>
      <c r="X17" s="2683" t="s">
        <v>4431</v>
      </c>
      <c r="Y17" s="2684"/>
      <c r="Z17" s="366"/>
      <c r="AA17" s="366"/>
      <c r="AB17" s="366"/>
      <c r="AC17" s="366"/>
      <c r="AD17" s="367"/>
    </row>
    <row r="18" spans="1:30" ht="15.6" thickTop="1">
      <c r="A18" s="197"/>
      <c r="B18" s="2729" t="s">
        <v>4432</v>
      </c>
      <c r="C18" s="2730"/>
      <c r="D18" s="277" t="s">
        <v>4215</v>
      </c>
      <c r="E18" s="277">
        <v>3</v>
      </c>
      <c r="F18" s="278">
        <v>5.298</v>
      </c>
      <c r="G18" s="278">
        <v>0</v>
      </c>
      <c r="H18" s="278">
        <v>0</v>
      </c>
      <c r="I18" s="1933">
        <f t="shared" ref="I18:I22" si="6">IFERROR(G18-H18,0)</f>
        <v>0</v>
      </c>
      <c r="J18" s="1953">
        <f t="shared" ref="J18:J22" si="7">IFERROR(F18+I18,0)</f>
        <v>5.298</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29" t="s">
        <v>4432</v>
      </c>
      <c r="Y18" s="2730"/>
      <c r="Z18" s="278" t="s">
        <v>4434</v>
      </c>
      <c r="AA18" s="278" t="s">
        <v>4435</v>
      </c>
      <c r="AB18" s="278" t="s">
        <v>4436</v>
      </c>
      <c r="AC18" s="279" t="s">
        <v>4437</v>
      </c>
      <c r="AD18" s="351" t="s">
        <v>4438</v>
      </c>
    </row>
    <row r="19" spans="1:30" ht="15">
      <c r="A19" s="197"/>
      <c r="B19" s="2689" t="s">
        <v>4439</v>
      </c>
      <c r="C19" s="2690"/>
      <c r="D19" s="325" t="s">
        <v>4215</v>
      </c>
      <c r="E19" s="325">
        <v>3</v>
      </c>
      <c r="F19" s="287">
        <v>646.82000000000005</v>
      </c>
      <c r="G19" s="287">
        <v>4.3</v>
      </c>
      <c r="H19" s="287">
        <v>0</v>
      </c>
      <c r="I19" s="1937">
        <f t="shared" si="6"/>
        <v>4.3</v>
      </c>
      <c r="J19" s="1936">
        <f t="shared" si="7"/>
        <v>651.12</v>
      </c>
      <c r="K19" s="197"/>
      <c r="L19" s="290" t="s">
        <v>4440</v>
      </c>
      <c r="M19" s="197"/>
      <c r="N19" s="291"/>
      <c r="O19" s="197"/>
      <c r="P19" s="363"/>
      <c r="Q19" s="284">
        <f t="shared" si="8"/>
        <v>0</v>
      </c>
      <c r="R19" s="361"/>
      <c r="S19" s="285">
        <f t="shared" si="9"/>
        <v>0</v>
      </c>
      <c r="T19" s="285">
        <f t="shared" si="10"/>
        <v>0</v>
      </c>
      <c r="U19" s="285">
        <f t="shared" si="11"/>
        <v>0</v>
      </c>
      <c r="V19" s="361"/>
      <c r="X19" s="2689" t="s">
        <v>4439</v>
      </c>
      <c r="Y19" s="2690"/>
      <c r="Z19" s="287" t="s">
        <v>4441</v>
      </c>
      <c r="AA19" s="287" t="s">
        <v>4442</v>
      </c>
      <c r="AB19" s="287" t="s">
        <v>4443</v>
      </c>
      <c r="AC19" s="288" t="s">
        <v>4444</v>
      </c>
      <c r="AD19" s="313" t="s">
        <v>4445</v>
      </c>
    </row>
    <row r="20" spans="1:30" ht="15">
      <c r="A20" s="197"/>
      <c r="B20" s="2705" t="s">
        <v>4409</v>
      </c>
      <c r="C20" s="2706"/>
      <c r="D20" s="292" t="s">
        <v>4215</v>
      </c>
      <c r="E20" s="292">
        <v>3</v>
      </c>
      <c r="F20" s="287">
        <v>12.7</v>
      </c>
      <c r="G20" s="287">
        <v>0</v>
      </c>
      <c r="H20" s="287">
        <v>0</v>
      </c>
      <c r="I20" s="1937">
        <f t="shared" si="6"/>
        <v>0</v>
      </c>
      <c r="J20" s="1936">
        <f t="shared" si="7"/>
        <v>12.7</v>
      </c>
      <c r="K20" s="197"/>
      <c r="L20" s="290" t="s">
        <v>4446</v>
      </c>
      <c r="M20" s="197"/>
      <c r="N20" s="291"/>
      <c r="O20" s="197"/>
      <c r="P20" s="363"/>
      <c r="Q20" s="284">
        <f t="shared" si="8"/>
        <v>0</v>
      </c>
      <c r="R20" s="361"/>
      <c r="S20" s="285">
        <f t="shared" si="9"/>
        <v>0</v>
      </c>
      <c r="T20" s="285">
        <f t="shared" si="10"/>
        <v>0</v>
      </c>
      <c r="U20" s="285">
        <f t="shared" si="11"/>
        <v>0</v>
      </c>
      <c r="V20" s="361"/>
      <c r="X20" s="2705" t="s">
        <v>4409</v>
      </c>
      <c r="Y20" s="2706"/>
      <c r="Z20" s="287" t="s">
        <v>4447</v>
      </c>
      <c r="AA20" s="287" t="s">
        <v>4448</v>
      </c>
      <c r="AB20" s="287" t="s">
        <v>4449</v>
      </c>
      <c r="AC20" s="288" t="s">
        <v>4450</v>
      </c>
      <c r="AD20" s="313" t="s">
        <v>4451</v>
      </c>
    </row>
    <row r="21" spans="1:30" ht="15">
      <c r="A21" s="197"/>
      <c r="B21" s="2703" t="s">
        <v>4452</v>
      </c>
      <c r="C21" s="2704"/>
      <c r="D21" s="286" t="s">
        <v>4215</v>
      </c>
      <c r="E21" s="286">
        <v>3</v>
      </c>
      <c r="F21" s="287">
        <v>362.63200000000001</v>
      </c>
      <c r="G21" s="287">
        <v>0</v>
      </c>
      <c r="H21" s="287">
        <v>42.316000000000003</v>
      </c>
      <c r="I21" s="1937">
        <f t="shared" si="6"/>
        <v>-42.316000000000003</v>
      </c>
      <c r="J21" s="1936">
        <f t="shared" si="7"/>
        <v>320.31600000000003</v>
      </c>
      <c r="K21" s="197"/>
      <c r="L21" s="290" t="s">
        <v>4453</v>
      </c>
      <c r="M21" s="197"/>
      <c r="N21" s="291"/>
      <c r="O21" s="197"/>
      <c r="P21" s="363"/>
      <c r="Q21" s="284">
        <f t="shared" si="8"/>
        <v>0</v>
      </c>
      <c r="R21" s="361"/>
      <c r="S21" s="285">
        <f t="shared" si="9"/>
        <v>0</v>
      </c>
      <c r="T21" s="285">
        <f t="shared" si="10"/>
        <v>0</v>
      </c>
      <c r="U21" s="285">
        <f t="shared" si="11"/>
        <v>0</v>
      </c>
      <c r="V21" s="361"/>
      <c r="X21" s="2703" t="s">
        <v>4452</v>
      </c>
      <c r="Y21" s="2704"/>
      <c r="Z21" s="287" t="s">
        <v>4454</v>
      </c>
      <c r="AA21" s="287" t="s">
        <v>4455</v>
      </c>
      <c r="AB21" s="287" t="s">
        <v>4456</v>
      </c>
      <c r="AC21" s="288" t="s">
        <v>4457</v>
      </c>
      <c r="AD21" s="313" t="s">
        <v>4458</v>
      </c>
    </row>
    <row r="22" spans="1:30" ht="15.6" thickBot="1">
      <c r="A22" s="197"/>
      <c r="B22" s="2745" t="s">
        <v>4459</v>
      </c>
      <c r="C22" s="2746"/>
      <c r="D22" s="355" t="s">
        <v>4215</v>
      </c>
      <c r="E22" s="355">
        <v>3</v>
      </c>
      <c r="F22" s="1939">
        <f>IFERROR(SUM(F18:F21),0)</f>
        <v>1027.45</v>
      </c>
      <c r="G22" s="1939">
        <f>IFERROR(SUM(G18:G21),0)</f>
        <v>4.3</v>
      </c>
      <c r="H22" s="1939">
        <f>IFERROR(SUM(H18:H21),0)</f>
        <v>42.316000000000003</v>
      </c>
      <c r="I22" s="1939">
        <f t="shared" si="6"/>
        <v>-38.016000000000005</v>
      </c>
      <c r="J22" s="1932">
        <f t="shared" si="7"/>
        <v>989.43400000000008</v>
      </c>
      <c r="K22" s="197"/>
      <c r="L22" s="356" t="s">
        <v>4460</v>
      </c>
      <c r="M22" s="197"/>
      <c r="N22" s="302"/>
      <c r="O22" s="197"/>
      <c r="P22" s="363"/>
      <c r="R22" s="361"/>
      <c r="V22" s="361"/>
      <c r="X22" s="2745" t="s">
        <v>4461</v>
      </c>
      <c r="Y22" s="2746"/>
      <c r="Z22" s="298" t="s">
        <v>4462</v>
      </c>
      <c r="AA22" s="298" t="s">
        <v>4463</v>
      </c>
      <c r="AB22" s="298" t="s">
        <v>4464</v>
      </c>
      <c r="AC22" s="298" t="s">
        <v>4465</v>
      </c>
      <c r="AD22" s="315" t="s">
        <v>4466</v>
      </c>
    </row>
    <row r="23" spans="1:30" ht="16.8"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2" thickTop="1" thickBot="1">
      <c r="A24" s="197"/>
      <c r="B24" s="2683" t="s">
        <v>4467</v>
      </c>
      <c r="C24" s="2684"/>
      <c r="D24" s="362"/>
      <c r="E24" s="362"/>
      <c r="F24" s="1954"/>
      <c r="G24" s="1954"/>
      <c r="H24" s="1954"/>
      <c r="I24" s="1954"/>
      <c r="J24" s="1955"/>
      <c r="K24" s="197"/>
      <c r="L24" s="178"/>
      <c r="M24" s="197"/>
      <c r="N24" s="197"/>
      <c r="O24" s="197"/>
      <c r="P24" s="363"/>
      <c r="R24" s="370"/>
      <c r="V24" s="370"/>
      <c r="X24" s="2683" t="s">
        <v>4467</v>
      </c>
      <c r="Y24" s="2684"/>
      <c r="Z24" s="366"/>
      <c r="AA24" s="366"/>
      <c r="AB24" s="366"/>
      <c r="AC24" s="366"/>
      <c r="AD24" s="367"/>
    </row>
    <row r="25" spans="1:30" ht="15.6" thickTop="1">
      <c r="A25" s="197"/>
      <c r="B25" s="2729" t="s">
        <v>4468</v>
      </c>
      <c r="C25" s="2730"/>
      <c r="D25" s="277" t="s">
        <v>4215</v>
      </c>
      <c r="E25" s="277">
        <v>3</v>
      </c>
      <c r="F25" s="278">
        <v>-628.89200000000005</v>
      </c>
      <c r="G25" s="278">
        <v>-10.672000000000001</v>
      </c>
      <c r="H25" s="278">
        <v>0</v>
      </c>
      <c r="I25" s="1933">
        <f t="shared" ref="I25:I31" si="12">IFERROR(G25-H25,0)</f>
        <v>-10.672000000000001</v>
      </c>
      <c r="J25" s="1953">
        <f t="shared" ref="J25:J31" si="13">IFERROR(F25+I25,0)</f>
        <v>-639.56400000000008</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29" t="s">
        <v>4468</v>
      </c>
      <c r="Y25" s="2730"/>
      <c r="Z25" s="278" t="s">
        <v>4470</v>
      </c>
      <c r="AA25" s="278" t="s">
        <v>4471</v>
      </c>
      <c r="AB25" s="278" t="s">
        <v>4472</v>
      </c>
      <c r="AC25" s="279" t="s">
        <v>4473</v>
      </c>
      <c r="AD25" s="351" t="s">
        <v>4474</v>
      </c>
    </row>
    <row r="26" spans="1:30" ht="15">
      <c r="A26" s="197"/>
      <c r="B26" s="2689" t="s">
        <v>4475</v>
      </c>
      <c r="C26" s="2690"/>
      <c r="D26" s="325" t="s">
        <v>4215</v>
      </c>
      <c r="E26" s="325">
        <v>3</v>
      </c>
      <c r="F26" s="287">
        <v>-56.137999999999998</v>
      </c>
      <c r="G26" s="287">
        <v>0</v>
      </c>
      <c r="H26" s="287">
        <v>0</v>
      </c>
      <c r="I26" s="1937">
        <f t="shared" si="12"/>
        <v>0</v>
      </c>
      <c r="J26" s="1936">
        <f t="shared" si="13"/>
        <v>-56.137999999999998</v>
      </c>
      <c r="K26" s="197"/>
      <c r="L26" s="290" t="s">
        <v>4476</v>
      </c>
      <c r="M26" s="197"/>
      <c r="N26" s="291"/>
      <c r="O26" s="197"/>
      <c r="P26" s="363"/>
      <c r="Q26" s="284">
        <f t="shared" si="14"/>
        <v>0</v>
      </c>
      <c r="R26" s="361"/>
      <c r="S26" s="285">
        <f t="shared" si="15"/>
        <v>0</v>
      </c>
      <c r="T26" s="285">
        <f t="shared" si="16"/>
        <v>0</v>
      </c>
      <c r="U26" s="285">
        <f t="shared" si="17"/>
        <v>0</v>
      </c>
      <c r="V26" s="361"/>
      <c r="X26" s="2689" t="s">
        <v>4475</v>
      </c>
      <c r="Y26" s="2690"/>
      <c r="Z26" s="287" t="s">
        <v>4477</v>
      </c>
      <c r="AA26" s="287" t="s">
        <v>4478</v>
      </c>
      <c r="AB26" s="287" t="s">
        <v>4479</v>
      </c>
      <c r="AC26" s="288" t="s">
        <v>4480</v>
      </c>
      <c r="AD26" s="313" t="s">
        <v>4481</v>
      </c>
    </row>
    <row r="27" spans="1:30" ht="15">
      <c r="A27" s="197"/>
      <c r="B27" s="2705" t="s">
        <v>4482</v>
      </c>
      <c r="C27" s="2706"/>
      <c r="D27" s="292" t="s">
        <v>4215</v>
      </c>
      <c r="E27" s="292">
        <v>3</v>
      </c>
      <c r="F27" s="287">
        <v>-94.516000000000005</v>
      </c>
      <c r="G27" s="287">
        <v>30.262</v>
      </c>
      <c r="H27" s="287">
        <v>0</v>
      </c>
      <c r="I27" s="1937">
        <f t="shared" si="12"/>
        <v>30.262</v>
      </c>
      <c r="J27" s="1936">
        <f t="shared" si="13"/>
        <v>-64.254000000000005</v>
      </c>
      <c r="K27" s="197"/>
      <c r="L27" s="290" t="s">
        <v>4483</v>
      </c>
      <c r="M27" s="197"/>
      <c r="N27" s="291"/>
      <c r="O27" s="197"/>
      <c r="P27" s="363"/>
      <c r="Q27" s="284">
        <f t="shared" si="14"/>
        <v>0</v>
      </c>
      <c r="R27" s="361"/>
      <c r="S27" s="285">
        <f t="shared" si="15"/>
        <v>0</v>
      </c>
      <c r="T27" s="285">
        <f t="shared" si="16"/>
        <v>0</v>
      </c>
      <c r="U27" s="285">
        <f t="shared" si="17"/>
        <v>0</v>
      </c>
      <c r="V27" s="361"/>
      <c r="X27" s="2705" t="s">
        <v>4482</v>
      </c>
      <c r="Y27" s="2706"/>
      <c r="Z27" s="287" t="s">
        <v>4484</v>
      </c>
      <c r="AA27" s="287" t="s">
        <v>4485</v>
      </c>
      <c r="AB27" s="287" t="s">
        <v>4486</v>
      </c>
      <c r="AC27" s="288" t="s">
        <v>4487</v>
      </c>
      <c r="AD27" s="313" t="s">
        <v>4488</v>
      </c>
    </row>
    <row r="28" spans="1:30" ht="15">
      <c r="A28" s="197"/>
      <c r="B28" s="2703" t="s">
        <v>4409</v>
      </c>
      <c r="C28" s="2704"/>
      <c r="D28" s="286" t="s">
        <v>4215</v>
      </c>
      <c r="E28" s="286">
        <v>3</v>
      </c>
      <c r="F28" s="287">
        <v>-15.6</v>
      </c>
      <c r="G28" s="287">
        <v>0</v>
      </c>
      <c r="H28" s="287">
        <v>0</v>
      </c>
      <c r="I28" s="1937">
        <f t="shared" si="12"/>
        <v>0</v>
      </c>
      <c r="J28" s="1936">
        <f t="shared" si="13"/>
        <v>-15.6</v>
      </c>
      <c r="K28" s="197"/>
      <c r="L28" s="290" t="s">
        <v>4489</v>
      </c>
      <c r="M28" s="197"/>
      <c r="N28" s="291"/>
      <c r="O28" s="197"/>
      <c r="P28" s="363"/>
      <c r="Q28" s="284">
        <f t="shared" si="14"/>
        <v>0</v>
      </c>
      <c r="R28" s="361"/>
      <c r="S28" s="285">
        <f t="shared" si="15"/>
        <v>0</v>
      </c>
      <c r="T28" s="285">
        <f t="shared" si="16"/>
        <v>0</v>
      </c>
      <c r="U28" s="285">
        <f t="shared" si="17"/>
        <v>0</v>
      </c>
      <c r="V28" s="361"/>
      <c r="X28" s="2703" t="s">
        <v>4409</v>
      </c>
      <c r="Y28" s="2704"/>
      <c r="Z28" s="287" t="s">
        <v>4490</v>
      </c>
      <c r="AA28" s="287" t="s">
        <v>4491</v>
      </c>
      <c r="AB28" s="287" t="s">
        <v>4492</v>
      </c>
      <c r="AC28" s="288" t="s">
        <v>4493</v>
      </c>
      <c r="AD28" s="313" t="s">
        <v>4494</v>
      </c>
    </row>
    <row r="29" spans="1:30" ht="15">
      <c r="A29" s="197"/>
      <c r="B29" s="2747" t="s">
        <v>4495</v>
      </c>
      <c r="C29" s="2748"/>
      <c r="D29" s="286" t="s">
        <v>4215</v>
      </c>
      <c r="E29" s="286">
        <v>3</v>
      </c>
      <c r="F29" s="287">
        <v>0</v>
      </c>
      <c r="G29" s="287">
        <v>0</v>
      </c>
      <c r="H29" s="287">
        <v>0</v>
      </c>
      <c r="I29" s="1937">
        <f t="shared" si="12"/>
        <v>0</v>
      </c>
      <c r="J29" s="1936">
        <f t="shared" si="13"/>
        <v>0</v>
      </c>
      <c r="K29" s="197"/>
      <c r="L29" s="290" t="s">
        <v>4496</v>
      </c>
      <c r="M29" s="197"/>
      <c r="N29" s="291"/>
      <c r="O29" s="197"/>
      <c r="P29" s="363"/>
      <c r="Q29" s="284">
        <f t="shared" si="14"/>
        <v>0</v>
      </c>
      <c r="R29" s="361"/>
      <c r="S29" s="285">
        <f t="shared" si="15"/>
        <v>0</v>
      </c>
      <c r="T29" s="285">
        <f t="shared" si="16"/>
        <v>0</v>
      </c>
      <c r="U29" s="285">
        <f t="shared" si="17"/>
        <v>0</v>
      </c>
      <c r="V29" s="361"/>
      <c r="X29" s="2747" t="s">
        <v>4495</v>
      </c>
      <c r="Y29" s="2748"/>
      <c r="Z29" s="287" t="s">
        <v>4497</v>
      </c>
      <c r="AA29" s="287" t="s">
        <v>4498</v>
      </c>
      <c r="AB29" s="287" t="s">
        <v>4499</v>
      </c>
      <c r="AC29" s="288" t="s">
        <v>4500</v>
      </c>
      <c r="AD29" s="313" t="s">
        <v>4501</v>
      </c>
    </row>
    <row r="30" spans="1:30" ht="15">
      <c r="A30" s="197"/>
      <c r="B30" s="2747" t="s">
        <v>4502</v>
      </c>
      <c r="C30" s="2748"/>
      <c r="D30" s="286" t="s">
        <v>4215</v>
      </c>
      <c r="E30" s="286">
        <v>3</v>
      </c>
      <c r="F30" s="287">
        <v>-17.8</v>
      </c>
      <c r="G30" s="287">
        <v>-12.356999999999999</v>
      </c>
      <c r="H30" s="287">
        <v>0</v>
      </c>
      <c r="I30" s="1937">
        <f t="shared" si="12"/>
        <v>-12.356999999999999</v>
      </c>
      <c r="J30" s="1936">
        <f t="shared" si="13"/>
        <v>-30.157</v>
      </c>
      <c r="K30" s="197"/>
      <c r="L30" s="290" t="s">
        <v>4503</v>
      </c>
      <c r="M30" s="197"/>
      <c r="N30" s="291"/>
      <c r="O30" s="197"/>
      <c r="P30" s="363"/>
      <c r="Q30" s="284">
        <f t="shared" si="14"/>
        <v>0</v>
      </c>
      <c r="R30" s="370"/>
      <c r="S30" s="285">
        <f t="shared" si="15"/>
        <v>0</v>
      </c>
      <c r="T30" s="285">
        <f t="shared" si="16"/>
        <v>0</v>
      </c>
      <c r="U30" s="285">
        <f t="shared" si="17"/>
        <v>0</v>
      </c>
      <c r="V30" s="370"/>
      <c r="X30" s="2747" t="s">
        <v>4502</v>
      </c>
      <c r="Y30" s="2748"/>
      <c r="Z30" s="287" t="s">
        <v>4504</v>
      </c>
      <c r="AA30" s="287" t="s">
        <v>4505</v>
      </c>
      <c r="AB30" s="287" t="s">
        <v>4506</v>
      </c>
      <c r="AC30" s="288" t="s">
        <v>4507</v>
      </c>
      <c r="AD30" s="313" t="s">
        <v>4508</v>
      </c>
    </row>
    <row r="31" spans="1:30" ht="15.6" thickBot="1">
      <c r="A31" s="197"/>
      <c r="B31" s="2685" t="s">
        <v>4509</v>
      </c>
      <c r="C31" s="2686"/>
      <c r="D31" s="332" t="s">
        <v>4215</v>
      </c>
      <c r="E31" s="332">
        <v>3</v>
      </c>
      <c r="F31" s="1939">
        <f>IFERROR(SUM(F25:F30),0)</f>
        <v>-812.94600000000003</v>
      </c>
      <c r="G31" s="1939">
        <f>IFERROR(SUM(G25:G30),0)</f>
        <v>7.2330000000000005</v>
      </c>
      <c r="H31" s="1939">
        <f>IFERROR(SUM(H25:H30),0)</f>
        <v>0</v>
      </c>
      <c r="I31" s="1939">
        <f t="shared" si="12"/>
        <v>7.2330000000000005</v>
      </c>
      <c r="J31" s="1932">
        <f t="shared" si="13"/>
        <v>-805.71300000000008</v>
      </c>
      <c r="K31" s="197"/>
      <c r="L31" s="356" t="s">
        <v>4510</v>
      </c>
      <c r="M31" s="197"/>
      <c r="N31" s="302"/>
      <c r="O31" s="197"/>
      <c r="P31" s="363"/>
      <c r="R31" s="370"/>
      <c r="V31" s="370"/>
      <c r="X31" s="2685" t="s">
        <v>4425</v>
      </c>
      <c r="Y31" s="2686"/>
      <c r="Z31" s="298" t="s">
        <v>4511</v>
      </c>
      <c r="AA31" s="298" t="s">
        <v>4512</v>
      </c>
      <c r="AB31" s="298" t="s">
        <v>4513</v>
      </c>
      <c r="AC31" s="298" t="s">
        <v>4514</v>
      </c>
      <c r="AD31" s="315" t="s">
        <v>4515</v>
      </c>
    </row>
    <row r="32" spans="1:30" ht="16.8"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2" thickTop="1" thickBot="1">
      <c r="A33" s="197"/>
      <c r="B33" s="2741" t="s">
        <v>4516</v>
      </c>
      <c r="C33" s="2742"/>
      <c r="D33" s="371" t="s">
        <v>4215</v>
      </c>
      <c r="E33" s="371">
        <v>3</v>
      </c>
      <c r="F33" s="372">
        <f xml:space="preserve"> IFERROR(F22 + F31,0)</f>
        <v>214.50400000000002</v>
      </c>
      <c r="G33" s="372">
        <f xml:space="preserve"> IFERROR(G22 + G31,0)</f>
        <v>11.533000000000001</v>
      </c>
      <c r="H33" s="372">
        <f xml:space="preserve"> IFERROR(H22 + H31,0)</f>
        <v>42.316000000000003</v>
      </c>
      <c r="I33" s="372">
        <f>IFERROR(G33-H33,0)</f>
        <v>-30.783000000000001</v>
      </c>
      <c r="J33" s="373">
        <f>IFERROR(F33+I33,0)</f>
        <v>183.721</v>
      </c>
      <c r="K33" s="197"/>
      <c r="L33" s="374" t="s">
        <v>4517</v>
      </c>
      <c r="M33" s="197"/>
      <c r="N33" s="375"/>
      <c r="O33" s="197"/>
      <c r="P33" s="363"/>
      <c r="R33" s="361"/>
      <c r="V33" s="361"/>
      <c r="X33" s="2741" t="s">
        <v>4516</v>
      </c>
      <c r="Y33" s="2742"/>
      <c r="Z33" s="372" t="s">
        <v>4518</v>
      </c>
      <c r="AA33" s="372" t="s">
        <v>4519</v>
      </c>
      <c r="AB33" s="372" t="s">
        <v>4520</v>
      </c>
      <c r="AC33" s="372" t="s">
        <v>4521</v>
      </c>
      <c r="AD33" s="373" t="s">
        <v>4522</v>
      </c>
    </row>
    <row r="34" spans="1:30" ht="16.8"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2" thickTop="1" thickBot="1">
      <c r="A35" s="197"/>
      <c r="B35" s="2683" t="s">
        <v>4523</v>
      </c>
      <c r="C35" s="2684"/>
      <c r="D35" s="362"/>
      <c r="E35" s="362"/>
      <c r="F35" s="1954"/>
      <c r="G35" s="1954"/>
      <c r="H35" s="1954"/>
      <c r="I35" s="1954"/>
      <c r="J35" s="1955"/>
      <c r="K35" s="197"/>
      <c r="L35" s="178"/>
      <c r="M35" s="197"/>
      <c r="N35" s="197"/>
      <c r="O35" s="197"/>
      <c r="P35" s="363"/>
      <c r="R35" s="361"/>
      <c r="V35" s="361"/>
      <c r="X35" s="2683" t="s">
        <v>4523</v>
      </c>
      <c r="Y35" s="2684"/>
      <c r="Z35" s="366"/>
      <c r="AA35" s="366"/>
      <c r="AB35" s="366"/>
      <c r="AC35" s="366"/>
      <c r="AD35" s="367"/>
    </row>
    <row r="36" spans="1:30" ht="15.6" thickTop="1">
      <c r="A36" s="197"/>
      <c r="B36" s="2729" t="s">
        <v>4468</v>
      </c>
      <c r="C36" s="2730"/>
      <c r="D36" s="277" t="s">
        <v>4215</v>
      </c>
      <c r="E36" s="277">
        <v>3</v>
      </c>
      <c r="F36" s="278">
        <v>-540.73500000000001</v>
      </c>
      <c r="G36" s="278">
        <v>520.73800000000006</v>
      </c>
      <c r="H36" s="278">
        <v>0</v>
      </c>
      <c r="I36" s="1933">
        <f t="shared" ref="I36:I45" si="18">IFERROR(G36-H36,0)</f>
        <v>520.73800000000006</v>
      </c>
      <c r="J36" s="1953">
        <f t="shared" ref="J36:J45" si="19">IFERROR(F36+I36,0)</f>
        <v>-19.996999999999957</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29" t="s">
        <v>4468</v>
      </c>
      <c r="Y36" s="2730"/>
      <c r="Z36" s="278" t="s">
        <v>4525</v>
      </c>
      <c r="AA36" s="278" t="s">
        <v>4526</v>
      </c>
      <c r="AB36" s="278" t="s">
        <v>4527</v>
      </c>
      <c r="AC36" s="279" t="s">
        <v>4528</v>
      </c>
      <c r="AD36" s="351" t="s">
        <v>4529</v>
      </c>
    </row>
    <row r="37" spans="1:30" ht="15">
      <c r="A37" s="197"/>
      <c r="B37" s="2689" t="s">
        <v>4482</v>
      </c>
      <c r="C37" s="2690"/>
      <c r="D37" s="325" t="s">
        <v>4215</v>
      </c>
      <c r="E37" s="325">
        <v>3</v>
      </c>
      <c r="F37" s="287">
        <v>-4438.5690000000004</v>
      </c>
      <c r="G37" s="287">
        <v>20.065999999999999</v>
      </c>
      <c r="H37" s="287">
        <v>0</v>
      </c>
      <c r="I37" s="1937">
        <f t="shared" si="18"/>
        <v>20.065999999999999</v>
      </c>
      <c r="J37" s="1936">
        <f t="shared" si="19"/>
        <v>-4418.5030000000006</v>
      </c>
      <c r="K37" s="197"/>
      <c r="L37" s="290" t="s">
        <v>4530</v>
      </c>
      <c r="M37" s="197"/>
      <c r="N37" s="291"/>
      <c r="O37" s="197"/>
      <c r="P37" s="363"/>
      <c r="Q37" s="284">
        <f t="shared" si="20"/>
        <v>0</v>
      </c>
      <c r="R37" s="377"/>
      <c r="S37" s="285">
        <f t="shared" si="21"/>
        <v>0</v>
      </c>
      <c r="T37" s="285">
        <f t="shared" si="22"/>
        <v>0</v>
      </c>
      <c r="U37" s="285">
        <f t="shared" si="23"/>
        <v>0</v>
      </c>
      <c r="V37" s="377"/>
      <c r="X37" s="2689" t="s">
        <v>4482</v>
      </c>
      <c r="Y37" s="2690"/>
      <c r="Z37" s="287" t="s">
        <v>4531</v>
      </c>
      <c r="AA37" s="287" t="s">
        <v>4532</v>
      </c>
      <c r="AB37" s="287" t="s">
        <v>4533</v>
      </c>
      <c r="AC37" s="288" t="s">
        <v>4534</v>
      </c>
      <c r="AD37" s="313" t="s">
        <v>4535</v>
      </c>
    </row>
    <row r="38" spans="1:30" ht="15">
      <c r="A38" s="197"/>
      <c r="B38" s="2705" t="s">
        <v>4409</v>
      </c>
      <c r="C38" s="2706"/>
      <c r="D38" s="292" t="s">
        <v>4215</v>
      </c>
      <c r="E38" s="292">
        <v>3</v>
      </c>
      <c r="F38" s="287">
        <v>-74.918999999999997</v>
      </c>
      <c r="G38" s="287">
        <v>0</v>
      </c>
      <c r="H38" s="287">
        <v>0</v>
      </c>
      <c r="I38" s="1937">
        <f t="shared" si="18"/>
        <v>0</v>
      </c>
      <c r="J38" s="1936">
        <f t="shared" si="19"/>
        <v>-74.918999999999997</v>
      </c>
      <c r="K38" s="197"/>
      <c r="L38" s="290" t="s">
        <v>4536</v>
      </c>
      <c r="M38" s="197"/>
      <c r="N38" s="291"/>
      <c r="O38" s="197"/>
      <c r="P38" s="363"/>
      <c r="Q38" s="284">
        <f t="shared" si="20"/>
        <v>0</v>
      </c>
      <c r="R38" s="361"/>
      <c r="S38" s="285">
        <f t="shared" si="21"/>
        <v>0</v>
      </c>
      <c r="T38" s="285">
        <f t="shared" si="22"/>
        <v>0</v>
      </c>
      <c r="U38" s="285">
        <f t="shared" si="23"/>
        <v>0</v>
      </c>
      <c r="V38" s="361"/>
      <c r="X38" s="2705" t="s">
        <v>4409</v>
      </c>
      <c r="Y38" s="2706"/>
      <c r="Z38" s="287" t="s">
        <v>4537</v>
      </c>
      <c r="AA38" s="287" t="s">
        <v>4538</v>
      </c>
      <c r="AB38" s="287" t="s">
        <v>4539</v>
      </c>
      <c r="AC38" s="288" t="s">
        <v>4540</v>
      </c>
      <c r="AD38" s="313" t="s">
        <v>4541</v>
      </c>
    </row>
    <row r="39" spans="1:30" ht="15">
      <c r="A39" s="197"/>
      <c r="B39" s="2703" t="s">
        <v>4542</v>
      </c>
      <c r="C39" s="2704"/>
      <c r="D39" s="286" t="s">
        <v>4215</v>
      </c>
      <c r="E39" s="286">
        <v>3</v>
      </c>
      <c r="F39" s="287">
        <v>0</v>
      </c>
      <c r="G39" s="287">
        <v>0</v>
      </c>
      <c r="H39" s="287">
        <v>0</v>
      </c>
      <c r="I39" s="1937">
        <f t="shared" si="18"/>
        <v>0</v>
      </c>
      <c r="J39" s="1936">
        <f t="shared" si="19"/>
        <v>0</v>
      </c>
      <c r="K39" s="197"/>
      <c r="L39" s="290" t="s">
        <v>4543</v>
      </c>
      <c r="M39" s="197"/>
      <c r="N39" s="291"/>
      <c r="O39" s="197"/>
      <c r="P39" s="363"/>
      <c r="Q39" s="284">
        <f t="shared" si="20"/>
        <v>0</v>
      </c>
      <c r="R39" s="361"/>
      <c r="S39" s="285">
        <f t="shared" si="21"/>
        <v>0</v>
      </c>
      <c r="T39" s="285">
        <f t="shared" si="22"/>
        <v>0</v>
      </c>
      <c r="U39" s="285">
        <f t="shared" si="23"/>
        <v>0</v>
      </c>
      <c r="V39" s="361"/>
      <c r="X39" s="2703" t="s">
        <v>4542</v>
      </c>
      <c r="Y39" s="2704"/>
      <c r="Z39" s="287" t="s">
        <v>4544</v>
      </c>
      <c r="AA39" s="287" t="s">
        <v>4545</v>
      </c>
      <c r="AB39" s="287" t="s">
        <v>4546</v>
      </c>
      <c r="AC39" s="288" t="s">
        <v>4547</v>
      </c>
      <c r="AD39" s="313" t="s">
        <v>4548</v>
      </c>
    </row>
    <row r="40" spans="1:30" ht="15">
      <c r="A40" s="197"/>
      <c r="B40" s="2747" t="s">
        <v>4502</v>
      </c>
      <c r="C40" s="2748"/>
      <c r="D40" s="286" t="s">
        <v>4215</v>
      </c>
      <c r="E40" s="286">
        <v>3</v>
      </c>
      <c r="F40" s="287">
        <v>-5.859</v>
      </c>
      <c r="G40" s="287">
        <v>0</v>
      </c>
      <c r="H40" s="287">
        <v>0</v>
      </c>
      <c r="I40" s="1937">
        <f t="shared" si="18"/>
        <v>0</v>
      </c>
      <c r="J40" s="1936">
        <f t="shared" si="19"/>
        <v>-5.859</v>
      </c>
      <c r="K40" s="197"/>
      <c r="L40" s="290" t="s">
        <v>4549</v>
      </c>
      <c r="M40" s="197"/>
      <c r="N40" s="291"/>
      <c r="O40" s="197"/>
      <c r="P40" s="363"/>
      <c r="Q40" s="284">
        <f t="shared" si="20"/>
        <v>0</v>
      </c>
      <c r="R40" s="361"/>
      <c r="S40" s="285">
        <f t="shared" si="21"/>
        <v>0</v>
      </c>
      <c r="T40" s="285">
        <f t="shared" si="22"/>
        <v>0</v>
      </c>
      <c r="U40" s="285">
        <f t="shared" si="23"/>
        <v>0</v>
      </c>
      <c r="V40" s="361"/>
      <c r="X40" s="2747" t="s">
        <v>4502</v>
      </c>
      <c r="Y40" s="2748"/>
      <c r="Z40" s="287" t="s">
        <v>4550</v>
      </c>
      <c r="AA40" s="287" t="s">
        <v>4551</v>
      </c>
      <c r="AB40" s="287" t="s">
        <v>4552</v>
      </c>
      <c r="AC40" s="288" t="s">
        <v>4553</v>
      </c>
      <c r="AD40" s="313" t="s">
        <v>4554</v>
      </c>
    </row>
    <row r="41" spans="1:30" ht="30">
      <c r="A41" s="197"/>
      <c r="B41" s="2747" t="s">
        <v>4555</v>
      </c>
      <c r="C41" s="2748"/>
      <c r="D41" s="286" t="s">
        <v>4215</v>
      </c>
      <c r="E41" s="286">
        <v>3</v>
      </c>
      <c r="F41" s="287">
        <v>0</v>
      </c>
      <c r="G41" s="287">
        <v>3.0000000000000001E-3</v>
      </c>
      <c r="H41" s="287">
        <v>0</v>
      </c>
      <c r="I41" s="1937">
        <f t="shared" si="18"/>
        <v>3.0000000000000001E-3</v>
      </c>
      <c r="J41" s="1936">
        <f t="shared" si="19"/>
        <v>3.0000000000000001E-3</v>
      </c>
      <c r="K41" s="197"/>
      <c r="L41" s="290" t="s">
        <v>4556</v>
      </c>
      <c r="M41" s="197"/>
      <c r="N41" s="291"/>
      <c r="O41" s="197"/>
      <c r="P41" s="363"/>
      <c r="Q41" s="284">
        <f t="shared" si="20"/>
        <v>0</v>
      </c>
      <c r="R41" s="361"/>
      <c r="S41" s="285">
        <f t="shared" si="21"/>
        <v>0</v>
      </c>
      <c r="T41" s="285">
        <f t="shared" si="22"/>
        <v>0</v>
      </c>
      <c r="U41" s="285">
        <f t="shared" si="23"/>
        <v>0</v>
      </c>
      <c r="V41" s="361"/>
      <c r="X41" s="2747" t="s">
        <v>4557</v>
      </c>
      <c r="Y41" s="2748"/>
      <c r="Z41" s="287" t="s">
        <v>4558</v>
      </c>
      <c r="AA41" s="287" t="s">
        <v>4559</v>
      </c>
      <c r="AB41" s="287" t="s">
        <v>4560</v>
      </c>
      <c r="AC41" s="288" t="s">
        <v>4561</v>
      </c>
      <c r="AD41" s="313" t="s">
        <v>4562</v>
      </c>
    </row>
    <row r="42" spans="1:30" ht="15">
      <c r="A42" s="197"/>
      <c r="B42" s="2689" t="s">
        <v>4563</v>
      </c>
      <c r="C42" s="2690"/>
      <c r="D42" s="325" t="s">
        <v>4215</v>
      </c>
      <c r="E42" s="325">
        <v>3</v>
      </c>
      <c r="F42" s="287">
        <v>0</v>
      </c>
      <c r="G42" s="287">
        <v>-540.80799999999999</v>
      </c>
      <c r="H42" s="287">
        <v>0</v>
      </c>
      <c r="I42" s="1937">
        <f t="shared" si="18"/>
        <v>-540.80799999999999</v>
      </c>
      <c r="J42" s="1936">
        <f t="shared" si="19"/>
        <v>-540.80799999999999</v>
      </c>
      <c r="K42" s="197"/>
      <c r="L42" s="290" t="s">
        <v>4564</v>
      </c>
      <c r="M42" s="197"/>
      <c r="N42" s="291"/>
      <c r="O42" s="197"/>
      <c r="P42" s="363"/>
      <c r="Q42" s="284">
        <f t="shared" si="20"/>
        <v>0</v>
      </c>
      <c r="R42" s="361"/>
      <c r="S42" s="285">
        <f t="shared" si="21"/>
        <v>0</v>
      </c>
      <c r="T42" s="285">
        <f t="shared" si="22"/>
        <v>0</v>
      </c>
      <c r="U42" s="285">
        <f t="shared" si="23"/>
        <v>0</v>
      </c>
      <c r="V42" s="361"/>
      <c r="X42" s="2689" t="s">
        <v>4563</v>
      </c>
      <c r="Y42" s="2690"/>
      <c r="Z42" s="287" t="s">
        <v>4565</v>
      </c>
      <c r="AA42" s="287" t="s">
        <v>4566</v>
      </c>
      <c r="AB42" s="287" t="s">
        <v>4567</v>
      </c>
      <c r="AC42" s="288" t="s">
        <v>4568</v>
      </c>
      <c r="AD42" s="313" t="s">
        <v>4569</v>
      </c>
    </row>
    <row r="43" spans="1:30" ht="15">
      <c r="A43" s="197"/>
      <c r="B43" s="2705" t="s">
        <v>4570</v>
      </c>
      <c r="C43" s="2706"/>
      <c r="D43" s="292" t="s">
        <v>4215</v>
      </c>
      <c r="E43" s="292">
        <v>3</v>
      </c>
      <c r="F43" s="287">
        <v>0</v>
      </c>
      <c r="G43" s="287">
        <v>0</v>
      </c>
      <c r="H43" s="287">
        <v>0</v>
      </c>
      <c r="I43" s="1937">
        <f t="shared" si="18"/>
        <v>0</v>
      </c>
      <c r="J43" s="1936">
        <f t="shared" si="19"/>
        <v>0</v>
      </c>
      <c r="K43" s="197"/>
      <c r="L43" s="290" t="s">
        <v>4571</v>
      </c>
      <c r="M43" s="197"/>
      <c r="N43" s="291"/>
      <c r="O43" s="197"/>
      <c r="P43" s="363"/>
      <c r="Q43" s="284">
        <f t="shared" si="20"/>
        <v>0</v>
      </c>
      <c r="R43" s="361"/>
      <c r="S43" s="285">
        <f t="shared" si="21"/>
        <v>0</v>
      </c>
      <c r="T43" s="285">
        <f t="shared" si="22"/>
        <v>0</v>
      </c>
      <c r="U43" s="285">
        <f t="shared" si="23"/>
        <v>0</v>
      </c>
      <c r="V43" s="361"/>
      <c r="X43" s="2705" t="s">
        <v>4570</v>
      </c>
      <c r="Y43" s="2706"/>
      <c r="Z43" s="287" t="s">
        <v>4572</v>
      </c>
      <c r="AA43" s="287" t="s">
        <v>4573</v>
      </c>
      <c r="AB43" s="287" t="s">
        <v>4574</v>
      </c>
      <c r="AC43" s="288" t="s">
        <v>4575</v>
      </c>
      <c r="AD43" s="313" t="s">
        <v>4576</v>
      </c>
    </row>
    <row r="44" spans="1:30" ht="15">
      <c r="A44" s="197"/>
      <c r="B44" s="2703" t="s">
        <v>4299</v>
      </c>
      <c r="C44" s="2704"/>
      <c r="D44" s="286" t="s">
        <v>4215</v>
      </c>
      <c r="E44" s="286">
        <v>3</v>
      </c>
      <c r="F44" s="287">
        <v>-793.43299999999999</v>
      </c>
      <c r="G44" s="287">
        <v>29.914999999999999</v>
      </c>
      <c r="H44" s="287">
        <v>0.26700000000000002</v>
      </c>
      <c r="I44" s="1937">
        <f t="shared" si="18"/>
        <v>29.648</v>
      </c>
      <c r="J44" s="1936">
        <f t="shared" si="19"/>
        <v>-763.78499999999997</v>
      </c>
      <c r="K44" s="197"/>
      <c r="L44" s="290" t="s">
        <v>4577</v>
      </c>
      <c r="M44" s="197"/>
      <c r="N44" s="291"/>
      <c r="O44" s="197"/>
      <c r="P44" s="363"/>
      <c r="Q44" s="284">
        <f t="shared" si="20"/>
        <v>0</v>
      </c>
      <c r="R44" s="361"/>
      <c r="S44" s="285">
        <f t="shared" si="21"/>
        <v>0</v>
      </c>
      <c r="T44" s="285">
        <f t="shared" si="22"/>
        <v>0</v>
      </c>
      <c r="U44" s="285">
        <f t="shared" si="23"/>
        <v>0</v>
      </c>
      <c r="V44" s="361"/>
      <c r="X44" s="2703" t="s">
        <v>4299</v>
      </c>
      <c r="Y44" s="2704"/>
      <c r="Z44" s="287" t="s">
        <v>4578</v>
      </c>
      <c r="AA44" s="287" t="s">
        <v>4579</v>
      </c>
      <c r="AB44" s="287" t="s">
        <v>4580</v>
      </c>
      <c r="AC44" s="288" t="s">
        <v>4581</v>
      </c>
      <c r="AD44" s="313" t="s">
        <v>4582</v>
      </c>
    </row>
    <row r="45" spans="1:30" ht="15.6" thickBot="1">
      <c r="A45" s="197"/>
      <c r="B45" s="2745" t="s">
        <v>4583</v>
      </c>
      <c r="C45" s="2746"/>
      <c r="D45" s="355" t="s">
        <v>4215</v>
      </c>
      <c r="E45" s="355">
        <v>3</v>
      </c>
      <c r="F45" s="1939">
        <f>IFERROR(SUM(F36:F44),0)</f>
        <v>-5853.5150000000003</v>
      </c>
      <c r="G45" s="1939">
        <f>IFERROR(SUM(G36:G44),0)</f>
        <v>29.914000000000136</v>
      </c>
      <c r="H45" s="1939">
        <f>IFERROR(SUM(H36:H44),0)</f>
        <v>0.26700000000000002</v>
      </c>
      <c r="I45" s="1939">
        <f t="shared" si="18"/>
        <v>29.647000000000137</v>
      </c>
      <c r="J45" s="1932">
        <f t="shared" si="19"/>
        <v>-5823.8680000000004</v>
      </c>
      <c r="K45" s="197"/>
      <c r="L45" s="356" t="s">
        <v>4584</v>
      </c>
      <c r="M45" s="197"/>
      <c r="N45" s="302"/>
      <c r="O45" s="197"/>
      <c r="P45" s="363"/>
      <c r="R45" s="361"/>
      <c r="V45" s="361"/>
      <c r="X45" s="2745" t="s">
        <v>4425</v>
      </c>
      <c r="Y45" s="2746"/>
      <c r="Z45" s="298" t="s">
        <v>4585</v>
      </c>
      <c r="AA45" s="298" t="s">
        <v>4586</v>
      </c>
      <c r="AB45" s="298" t="s">
        <v>4587</v>
      </c>
      <c r="AC45" s="298" t="s">
        <v>4588</v>
      </c>
      <c r="AD45" s="315" t="s">
        <v>4589</v>
      </c>
    </row>
    <row r="46" spans="1:30" ht="16.8"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2" thickTop="1" thickBot="1">
      <c r="A47" s="197"/>
      <c r="B47" s="2741" t="s">
        <v>4590</v>
      </c>
      <c r="C47" s="2742"/>
      <c r="D47" s="371" t="s">
        <v>4215</v>
      </c>
      <c r="E47" s="371">
        <v>3</v>
      </c>
      <c r="F47" s="372">
        <f>IFERROR(F15 + F33 + F45,0)</f>
        <v>1545.4880000000003</v>
      </c>
      <c r="G47" s="372">
        <f>IFERROR(G15 + G33 + G45,0)</f>
        <v>-89.530999999999864</v>
      </c>
      <c r="H47" s="372">
        <f>IFERROR(H15 + H33 + H45,0)</f>
        <v>42.583000000000006</v>
      </c>
      <c r="I47" s="372">
        <f t="shared" ref="I47" si="24">IFERROR(G47-H47,0)</f>
        <v>-132.11399999999986</v>
      </c>
      <c r="J47" s="373">
        <f t="shared" ref="J47" si="25">IFERROR(F47+I47,0)</f>
        <v>1413.3740000000005</v>
      </c>
      <c r="K47" s="197"/>
      <c r="L47" s="374" t="s">
        <v>4591</v>
      </c>
      <c r="M47" s="197"/>
      <c r="N47" s="375"/>
      <c r="O47" s="197"/>
      <c r="P47" s="363"/>
      <c r="R47" s="361"/>
      <c r="V47" s="361"/>
      <c r="X47" s="2741" t="s">
        <v>4590</v>
      </c>
      <c r="Y47" s="2742"/>
      <c r="Z47" s="372" t="s">
        <v>4592</v>
      </c>
      <c r="AA47" s="372" t="s">
        <v>4593</v>
      </c>
      <c r="AB47" s="372" t="s">
        <v>4594</v>
      </c>
      <c r="AC47" s="372" t="s">
        <v>4595</v>
      </c>
      <c r="AD47" s="373" t="s">
        <v>4596</v>
      </c>
    </row>
    <row r="48" spans="1:30" ht="16.8"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2" thickTop="1" thickBot="1">
      <c r="A49" s="197"/>
      <c r="B49" s="2683" t="s">
        <v>4597</v>
      </c>
      <c r="C49" s="2684"/>
      <c r="D49" s="362"/>
      <c r="E49" s="362"/>
      <c r="F49" s="1955"/>
      <c r="G49" s="1955"/>
      <c r="H49" s="1955"/>
      <c r="I49" s="1955"/>
      <c r="J49" s="1955"/>
      <c r="K49" s="106"/>
      <c r="L49" s="305"/>
      <c r="M49" s="197"/>
      <c r="N49" s="197"/>
      <c r="O49" s="197"/>
      <c r="P49" s="363"/>
      <c r="R49" s="361"/>
      <c r="V49" s="361"/>
      <c r="X49" s="2683" t="s">
        <v>4597</v>
      </c>
      <c r="Y49" s="2684"/>
      <c r="Z49" s="367"/>
      <c r="AA49" s="367"/>
      <c r="AB49" s="367"/>
      <c r="AC49" s="367"/>
      <c r="AD49" s="367"/>
    </row>
    <row r="50" spans="1:30" ht="15.6" thickTop="1">
      <c r="A50" s="197"/>
      <c r="B50" s="2729" t="s">
        <v>4598</v>
      </c>
      <c r="C50" s="2730"/>
      <c r="D50" s="277" t="s">
        <v>4215</v>
      </c>
      <c r="E50" s="277">
        <v>3</v>
      </c>
      <c r="F50" s="278">
        <v>309.89999999999998</v>
      </c>
      <c r="G50" s="278">
        <v>0</v>
      </c>
      <c r="H50" s="278">
        <v>0</v>
      </c>
      <c r="I50" s="1933">
        <f t="shared" ref="I50:I52" si="26">IFERROR(G50-H50,0)</f>
        <v>0</v>
      </c>
      <c r="J50" s="1953">
        <f t="shared" ref="J50:J52" si="27">IFERROR(F50+I50,0)</f>
        <v>309.89999999999998</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29" t="s">
        <v>4598</v>
      </c>
      <c r="Y50" s="2730"/>
      <c r="Z50" s="278" t="s">
        <v>4600</v>
      </c>
      <c r="AA50" s="278" t="s">
        <v>4601</v>
      </c>
      <c r="AB50" s="278" t="s">
        <v>4602</v>
      </c>
      <c r="AC50" s="279" t="s">
        <v>4603</v>
      </c>
      <c r="AD50" s="351" t="s">
        <v>4604</v>
      </c>
    </row>
    <row r="51" spans="1:30" ht="15">
      <c r="A51" s="197"/>
      <c r="B51" s="2689" t="s">
        <v>4605</v>
      </c>
      <c r="C51" s="2690"/>
      <c r="D51" s="325" t="s">
        <v>4215</v>
      </c>
      <c r="E51" s="325">
        <v>3</v>
      </c>
      <c r="F51" s="287">
        <v>1235.588</v>
      </c>
      <c r="G51" s="287">
        <v>-89.531000000000006</v>
      </c>
      <c r="H51" s="287">
        <v>42.582999999999998</v>
      </c>
      <c r="I51" s="1937">
        <f t="shared" si="26"/>
        <v>-132.114</v>
      </c>
      <c r="J51" s="1936">
        <f t="shared" si="27"/>
        <v>1103.4739999999999</v>
      </c>
      <c r="K51" s="197"/>
      <c r="L51" s="290" t="s">
        <v>4606</v>
      </c>
      <c r="M51" s="197"/>
      <c r="N51" s="291"/>
      <c r="O51" s="197"/>
      <c r="P51" s="363"/>
      <c r="Q51" s="284">
        <f t="shared" si="28"/>
        <v>0</v>
      </c>
      <c r="R51" s="361"/>
      <c r="S51" s="285">
        <f t="shared" si="29"/>
        <v>0</v>
      </c>
      <c r="T51" s="285">
        <f t="shared" si="30"/>
        <v>0</v>
      </c>
      <c r="U51" s="285">
        <f t="shared" si="31"/>
        <v>0</v>
      </c>
      <c r="V51" s="361"/>
      <c r="X51" s="2689" t="s">
        <v>4605</v>
      </c>
      <c r="Y51" s="2690"/>
      <c r="Z51" s="287" t="s">
        <v>4607</v>
      </c>
      <c r="AA51" s="287" t="s">
        <v>4608</v>
      </c>
      <c r="AB51" s="287" t="s">
        <v>4609</v>
      </c>
      <c r="AC51" s="288" t="s">
        <v>4610</v>
      </c>
      <c r="AD51" s="313" t="s">
        <v>4611</v>
      </c>
    </row>
    <row r="52" spans="1:30" ht="15.6" thickBot="1">
      <c r="A52" s="197"/>
      <c r="B52" s="2743" t="s">
        <v>4612</v>
      </c>
      <c r="C52" s="2744"/>
      <c r="D52" s="364" t="s">
        <v>4215</v>
      </c>
      <c r="E52" s="364">
        <v>3</v>
      </c>
      <c r="F52" s="1939">
        <f>IFERROR(SUM(F50:F51),0)</f>
        <v>1545.4879999999998</v>
      </c>
      <c r="G52" s="1939">
        <f>IFERROR(SUM(G50:G51),0)</f>
        <v>-89.531000000000006</v>
      </c>
      <c r="H52" s="1939">
        <f>IFERROR(SUM(H50:H51),0)</f>
        <v>42.582999999999998</v>
      </c>
      <c r="I52" s="1939">
        <f t="shared" si="26"/>
        <v>-132.114</v>
      </c>
      <c r="J52" s="1932">
        <f t="shared" si="27"/>
        <v>1413.3739999999998</v>
      </c>
      <c r="K52" s="197"/>
      <c r="L52" s="356" t="s">
        <v>4613</v>
      </c>
      <c r="M52" s="197"/>
      <c r="N52" s="302"/>
      <c r="O52" s="197"/>
      <c r="P52" s="363"/>
      <c r="R52" s="361"/>
      <c r="V52" s="361"/>
      <c r="X52" s="2743" t="s">
        <v>4612</v>
      </c>
      <c r="Y52" s="2744"/>
      <c r="Z52" s="298" t="s">
        <v>4614</v>
      </c>
      <c r="AA52" s="298" t="s">
        <v>4615</v>
      </c>
      <c r="AB52" s="298" t="s">
        <v>4616</v>
      </c>
      <c r="AC52" s="298" t="s">
        <v>4617</v>
      </c>
      <c r="AD52" s="315" t="s">
        <v>4618</v>
      </c>
    </row>
    <row r="53" spans="1:30" ht="15.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8" priority="15" operator="equal">
      <formula>0</formula>
    </cfRule>
  </conditionalFormatting>
  <conditionalFormatting sqref="Q18:Q21">
    <cfRule type="cellIs" dxfId="207" priority="4" operator="equal">
      <formula>0</formula>
    </cfRule>
  </conditionalFormatting>
  <conditionalFormatting sqref="Q25:Q30">
    <cfRule type="cellIs" dxfId="206" priority="3" operator="equal">
      <formula>0</formula>
    </cfRule>
  </conditionalFormatting>
  <conditionalFormatting sqref="Q36:Q44">
    <cfRule type="cellIs" dxfId="205" priority="2" operator="equal">
      <formula>0</formula>
    </cfRule>
  </conditionalFormatting>
  <conditionalFormatting sqref="Q50:Q51">
    <cfRule type="cellIs" dxfId="204"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29" zoomScaleNormal="100" zoomScaleSheetLayoutView="100" workbookViewId="0">
      <selection activeCell="J21" sqref="J21"/>
    </sheetView>
  </sheetViews>
  <sheetFormatPr defaultColWidth="9.09765625" defaultRowHeight="15"/>
  <cols>
    <col min="1" max="1" width="1.59765625" style="197" customWidth="1"/>
    <col min="2" max="2" width="14" style="197" customWidth="1"/>
    <col min="3" max="3" width="22.09765625" style="197" customWidth="1"/>
    <col min="4" max="4" width="6.19921875" style="197" bestFit="1" customWidth="1"/>
    <col min="5" max="5" width="5.69921875" style="197" bestFit="1" customWidth="1"/>
    <col min="6" max="6" width="10.69921875" style="197" bestFit="1" customWidth="1"/>
    <col min="7" max="7" width="20.69921875" style="197" bestFit="1" customWidth="1"/>
    <col min="8" max="8" width="10.69921875" style="197" bestFit="1" customWidth="1"/>
    <col min="9" max="9" width="15" style="197" customWidth="1"/>
    <col min="10" max="10" width="25.69921875" style="106" bestFit="1" customWidth="1"/>
    <col min="11" max="11" width="1.59765625" style="197" customWidth="1"/>
    <col min="12" max="12" width="17.19921875" style="197" bestFit="1" customWidth="1"/>
    <col min="13" max="13" width="1.59765625" style="197" customWidth="1"/>
    <col min="14" max="14" width="31.19921875" style="197" bestFit="1" customWidth="1"/>
    <col min="15" max="15" width="1.59765625" style="197" customWidth="1"/>
    <col min="16" max="16" width="1.59765625" style="224" customWidth="1"/>
    <col min="17" max="17" width="25.09765625" style="224" customWidth="1"/>
    <col min="18" max="18" width="1.59765625" style="263" customWidth="1"/>
    <col min="19" max="21" width="8.09765625" style="263" hidden="1" customWidth="1"/>
    <col min="22" max="22" width="1.59765625" style="263" hidden="1" customWidth="1"/>
    <col min="23" max="23" width="1.59765625" style="197" customWidth="1"/>
    <col min="24" max="25" width="23.69921875" style="197" customWidth="1"/>
    <col min="26" max="26" width="14.69921875" style="197" bestFit="1" customWidth="1"/>
    <col min="27" max="27" width="15.69921875" style="197" customWidth="1"/>
    <col min="28" max="28" width="15.69921875" style="197" bestFit="1" customWidth="1"/>
    <col min="29" max="29" width="18.69921875" style="197" bestFit="1" customWidth="1"/>
    <col min="30" max="30" width="25.69921875" style="197" bestFit="1" customWidth="1"/>
    <col min="31" max="31" width="23.69921875" style="197" customWidth="1"/>
    <col min="32" max="16384" width="9.09765625" style="197"/>
  </cols>
  <sheetData>
    <row r="1" spans="2:30" s="259" customFormat="1" ht="22.8">
      <c r="B1" s="2721" t="s">
        <v>4619</v>
      </c>
      <c r="C1" s="2721"/>
      <c r="D1" s="2721"/>
      <c r="E1" s="2721"/>
      <c r="F1" s="2721"/>
      <c r="G1" s="2721"/>
      <c r="H1" s="2721"/>
      <c r="I1" s="2721"/>
      <c r="J1" s="339"/>
      <c r="P1" s="340"/>
      <c r="Q1" s="267"/>
      <c r="R1" s="361"/>
      <c r="S1" s="263"/>
      <c r="T1" s="263"/>
      <c r="U1" s="263"/>
      <c r="V1" s="361"/>
      <c r="X1" s="2721" t="s">
        <v>4198</v>
      </c>
      <c r="Y1" s="2721"/>
      <c r="Z1" s="2721"/>
      <c r="AA1" s="2721"/>
      <c r="AB1" s="2721"/>
      <c r="AC1" s="2721"/>
      <c r="AD1" s="339"/>
    </row>
    <row r="2" spans="2:30" s="259" customFormat="1" ht="22.8">
      <c r="B2" s="2721" t="str">
        <f>SelectCompany!B4</f>
        <v>Dŵr Cymru</v>
      </c>
      <c r="C2" s="2721"/>
      <c r="D2" s="2721"/>
      <c r="E2" s="2721"/>
      <c r="F2" s="2721"/>
      <c r="G2" s="2721"/>
      <c r="H2" s="2721"/>
      <c r="I2" s="2721"/>
      <c r="J2" s="339"/>
      <c r="P2" s="340"/>
      <c r="Q2" s="267"/>
      <c r="R2" s="361"/>
      <c r="S2" s="263"/>
      <c r="T2" s="263"/>
      <c r="U2" s="263"/>
      <c r="V2" s="361"/>
      <c r="X2" s="2721"/>
      <c r="Y2" s="2721"/>
      <c r="Z2" s="2721"/>
      <c r="AA2" s="2721"/>
      <c r="AB2" s="2721"/>
      <c r="AC2" s="2721"/>
      <c r="AD2" s="339"/>
    </row>
    <row r="3" spans="2:30" s="259" customFormat="1" ht="19.2">
      <c r="B3" s="2722" t="s">
        <v>4620</v>
      </c>
      <c r="C3" s="2723"/>
      <c r="D3" s="2723"/>
      <c r="E3" s="2723"/>
      <c r="F3" s="2723"/>
      <c r="G3" s="2723"/>
      <c r="H3" s="2723"/>
      <c r="I3" s="2723"/>
      <c r="J3" s="2723"/>
      <c r="K3" s="2723"/>
      <c r="L3" s="2723"/>
      <c r="M3" s="2723"/>
      <c r="N3" s="2723"/>
      <c r="P3" s="342"/>
      <c r="Q3" s="265" t="s">
        <v>4200</v>
      </c>
      <c r="R3" s="361"/>
      <c r="S3" s="263"/>
      <c r="T3" s="263"/>
      <c r="U3" s="263"/>
      <c r="V3" s="361"/>
      <c r="X3" s="2724" t="s">
        <v>4620</v>
      </c>
      <c r="Y3" s="2725"/>
      <c r="Z3" s="2725"/>
      <c r="AA3" s="2725"/>
      <c r="AB3" s="2725"/>
      <c r="AC3" s="2725"/>
      <c r="AD3" s="2726"/>
    </row>
    <row r="4" spans="2:30" ht="16.2" thickBot="1">
      <c r="B4" s="266"/>
      <c r="C4" s="266"/>
      <c r="D4" s="266"/>
      <c r="E4" s="266"/>
      <c r="F4" s="2733"/>
      <c r="G4" s="2733"/>
      <c r="H4" s="2733"/>
      <c r="I4" s="2733"/>
      <c r="J4" s="344"/>
      <c r="L4" s="224"/>
      <c r="P4" s="345"/>
      <c r="Q4" s="267"/>
      <c r="R4" s="361"/>
      <c r="S4" s="2710" t="s">
        <v>4201</v>
      </c>
      <c r="T4" s="2710"/>
      <c r="U4" s="2710"/>
      <c r="V4" s="361"/>
      <c r="X4" s="266"/>
      <c r="Y4" s="266"/>
      <c r="Z4" s="2733"/>
      <c r="AA4" s="2733"/>
      <c r="AB4" s="2733"/>
      <c r="AC4" s="2733"/>
      <c r="AD4" s="344"/>
    </row>
    <row r="5" spans="2:30" ht="15.6" thickTop="1">
      <c r="B5" s="2711" t="s">
        <v>4202</v>
      </c>
      <c r="C5" s="2712"/>
      <c r="D5" s="2712" t="s">
        <v>4203</v>
      </c>
      <c r="E5" s="2712" t="s">
        <v>4204</v>
      </c>
      <c r="F5" s="2715" t="s">
        <v>4205</v>
      </c>
      <c r="G5" s="2715" t="s">
        <v>4206</v>
      </c>
      <c r="H5" s="2715"/>
      <c r="I5" s="2715"/>
      <c r="J5" s="2717" t="s">
        <v>4207</v>
      </c>
      <c r="L5" s="2719" t="s">
        <v>4208</v>
      </c>
      <c r="N5" s="2719" t="s">
        <v>4209</v>
      </c>
      <c r="P5" s="345"/>
      <c r="Q5" s="267"/>
      <c r="R5" s="361"/>
      <c r="S5" s="269" t="s">
        <v>4210</v>
      </c>
      <c r="T5" s="270"/>
      <c r="U5" s="270"/>
      <c r="V5" s="361"/>
      <c r="X5" s="2711" t="s">
        <v>4202</v>
      </c>
      <c r="Y5" s="2712"/>
      <c r="Z5" s="2715" t="s">
        <v>4205</v>
      </c>
      <c r="AA5" s="2715" t="s">
        <v>4206</v>
      </c>
      <c r="AB5" s="2715"/>
      <c r="AC5" s="2715"/>
      <c r="AD5" s="2717" t="s">
        <v>4207</v>
      </c>
    </row>
    <row r="6" spans="2:30" ht="60.6" thickBot="1">
      <c r="B6" s="2713"/>
      <c r="C6" s="2714"/>
      <c r="D6" s="2714"/>
      <c r="E6" s="2714"/>
      <c r="F6" s="2716"/>
      <c r="G6" s="271" t="s">
        <v>4211</v>
      </c>
      <c r="H6" s="271" t="s">
        <v>4212</v>
      </c>
      <c r="I6" s="271" t="s">
        <v>4213</v>
      </c>
      <c r="J6" s="2718"/>
      <c r="L6" s="2720"/>
      <c r="N6" s="2720"/>
      <c r="P6" s="345"/>
      <c r="Q6" s="267"/>
      <c r="R6" s="361"/>
      <c r="S6" s="224"/>
      <c r="T6" s="224"/>
      <c r="U6" s="224"/>
      <c r="V6" s="361"/>
      <c r="X6" s="2713"/>
      <c r="Y6" s="2714"/>
      <c r="Z6" s="2716"/>
      <c r="AA6" s="271" t="s">
        <v>4211</v>
      </c>
      <c r="AB6" s="271" t="s">
        <v>4212</v>
      </c>
      <c r="AC6" s="271" t="s">
        <v>4213</v>
      </c>
      <c r="AD6" s="2718"/>
    </row>
    <row r="7" spans="2:30" ht="16.8"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2" thickTop="1" thickBot="1">
      <c r="B8" s="2683" t="s">
        <v>4621</v>
      </c>
      <c r="C8" s="2684"/>
      <c r="D8" s="362"/>
      <c r="E8" s="362"/>
      <c r="F8" s="83"/>
      <c r="G8" s="83"/>
      <c r="H8" s="83"/>
      <c r="I8" s="83"/>
      <c r="J8" s="349"/>
      <c r="P8" s="345"/>
      <c r="Q8" s="267"/>
      <c r="R8" s="361"/>
      <c r="S8" s="224"/>
      <c r="T8" s="224"/>
      <c r="U8" s="224"/>
      <c r="V8" s="361"/>
      <c r="X8" s="2683" t="s">
        <v>4621</v>
      </c>
      <c r="Y8" s="2684"/>
      <c r="Z8" s="83"/>
      <c r="AA8" s="83"/>
      <c r="AB8" s="83"/>
      <c r="AC8" s="83"/>
      <c r="AD8" s="349"/>
    </row>
    <row r="9" spans="2:30" ht="15.6" thickTop="1">
      <c r="B9" s="2729" t="s">
        <v>4236</v>
      </c>
      <c r="C9" s="2730"/>
      <c r="D9" s="277" t="s">
        <v>4215</v>
      </c>
      <c r="E9" s="277">
        <v>3</v>
      </c>
      <c r="F9" s="1952">
        <f>IFERROR('1A'!F11,0)</f>
        <v>-6.3309999999999649</v>
      </c>
      <c r="G9" s="1952">
        <f>IFERROR('1A'!G11,0)</f>
        <v>-24.375999999999998</v>
      </c>
      <c r="H9" s="1952">
        <f>IFERROR('1A'!H11,0)</f>
        <v>-1.2409999999999997</v>
      </c>
      <c r="I9" s="1933">
        <f>IFERROR(G9-H9,0)</f>
        <v>-23.134999999999998</v>
      </c>
      <c r="J9" s="1953">
        <f t="shared" ref="J9:J20" si="0">IFERROR(F9+I9,0)</f>
        <v>-29.465999999999962</v>
      </c>
      <c r="L9" s="281" t="s">
        <v>4622</v>
      </c>
      <c r="N9" s="283"/>
      <c r="P9" s="363"/>
      <c r="Q9" s="267"/>
      <c r="R9" s="361"/>
      <c r="S9" s="270"/>
      <c r="T9" s="270"/>
      <c r="U9" s="270"/>
      <c r="V9" s="361"/>
      <c r="X9" s="2729" t="s">
        <v>4236</v>
      </c>
      <c r="Y9" s="2730"/>
      <c r="Z9" s="350" t="s">
        <v>4238</v>
      </c>
      <c r="AA9" s="350" t="s">
        <v>4239</v>
      </c>
      <c r="AB9" s="350" t="s">
        <v>4240</v>
      </c>
      <c r="AC9" s="279" t="s">
        <v>4241</v>
      </c>
      <c r="AD9" s="351" t="s">
        <v>4242</v>
      </c>
    </row>
    <row r="10" spans="2:30">
      <c r="B10" s="2689" t="s">
        <v>4243</v>
      </c>
      <c r="C10" s="2690"/>
      <c r="D10" s="325" t="s">
        <v>4215</v>
      </c>
      <c r="E10" s="325">
        <v>3</v>
      </c>
      <c r="F10" s="287">
        <v>0</v>
      </c>
      <c r="G10" s="287">
        <v>19.135999999999999</v>
      </c>
      <c r="H10" s="287">
        <v>0</v>
      </c>
      <c r="I10" s="1937">
        <f t="shared" ref="I10:I20" si="1">IFERROR(G10-H10,0)</f>
        <v>19.135999999999999</v>
      </c>
      <c r="J10" s="1936">
        <f t="shared" si="0"/>
        <v>19.135999999999999</v>
      </c>
      <c r="L10" s="290" t="s">
        <v>4623</v>
      </c>
      <c r="N10" s="291"/>
      <c r="P10" s="363"/>
      <c r="Q10" s="267"/>
      <c r="R10" s="361"/>
      <c r="S10" s="270"/>
      <c r="T10" s="270"/>
      <c r="U10" s="270"/>
      <c r="V10" s="361"/>
      <c r="X10" s="2689" t="s">
        <v>4243</v>
      </c>
      <c r="Y10" s="2690"/>
      <c r="Z10" s="740" t="s">
        <v>4624</v>
      </c>
      <c r="AA10" s="740" t="s">
        <v>4625</v>
      </c>
      <c r="AB10" s="740" t="s">
        <v>4626</v>
      </c>
      <c r="AC10" s="288" t="s">
        <v>4627</v>
      </c>
      <c r="AD10" s="313" t="s">
        <v>4628</v>
      </c>
    </row>
    <row r="11" spans="2:30">
      <c r="B11" s="2705" t="s">
        <v>4629</v>
      </c>
      <c r="C11" s="2706"/>
      <c r="D11" s="292" t="s">
        <v>4215</v>
      </c>
      <c r="E11" s="292">
        <v>3</v>
      </c>
      <c r="F11" s="287">
        <v>358.03300000000002</v>
      </c>
      <c r="G11" s="287">
        <v>-4.42</v>
      </c>
      <c r="H11" s="287">
        <v>0</v>
      </c>
      <c r="I11" s="1937">
        <f t="shared" si="1"/>
        <v>-4.42</v>
      </c>
      <c r="J11" s="1936">
        <f t="shared" si="0"/>
        <v>353.613</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05" t="s">
        <v>4629</v>
      </c>
      <c r="Y11" s="2706"/>
      <c r="Z11" s="287" t="s">
        <v>4631</v>
      </c>
      <c r="AA11" s="287" t="s">
        <v>4632</v>
      </c>
      <c r="AB11" s="287" t="s">
        <v>4633</v>
      </c>
      <c r="AC11" s="288" t="s">
        <v>4634</v>
      </c>
      <c r="AD11" s="313" t="s">
        <v>4635</v>
      </c>
    </row>
    <row r="12" spans="2:30">
      <c r="B12" s="2703" t="s">
        <v>4636</v>
      </c>
      <c r="C12" s="2704"/>
      <c r="D12" s="286" t="s">
        <v>4215</v>
      </c>
      <c r="E12" s="286">
        <v>3</v>
      </c>
      <c r="F12" s="287">
        <v>-12.416</v>
      </c>
      <c r="G12" s="287">
        <v>12.416</v>
      </c>
      <c r="H12" s="287">
        <v>0</v>
      </c>
      <c r="I12" s="1937">
        <f t="shared" si="1"/>
        <v>12.416</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703" t="s">
        <v>4638</v>
      </c>
      <c r="Y12" s="2704"/>
      <c r="Z12" s="287" t="s">
        <v>4639</v>
      </c>
      <c r="AA12" s="287" t="s">
        <v>4640</v>
      </c>
      <c r="AB12" s="287" t="s">
        <v>4641</v>
      </c>
      <c r="AC12" s="288" t="s">
        <v>4642</v>
      </c>
      <c r="AD12" s="313" t="s">
        <v>4643</v>
      </c>
    </row>
    <row r="13" spans="2:30">
      <c r="B13" s="2747" t="s">
        <v>4644</v>
      </c>
      <c r="C13" s="2748"/>
      <c r="D13" s="286" t="s">
        <v>4215</v>
      </c>
      <c r="E13" s="286">
        <v>3</v>
      </c>
      <c r="F13" s="287">
        <v>-5.6760000000000002</v>
      </c>
      <c r="G13" s="287">
        <v>-2.7559999999999998</v>
      </c>
      <c r="H13" s="287">
        <v>0</v>
      </c>
      <c r="I13" s="1937">
        <f t="shared" si="1"/>
        <v>-2.7559999999999998</v>
      </c>
      <c r="J13" s="1936">
        <f t="shared" si="0"/>
        <v>-8.4320000000000004</v>
      </c>
      <c r="L13" s="290" t="s">
        <v>4645</v>
      </c>
      <c r="N13" s="291"/>
      <c r="P13" s="363"/>
      <c r="Q13" s="284">
        <f t="shared" si="2"/>
        <v>0</v>
      </c>
      <c r="R13" s="361"/>
      <c r="S13" s="285">
        <f t="shared" si="6"/>
        <v>0</v>
      </c>
      <c r="T13" s="285">
        <f t="shared" si="4"/>
        <v>0</v>
      </c>
      <c r="U13" s="285">
        <f t="shared" si="5"/>
        <v>0</v>
      </c>
      <c r="V13" s="361"/>
      <c r="X13" s="2747" t="s">
        <v>4644</v>
      </c>
      <c r="Y13" s="2748"/>
      <c r="Z13" s="287" t="s">
        <v>4646</v>
      </c>
      <c r="AA13" s="287" t="s">
        <v>4647</v>
      </c>
      <c r="AB13" s="287" t="s">
        <v>4648</v>
      </c>
      <c r="AC13" s="288" t="s">
        <v>4649</v>
      </c>
      <c r="AD13" s="313" t="s">
        <v>4650</v>
      </c>
    </row>
    <row r="14" spans="2:30">
      <c r="B14" s="2689" t="s">
        <v>4651</v>
      </c>
      <c r="C14" s="2690"/>
      <c r="D14" s="325" t="s">
        <v>4215</v>
      </c>
      <c r="E14" s="325">
        <v>3</v>
      </c>
      <c r="F14" s="287">
        <v>29.6</v>
      </c>
      <c r="G14" s="287">
        <v>0</v>
      </c>
      <c r="H14" s="287">
        <v>0</v>
      </c>
      <c r="I14" s="1937">
        <f t="shared" si="1"/>
        <v>0</v>
      </c>
      <c r="J14" s="1936">
        <f t="shared" si="0"/>
        <v>29.6</v>
      </c>
      <c r="L14" s="290" t="s">
        <v>4652</v>
      </c>
      <c r="N14" s="291"/>
      <c r="P14" s="363"/>
      <c r="Q14" s="284">
        <f t="shared" si="2"/>
        <v>0</v>
      </c>
      <c r="R14" s="361"/>
      <c r="S14" s="285">
        <f t="shared" si="6"/>
        <v>0</v>
      </c>
      <c r="T14" s="285">
        <f t="shared" si="4"/>
        <v>0</v>
      </c>
      <c r="U14" s="285">
        <f t="shared" si="5"/>
        <v>0</v>
      </c>
      <c r="V14" s="361"/>
      <c r="X14" s="2689" t="s">
        <v>4651</v>
      </c>
      <c r="Y14" s="2690"/>
      <c r="Z14" s="287" t="s">
        <v>4653</v>
      </c>
      <c r="AA14" s="287" t="s">
        <v>4654</v>
      </c>
      <c r="AB14" s="287" t="s">
        <v>4655</v>
      </c>
      <c r="AC14" s="288" t="s">
        <v>4656</v>
      </c>
      <c r="AD14" s="313" t="s">
        <v>4657</v>
      </c>
    </row>
    <row r="15" spans="2:30">
      <c r="B15" s="2705" t="s">
        <v>4658</v>
      </c>
      <c r="C15" s="2706"/>
      <c r="D15" s="292" t="s">
        <v>4215</v>
      </c>
      <c r="E15" s="292">
        <v>3</v>
      </c>
      <c r="F15" s="287">
        <v>14.6</v>
      </c>
      <c r="G15" s="287">
        <v>0</v>
      </c>
      <c r="H15" s="287">
        <v>0</v>
      </c>
      <c r="I15" s="1937">
        <f t="shared" si="1"/>
        <v>0</v>
      </c>
      <c r="J15" s="1936">
        <f t="shared" si="0"/>
        <v>14.6</v>
      </c>
      <c r="L15" s="290" t="s">
        <v>4659</v>
      </c>
      <c r="N15" s="291"/>
      <c r="P15" s="363"/>
      <c r="Q15" s="284">
        <f t="shared" si="2"/>
        <v>0</v>
      </c>
      <c r="R15" s="361"/>
      <c r="S15" s="285">
        <f t="shared" si="6"/>
        <v>0</v>
      </c>
      <c r="T15" s="285">
        <f t="shared" si="4"/>
        <v>0</v>
      </c>
      <c r="U15" s="285">
        <f t="shared" si="5"/>
        <v>0</v>
      </c>
      <c r="V15" s="361"/>
      <c r="X15" s="2705" t="s">
        <v>4658</v>
      </c>
      <c r="Y15" s="2706"/>
      <c r="Z15" s="287" t="s">
        <v>4660</v>
      </c>
      <c r="AA15" s="287" t="s">
        <v>4661</v>
      </c>
      <c r="AB15" s="287" t="s">
        <v>4662</v>
      </c>
      <c r="AC15" s="288" t="s">
        <v>4663</v>
      </c>
      <c r="AD15" s="313" t="s">
        <v>4664</v>
      </c>
    </row>
    <row r="16" spans="2:30">
      <c r="B16" s="2747" t="s">
        <v>4665</v>
      </c>
      <c r="C16" s="2748"/>
      <c r="D16" s="286" t="s">
        <v>4215</v>
      </c>
      <c r="E16" s="286">
        <v>3</v>
      </c>
      <c r="F16" s="287">
        <v>-0.35799999999999998</v>
      </c>
      <c r="G16" s="287">
        <v>0</v>
      </c>
      <c r="H16" s="287">
        <v>0</v>
      </c>
      <c r="I16" s="1937">
        <f t="shared" si="1"/>
        <v>0</v>
      </c>
      <c r="J16" s="1936">
        <f t="shared" si="0"/>
        <v>-0.35799999999999998</v>
      </c>
      <c r="L16" s="290" t="s">
        <v>4666</v>
      </c>
      <c r="N16" s="291"/>
      <c r="P16" s="363"/>
      <c r="Q16" s="284">
        <f t="shared" si="2"/>
        <v>0</v>
      </c>
      <c r="R16" s="361"/>
      <c r="S16" s="285">
        <f t="shared" si="6"/>
        <v>0</v>
      </c>
      <c r="T16" s="285">
        <f t="shared" si="4"/>
        <v>0</v>
      </c>
      <c r="U16" s="285">
        <f t="shared" si="5"/>
        <v>0</v>
      </c>
      <c r="V16" s="361"/>
      <c r="X16" s="2747" t="s">
        <v>4665</v>
      </c>
      <c r="Y16" s="2748"/>
      <c r="Z16" s="287" t="s">
        <v>4667</v>
      </c>
      <c r="AA16" s="287" t="s">
        <v>4668</v>
      </c>
      <c r="AB16" s="287" t="s">
        <v>4669</v>
      </c>
      <c r="AC16" s="288" t="s">
        <v>4670</v>
      </c>
      <c r="AD16" s="313" t="s">
        <v>4671</v>
      </c>
    </row>
    <row r="17" spans="2:30">
      <c r="B17" s="2689" t="s">
        <v>4672</v>
      </c>
      <c r="C17" s="2690"/>
      <c r="D17" s="325" t="s">
        <v>4215</v>
      </c>
      <c r="E17" s="325">
        <v>3</v>
      </c>
      <c r="F17" s="1937">
        <f>IFERROR(SUM(F9:F16),0)</f>
        <v>377.45200000000011</v>
      </c>
      <c r="G17" s="1937">
        <f>IFERROR(SUM(G9:G16),0)</f>
        <v>2.2204460492503131E-15</v>
      </c>
      <c r="H17" s="1937">
        <f>IFERROR(SUM(H9:H16),0)</f>
        <v>-1.2409999999999997</v>
      </c>
      <c r="I17" s="1937">
        <f t="shared" si="1"/>
        <v>1.2410000000000019</v>
      </c>
      <c r="J17" s="1936">
        <f t="shared" si="0"/>
        <v>378.6930000000001</v>
      </c>
      <c r="L17" s="290" t="s">
        <v>4673</v>
      </c>
      <c r="N17" s="291"/>
      <c r="P17" s="363"/>
      <c r="Q17" s="267"/>
      <c r="R17" s="361"/>
      <c r="S17" s="270"/>
      <c r="T17" s="270"/>
      <c r="U17" s="270"/>
      <c r="V17" s="361"/>
      <c r="X17" s="2689" t="s">
        <v>4672</v>
      </c>
      <c r="Y17" s="2690"/>
      <c r="Z17" s="288" t="s">
        <v>4674</v>
      </c>
      <c r="AA17" s="288" t="s">
        <v>4675</v>
      </c>
      <c r="AB17" s="288" t="s">
        <v>4676</v>
      </c>
      <c r="AC17" s="288" t="s">
        <v>4677</v>
      </c>
      <c r="AD17" s="313" t="s">
        <v>4678</v>
      </c>
    </row>
    <row r="18" spans="2:30">
      <c r="B18" s="2753" t="s">
        <v>4679</v>
      </c>
      <c r="C18" s="2754"/>
      <c r="D18" s="292" t="s">
        <v>4215</v>
      </c>
      <c r="E18" s="292">
        <v>3</v>
      </c>
      <c r="F18" s="287">
        <v>-136.45699999999999</v>
      </c>
      <c r="G18" s="287">
        <v>0</v>
      </c>
      <c r="H18" s="287">
        <v>0.9</v>
      </c>
      <c r="I18" s="1937">
        <f t="shared" si="1"/>
        <v>-0.9</v>
      </c>
      <c r="J18" s="1936">
        <f t="shared" si="0"/>
        <v>-137.357</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53" t="s">
        <v>4679</v>
      </c>
      <c r="Y18" s="2754"/>
      <c r="Z18" s="287" t="s">
        <v>4681</v>
      </c>
      <c r="AA18" s="287" t="s">
        <v>4682</v>
      </c>
      <c r="AB18" s="287" t="s">
        <v>4683</v>
      </c>
      <c r="AC18" s="288" t="s">
        <v>4684</v>
      </c>
      <c r="AD18" s="313" t="s">
        <v>4685</v>
      </c>
    </row>
    <row r="19" spans="2:30">
      <c r="B19" s="2697" t="s">
        <v>4686</v>
      </c>
      <c r="C19" s="2698"/>
      <c r="D19" s="293" t="s">
        <v>4215</v>
      </c>
      <c r="E19" s="293">
        <v>3</v>
      </c>
      <c r="F19" s="287">
        <v>0.56100000000000005</v>
      </c>
      <c r="G19" s="287">
        <v>0</v>
      </c>
      <c r="H19" s="287">
        <v>0</v>
      </c>
      <c r="I19" s="1937">
        <f t="shared" si="1"/>
        <v>0</v>
      </c>
      <c r="J19" s="1936">
        <f t="shared" si="0"/>
        <v>0.56100000000000005</v>
      </c>
      <c r="L19" s="290" t="s">
        <v>4687</v>
      </c>
      <c r="N19" s="291"/>
      <c r="P19" s="363"/>
      <c r="Q19" s="284">
        <f t="shared" si="2"/>
        <v>0</v>
      </c>
      <c r="R19" s="361"/>
      <c r="S19" s="285">
        <f t="shared" si="7"/>
        <v>0</v>
      </c>
      <c r="T19" s="285">
        <f t="shared" si="8"/>
        <v>0</v>
      </c>
      <c r="U19" s="285">
        <f t="shared" si="9"/>
        <v>0</v>
      </c>
      <c r="V19" s="361"/>
      <c r="X19" s="2697" t="s">
        <v>4686</v>
      </c>
      <c r="Y19" s="2698"/>
      <c r="Z19" s="287" t="s">
        <v>4688</v>
      </c>
      <c r="AA19" s="287" t="s">
        <v>4689</v>
      </c>
      <c r="AB19" s="287" t="s">
        <v>4690</v>
      </c>
      <c r="AC19" s="288" t="s">
        <v>4691</v>
      </c>
      <c r="AD19" s="313" t="s">
        <v>4692</v>
      </c>
    </row>
    <row r="20" spans="2:30" ht="15.6" thickBot="1">
      <c r="B20" s="2751" t="s">
        <v>4693</v>
      </c>
      <c r="C20" s="2752"/>
      <c r="D20" s="382" t="s">
        <v>4215</v>
      </c>
      <c r="E20" s="382">
        <v>3</v>
      </c>
      <c r="F20" s="1939">
        <f>IFERROR(SUM(F17:F19),0)</f>
        <v>241.55600000000013</v>
      </c>
      <c r="G20" s="1939">
        <f>IFERROR(SUM(G17:G19),0)</f>
        <v>2.2204460492503131E-15</v>
      </c>
      <c r="H20" s="1939">
        <f>IFERROR(SUM(H17:H19),0)</f>
        <v>-0.34099999999999964</v>
      </c>
      <c r="I20" s="1939">
        <f t="shared" si="1"/>
        <v>0.34100000000000186</v>
      </c>
      <c r="J20" s="1932">
        <f t="shared" si="0"/>
        <v>241.89700000000013</v>
      </c>
      <c r="L20" s="356" t="s">
        <v>4694</v>
      </c>
      <c r="N20" s="302"/>
      <c r="P20" s="363"/>
      <c r="Q20" s="267"/>
      <c r="R20" s="361"/>
      <c r="S20" s="270"/>
      <c r="T20" s="270"/>
      <c r="U20" s="270"/>
      <c r="V20" s="361"/>
      <c r="X20" s="2751" t="s">
        <v>4693</v>
      </c>
      <c r="Y20" s="2752"/>
      <c r="Z20" s="298" t="s">
        <v>4695</v>
      </c>
      <c r="AA20" s="298" t="s">
        <v>4696</v>
      </c>
      <c r="AB20" s="298" t="s">
        <v>4697</v>
      </c>
      <c r="AC20" s="298" t="s">
        <v>4698</v>
      </c>
      <c r="AD20" s="315" t="s">
        <v>4699</v>
      </c>
    </row>
    <row r="21" spans="2:30" ht="16.8"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2" thickTop="1" thickBot="1">
      <c r="B22" s="2683" t="s">
        <v>4700</v>
      </c>
      <c r="C22" s="2684"/>
      <c r="D22" s="362"/>
      <c r="E22" s="362"/>
      <c r="F22" s="1954"/>
      <c r="G22" s="1954"/>
      <c r="H22" s="1954"/>
      <c r="I22" s="1954"/>
      <c r="J22" s="1955"/>
      <c r="P22" s="363"/>
      <c r="Q22" s="267"/>
      <c r="R22" s="361"/>
      <c r="S22" s="270"/>
      <c r="T22" s="270"/>
      <c r="U22" s="270"/>
      <c r="V22" s="361"/>
      <c r="X22" s="2683" t="s">
        <v>4700</v>
      </c>
      <c r="Y22" s="2684"/>
      <c r="Z22" s="366"/>
      <c r="AA22" s="366"/>
      <c r="AB22" s="366"/>
      <c r="AC22" s="366"/>
      <c r="AD22" s="367"/>
    </row>
    <row r="23" spans="2:30" ht="15.6" thickTop="1">
      <c r="B23" s="2729" t="s">
        <v>4701</v>
      </c>
      <c r="C23" s="2730"/>
      <c r="D23" s="277" t="s">
        <v>4215</v>
      </c>
      <c r="E23" s="277">
        <v>3</v>
      </c>
      <c r="F23" s="278">
        <v>-335.14499999999998</v>
      </c>
      <c r="G23" s="278">
        <v>0</v>
      </c>
      <c r="H23" s="278">
        <v>0</v>
      </c>
      <c r="I23" s="1933">
        <f t="shared" ref="I23:I27" si="10">IFERROR(G23-H23,0)</f>
        <v>0</v>
      </c>
      <c r="J23" s="1953">
        <f>IFERROR(F23+I23,0)</f>
        <v>-335.14499999999998</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29" t="s">
        <v>4701</v>
      </c>
      <c r="Y23" s="2730"/>
      <c r="Z23" s="278" t="s">
        <v>4703</v>
      </c>
      <c r="AA23" s="278" t="s">
        <v>4704</v>
      </c>
      <c r="AB23" s="278" t="s">
        <v>4705</v>
      </c>
      <c r="AC23" s="279" t="s">
        <v>4706</v>
      </c>
      <c r="AD23" s="351" t="s">
        <v>4707</v>
      </c>
    </row>
    <row r="24" spans="2:30">
      <c r="B24" s="2689" t="s">
        <v>4708</v>
      </c>
      <c r="C24" s="2690"/>
      <c r="D24" s="325" t="s">
        <v>4215</v>
      </c>
      <c r="E24" s="325">
        <v>3</v>
      </c>
      <c r="F24" s="287">
        <v>30.530999999999999</v>
      </c>
      <c r="G24" s="287">
        <v>0</v>
      </c>
      <c r="H24" s="287">
        <v>0</v>
      </c>
      <c r="I24" s="1937">
        <f t="shared" si="10"/>
        <v>0</v>
      </c>
      <c r="J24" s="1936">
        <f>IFERROR(F24+I24,0)</f>
        <v>30.530999999999999</v>
      </c>
      <c r="L24" s="290" t="s">
        <v>4709</v>
      </c>
      <c r="N24" s="291"/>
      <c r="P24" s="363"/>
      <c r="Q24" s="284">
        <f t="shared" si="11"/>
        <v>0</v>
      </c>
      <c r="R24" s="370"/>
      <c r="S24" s="285">
        <f t="shared" si="12"/>
        <v>0</v>
      </c>
      <c r="T24" s="285">
        <f t="shared" si="13"/>
        <v>0</v>
      </c>
      <c r="U24" s="285">
        <f t="shared" si="14"/>
        <v>0</v>
      </c>
      <c r="V24" s="370"/>
      <c r="X24" s="2689" t="s">
        <v>4708</v>
      </c>
      <c r="Y24" s="2690"/>
      <c r="Z24" s="287" t="s">
        <v>4710</v>
      </c>
      <c r="AA24" s="287" t="s">
        <v>4711</v>
      </c>
      <c r="AB24" s="287" t="s">
        <v>4712</v>
      </c>
      <c r="AC24" s="288" t="s">
        <v>4713</v>
      </c>
      <c r="AD24" s="313" t="s">
        <v>4714</v>
      </c>
    </row>
    <row r="25" spans="2:30">
      <c r="B25" s="2705" t="s">
        <v>4715</v>
      </c>
      <c r="C25" s="2706"/>
      <c r="D25" s="292" t="s">
        <v>4215</v>
      </c>
      <c r="E25" s="292">
        <v>3</v>
      </c>
      <c r="F25" s="287">
        <v>0.4</v>
      </c>
      <c r="G25" s="287">
        <v>0</v>
      </c>
      <c r="H25" s="287">
        <v>0</v>
      </c>
      <c r="I25" s="1937">
        <f t="shared" si="10"/>
        <v>0</v>
      </c>
      <c r="J25" s="1936">
        <f>IFERROR(F25+I25,0)</f>
        <v>0.4</v>
      </c>
      <c r="L25" s="290" t="s">
        <v>4716</v>
      </c>
      <c r="N25" s="291"/>
      <c r="P25" s="363"/>
      <c r="Q25" s="284">
        <f t="shared" si="11"/>
        <v>0</v>
      </c>
      <c r="R25" s="370"/>
      <c r="S25" s="285">
        <f t="shared" si="12"/>
        <v>0</v>
      </c>
      <c r="T25" s="285">
        <f t="shared" si="13"/>
        <v>0</v>
      </c>
      <c r="U25" s="285">
        <f t="shared" si="14"/>
        <v>0</v>
      </c>
      <c r="V25" s="370"/>
      <c r="X25" s="2705" t="s">
        <v>4715</v>
      </c>
      <c r="Y25" s="2706"/>
      <c r="Z25" s="287" t="s">
        <v>4717</v>
      </c>
      <c r="AA25" s="287" t="s">
        <v>4718</v>
      </c>
      <c r="AB25" s="287" t="s">
        <v>4719</v>
      </c>
      <c r="AC25" s="288" t="s">
        <v>4720</v>
      </c>
      <c r="AD25" s="313" t="s">
        <v>4721</v>
      </c>
    </row>
    <row r="26" spans="2:30">
      <c r="B26" s="2703" t="s">
        <v>4722</v>
      </c>
      <c r="C26" s="2704"/>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703" t="s">
        <v>4722</v>
      </c>
      <c r="Y26" s="2704"/>
      <c r="Z26" s="287" t="s">
        <v>4724</v>
      </c>
      <c r="AA26" s="287" t="s">
        <v>4725</v>
      </c>
      <c r="AB26" s="287" t="s">
        <v>4726</v>
      </c>
      <c r="AC26" s="288" t="s">
        <v>4727</v>
      </c>
      <c r="AD26" s="313" t="s">
        <v>4728</v>
      </c>
    </row>
    <row r="27" spans="2:30" ht="15.6" thickBot="1">
      <c r="B27" s="2745" t="s">
        <v>4729</v>
      </c>
      <c r="C27" s="2746"/>
      <c r="D27" s="355" t="s">
        <v>4215</v>
      </c>
      <c r="E27" s="355">
        <v>3</v>
      </c>
      <c r="F27" s="1939">
        <f>IFERROR(SUM(F23:F26),0)</f>
        <v>-304.214</v>
      </c>
      <c r="G27" s="1939">
        <f>IFERROR(SUM(G23:G26),0)</f>
        <v>0</v>
      </c>
      <c r="H27" s="1939">
        <f>IFERROR(SUM(H23:H26),0)</f>
        <v>0</v>
      </c>
      <c r="I27" s="1939">
        <f t="shared" si="10"/>
        <v>0</v>
      </c>
      <c r="J27" s="1932">
        <f>IFERROR(F27+I27,0)</f>
        <v>-304.214</v>
      </c>
      <c r="L27" s="356" t="s">
        <v>4730</v>
      </c>
      <c r="N27" s="302"/>
      <c r="P27" s="363"/>
      <c r="Q27" s="267"/>
      <c r="R27" s="361"/>
      <c r="S27" s="270"/>
      <c r="T27" s="270"/>
      <c r="U27" s="270"/>
      <c r="V27" s="361"/>
      <c r="X27" s="2745" t="s">
        <v>4729</v>
      </c>
      <c r="Y27" s="2746"/>
      <c r="Z27" s="298" t="s">
        <v>4731</v>
      </c>
      <c r="AA27" s="298" t="s">
        <v>4732</v>
      </c>
      <c r="AB27" s="298" t="s">
        <v>4733</v>
      </c>
      <c r="AC27" s="298" t="s">
        <v>4734</v>
      </c>
      <c r="AD27" s="315" t="s">
        <v>4735</v>
      </c>
    </row>
    <row r="28" spans="2:30" ht="16.2"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2" thickTop="1" thickBot="1">
      <c r="B29" s="2749" t="s">
        <v>4736</v>
      </c>
      <c r="C29" s="2750"/>
      <c r="D29" s="384" t="s">
        <v>4215</v>
      </c>
      <c r="E29" s="384">
        <v>3</v>
      </c>
      <c r="F29" s="1957">
        <f>IFERROR(F20+F27,0)</f>
        <v>-62.657999999999873</v>
      </c>
      <c r="G29" s="1957">
        <f>IFERROR(G20+G27,0)</f>
        <v>2.2204460492503131E-15</v>
      </c>
      <c r="H29" s="1957">
        <f>IFERROR(H20+H27,0)</f>
        <v>-0.34099999999999964</v>
      </c>
      <c r="I29" s="1957">
        <f t="shared" ref="I29" si="15">IFERROR(G29-H29,0)</f>
        <v>0.34100000000000186</v>
      </c>
      <c r="J29" s="1958">
        <f>IFERROR(F29+I29,0)</f>
        <v>-62.316999999999872</v>
      </c>
      <c r="L29" s="374" t="s">
        <v>4737</v>
      </c>
      <c r="N29" s="375"/>
      <c r="P29" s="363"/>
      <c r="Q29" s="267"/>
      <c r="R29" s="361"/>
      <c r="S29" s="270"/>
      <c r="T29" s="270"/>
      <c r="U29" s="270"/>
      <c r="V29" s="361"/>
      <c r="X29" s="2749" t="s">
        <v>4736</v>
      </c>
      <c r="Y29" s="2750"/>
      <c r="Z29" s="385" t="s">
        <v>4738</v>
      </c>
      <c r="AA29" s="385" t="s">
        <v>4739</v>
      </c>
      <c r="AB29" s="385" t="s">
        <v>4740</v>
      </c>
      <c r="AC29" s="385" t="s">
        <v>4741</v>
      </c>
      <c r="AD29" s="386" t="s">
        <v>4742</v>
      </c>
    </row>
    <row r="30" spans="2:30" ht="16.8"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8" thickTop="1" thickBot="1">
      <c r="B31" s="2683" t="s">
        <v>4743</v>
      </c>
      <c r="C31" s="2684"/>
      <c r="D31" s="362"/>
      <c r="E31" s="362"/>
      <c r="F31" s="1954"/>
      <c r="G31" s="1954"/>
      <c r="H31" s="1954"/>
      <c r="I31" s="1954"/>
      <c r="J31" s="1955"/>
      <c r="L31" s="260"/>
      <c r="P31" s="363"/>
      <c r="Q31" s="267"/>
      <c r="R31" s="370"/>
      <c r="S31" s="270"/>
      <c r="T31" s="270"/>
      <c r="U31" s="270"/>
      <c r="V31" s="370"/>
      <c r="X31" s="2683" t="s">
        <v>4743</v>
      </c>
      <c r="Y31" s="2684"/>
      <c r="Z31" s="366"/>
      <c r="AA31" s="366"/>
      <c r="AB31" s="366"/>
      <c r="AC31" s="366"/>
      <c r="AD31" s="367"/>
    </row>
    <row r="32" spans="2:30" ht="15.6" thickTop="1">
      <c r="B32" s="2729" t="s">
        <v>4744</v>
      </c>
      <c r="C32" s="2730"/>
      <c r="D32" s="277" t="s">
        <v>4215</v>
      </c>
      <c r="E32" s="277">
        <v>3</v>
      </c>
      <c r="F32" s="278">
        <v>0</v>
      </c>
      <c r="G32" s="278">
        <v>0</v>
      </c>
      <c r="H32" s="278">
        <v>0</v>
      </c>
      <c r="I32" s="1933">
        <f t="shared" ref="I32:I35" si="16">IFERROR(G32-H32,0)</f>
        <v>0</v>
      </c>
      <c r="J32" s="1953">
        <f>IFERROR(F32+I32,0)</f>
        <v>0</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29" t="s">
        <v>4744</v>
      </c>
      <c r="Y32" s="2730"/>
      <c r="Z32" s="278" t="s">
        <v>4746</v>
      </c>
      <c r="AA32" s="278" t="s">
        <v>4747</v>
      </c>
      <c r="AB32" s="278" t="s">
        <v>4748</v>
      </c>
      <c r="AC32" s="279" t="s">
        <v>4749</v>
      </c>
      <c r="AD32" s="351" t="s">
        <v>4750</v>
      </c>
    </row>
    <row r="33" spans="2:30">
      <c r="B33" s="2689" t="s">
        <v>4751</v>
      </c>
      <c r="C33" s="2690"/>
      <c r="D33" s="325" t="s">
        <v>4215</v>
      </c>
      <c r="E33" s="325">
        <v>3</v>
      </c>
      <c r="F33" s="287">
        <v>-78.427000000000007</v>
      </c>
      <c r="G33" s="287">
        <v>0</v>
      </c>
      <c r="H33" s="287">
        <v>0</v>
      </c>
      <c r="I33" s="1937">
        <f t="shared" si="16"/>
        <v>0</v>
      </c>
      <c r="J33" s="1936">
        <f>IFERROR(F33+I33,0)</f>
        <v>-78.427000000000007</v>
      </c>
      <c r="L33" s="290" t="s">
        <v>4752</v>
      </c>
      <c r="N33" s="291"/>
      <c r="P33" s="363"/>
      <c r="Q33" s="284">
        <f t="shared" si="17"/>
        <v>0</v>
      </c>
      <c r="R33" s="361"/>
      <c r="S33" s="285">
        <f t="shared" si="18"/>
        <v>0</v>
      </c>
      <c r="T33" s="285">
        <f t="shared" si="19"/>
        <v>0</v>
      </c>
      <c r="U33" s="285">
        <f t="shared" si="20"/>
        <v>0</v>
      </c>
      <c r="V33" s="361"/>
      <c r="X33" s="2689" t="s">
        <v>4751</v>
      </c>
      <c r="Y33" s="2690"/>
      <c r="Z33" s="287" t="s">
        <v>4753</v>
      </c>
      <c r="AA33" s="287" t="s">
        <v>4754</v>
      </c>
      <c r="AB33" s="287" t="s">
        <v>4755</v>
      </c>
      <c r="AC33" s="288" t="s">
        <v>4756</v>
      </c>
      <c r="AD33" s="313" t="s">
        <v>4757</v>
      </c>
    </row>
    <row r="34" spans="2:30">
      <c r="B34" s="2705" t="s">
        <v>4758</v>
      </c>
      <c r="C34" s="2706"/>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705" t="s">
        <v>4758</v>
      </c>
      <c r="Y34" s="2706"/>
      <c r="Z34" s="287" t="s">
        <v>4760</v>
      </c>
      <c r="AA34" s="287" t="s">
        <v>4761</v>
      </c>
      <c r="AB34" s="287" t="s">
        <v>4762</v>
      </c>
      <c r="AC34" s="288" t="s">
        <v>4763</v>
      </c>
      <c r="AD34" s="313" t="s">
        <v>4764</v>
      </c>
    </row>
    <row r="35" spans="2:30" ht="15.6" thickBot="1">
      <c r="B35" s="2727" t="s">
        <v>4765</v>
      </c>
      <c r="C35" s="2728"/>
      <c r="D35" s="355" t="s">
        <v>4215</v>
      </c>
      <c r="E35" s="355">
        <v>3</v>
      </c>
      <c r="F35" s="1939">
        <f>IFERROR(SUM(F32:F34),0)</f>
        <v>-78.427000000000007</v>
      </c>
      <c r="G35" s="1939">
        <f>IFERROR(SUM(G32:G34),0)</f>
        <v>0</v>
      </c>
      <c r="H35" s="1939">
        <f>IFERROR(SUM(H32:H34),0)</f>
        <v>0</v>
      </c>
      <c r="I35" s="1939">
        <f t="shared" si="16"/>
        <v>0</v>
      </c>
      <c r="J35" s="1932">
        <f>IFERROR(F35+I35,0)</f>
        <v>-78.427000000000007</v>
      </c>
      <c r="L35" s="356" t="s">
        <v>4766</v>
      </c>
      <c r="N35" s="302"/>
      <c r="P35" s="363"/>
      <c r="Q35" s="267"/>
      <c r="R35" s="361"/>
      <c r="S35" s="270"/>
      <c r="T35" s="270"/>
      <c r="U35" s="270"/>
      <c r="V35" s="361"/>
      <c r="X35" s="2727" t="s">
        <v>4765</v>
      </c>
      <c r="Y35" s="2728"/>
      <c r="Z35" s="298" t="s">
        <v>4767</v>
      </c>
      <c r="AA35" s="298" t="s">
        <v>4768</v>
      </c>
      <c r="AB35" s="298" t="s">
        <v>4769</v>
      </c>
      <c r="AC35" s="298" t="s">
        <v>4770</v>
      </c>
      <c r="AD35" s="315" t="s">
        <v>4771</v>
      </c>
    </row>
    <row r="36" spans="2:30" ht="16.8"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2" thickTop="1" thickBot="1">
      <c r="B37" s="2741" t="s">
        <v>4772</v>
      </c>
      <c r="C37" s="2742"/>
      <c r="D37" s="371" t="s">
        <v>4215</v>
      </c>
      <c r="E37" s="371">
        <v>3</v>
      </c>
      <c r="F37" s="1957">
        <f>IFERROR(F29+F35,0)</f>
        <v>-141.08499999999987</v>
      </c>
      <c r="G37" s="1957">
        <f>IFERROR(G29+G35,0)</f>
        <v>2.2204460492503131E-15</v>
      </c>
      <c r="H37" s="1957">
        <f>IFERROR(H29+H35,0)</f>
        <v>-0.34099999999999964</v>
      </c>
      <c r="I37" s="1957">
        <f t="shared" ref="I37" si="21">IFERROR(G37-H37,0)</f>
        <v>0.34100000000000186</v>
      </c>
      <c r="J37" s="1958">
        <f>IFERROR(F37+I37,0)</f>
        <v>-140.74399999999986</v>
      </c>
      <c r="L37" s="374" t="s">
        <v>4773</v>
      </c>
      <c r="N37" s="375"/>
      <c r="P37" s="363"/>
      <c r="Q37" s="267"/>
      <c r="R37" s="377"/>
      <c r="S37" s="270"/>
      <c r="T37" s="270"/>
      <c r="U37" s="270"/>
      <c r="V37" s="377"/>
      <c r="X37" s="2741" t="s">
        <v>4772</v>
      </c>
      <c r="Y37" s="2742"/>
      <c r="Z37" s="385" t="s">
        <v>4774</v>
      </c>
      <c r="AA37" s="385" t="s">
        <v>4775</v>
      </c>
      <c r="AB37" s="385" t="s">
        <v>4776</v>
      </c>
      <c r="AC37" s="385" t="s">
        <v>4777</v>
      </c>
      <c r="AD37" s="386" t="s">
        <v>4778</v>
      </c>
    </row>
    <row r="38" spans="2:30" ht="15.6"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3" priority="14" operator="equal">
      <formula>0</formula>
    </cfRule>
  </conditionalFormatting>
  <conditionalFormatting sqref="Q18:Q19">
    <cfRule type="cellIs" dxfId="202" priority="3" operator="equal">
      <formula>0</formula>
    </cfRule>
  </conditionalFormatting>
  <conditionalFormatting sqref="Q23:Q26">
    <cfRule type="cellIs" dxfId="201" priority="2" operator="equal">
      <formula>0</formula>
    </cfRule>
  </conditionalFormatting>
  <conditionalFormatting sqref="Q32:Q34">
    <cfRule type="cellIs" dxfId="200"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22" activePane="bottomLeft" state="frozen"/>
      <selection pane="bottomLeft" activeCell="M28" sqref="M28"/>
    </sheetView>
  </sheetViews>
  <sheetFormatPr defaultColWidth="8.59765625" defaultRowHeight="13.8"/>
  <cols>
    <col min="1" max="1" width="1.59765625" style="224" customWidth="1"/>
    <col min="2" max="2" width="47.59765625" style="224" bestFit="1" customWidth="1"/>
    <col min="3" max="3" width="7" style="224" customWidth="1"/>
    <col min="4" max="4" width="5.09765625" style="224" customWidth="1"/>
    <col min="5" max="9" width="12.5" style="224" customWidth="1"/>
    <col min="10" max="10" width="1.59765625" style="224" customWidth="1"/>
    <col min="11" max="11" width="12.5" style="224" customWidth="1"/>
    <col min="12" max="12" width="1.59765625" style="224" customWidth="1"/>
    <col min="13" max="13" width="33.59765625" style="224" customWidth="1"/>
    <col min="14" max="15" width="1.59765625" style="224" customWidth="1"/>
    <col min="16" max="16" width="25.09765625" style="224" customWidth="1"/>
    <col min="17" max="17" width="1.59765625" style="263" customWidth="1"/>
    <col min="18" max="22" width="8.09765625" style="263" hidden="1" customWidth="1"/>
    <col min="23" max="23" width="1.59765625" style="263" hidden="1" customWidth="1"/>
    <col min="24" max="24" width="1.59765625" style="224" customWidth="1"/>
    <col min="25" max="25" width="49.59765625" style="224" customWidth="1"/>
    <col min="26" max="30" width="12.5" style="224" customWidth="1"/>
    <col min="31" max="31" width="1.59765625" style="224" customWidth="1"/>
    <col min="32" max="16384" width="8.59765625" style="224"/>
  </cols>
  <sheetData>
    <row r="1" spans="1:30" s="389" customFormat="1" ht="22.8">
      <c r="B1" s="2721" t="s">
        <v>4779</v>
      </c>
      <c r="C1" s="2721"/>
      <c r="D1" s="2721"/>
      <c r="E1" s="2721"/>
      <c r="F1" s="2721"/>
      <c r="G1" s="2721"/>
      <c r="H1" s="2721"/>
      <c r="I1" s="2721"/>
      <c r="J1" s="339"/>
      <c r="K1" s="259"/>
      <c r="O1" s="340"/>
      <c r="P1" s="267"/>
      <c r="Q1" s="361"/>
      <c r="R1" s="263"/>
      <c r="S1" s="263"/>
      <c r="T1" s="263"/>
      <c r="U1" s="263"/>
      <c r="V1" s="263"/>
      <c r="W1" s="361"/>
      <c r="Y1" s="2721" t="s">
        <v>4198</v>
      </c>
      <c r="Z1" s="2721"/>
      <c r="AA1" s="2721"/>
      <c r="AB1" s="2721"/>
      <c r="AC1" s="2721"/>
      <c r="AD1" s="2721"/>
    </row>
    <row r="2" spans="1:30" s="389" customFormat="1" ht="22.8">
      <c r="B2" s="2721" t="str">
        <f>SelectCompany!B4</f>
        <v>Dŵr Cymru</v>
      </c>
      <c r="C2" s="2721"/>
      <c r="D2" s="2721"/>
      <c r="E2" s="2721"/>
      <c r="F2" s="2721"/>
      <c r="G2" s="2721"/>
      <c r="H2" s="2721"/>
      <c r="I2" s="2721"/>
      <c r="J2" s="339"/>
      <c r="K2" s="259"/>
      <c r="O2" s="340"/>
      <c r="P2" s="267"/>
      <c r="Q2" s="361"/>
      <c r="R2" s="263"/>
      <c r="S2" s="263"/>
      <c r="T2" s="263"/>
      <c r="U2" s="263"/>
      <c r="V2" s="263"/>
      <c r="W2" s="361"/>
      <c r="Y2" s="2721"/>
      <c r="Z2" s="2721"/>
      <c r="AA2" s="2721"/>
      <c r="AB2" s="2721"/>
      <c r="AC2" s="2721"/>
      <c r="AD2" s="390"/>
    </row>
    <row r="3" spans="1:30" ht="19.2">
      <c r="B3" s="2722" t="s">
        <v>4780</v>
      </c>
      <c r="C3" s="2723"/>
      <c r="D3" s="2723"/>
      <c r="E3" s="2723"/>
      <c r="F3" s="2723"/>
      <c r="G3" s="2723"/>
      <c r="H3" s="2723"/>
      <c r="I3" s="2723"/>
      <c r="J3" s="2723"/>
      <c r="K3" s="2723"/>
      <c r="L3" s="2723"/>
      <c r="M3" s="2723"/>
      <c r="O3" s="342"/>
      <c r="P3" s="265" t="s">
        <v>4200</v>
      </c>
      <c r="Q3" s="361"/>
      <c r="W3" s="361"/>
      <c r="Y3" s="2724" t="s">
        <v>4780</v>
      </c>
      <c r="Z3" s="2725"/>
      <c r="AA3" s="2725"/>
      <c r="AB3" s="2725"/>
      <c r="AC3" s="2725"/>
      <c r="AD3" s="2725"/>
    </row>
    <row r="4" spans="1:30" ht="15.6" thickBot="1">
      <c r="B4" s="266"/>
      <c r="C4" s="266"/>
      <c r="D4" s="266"/>
      <c r="O4" s="345"/>
      <c r="P4" s="267"/>
      <c r="Q4" s="361"/>
      <c r="R4" s="2710" t="s">
        <v>4201</v>
      </c>
      <c r="S4" s="2710"/>
      <c r="T4" s="2710"/>
      <c r="U4" s="2710"/>
      <c r="V4" s="2710"/>
      <c r="W4" s="361"/>
      <c r="Y4" s="266"/>
    </row>
    <row r="5" spans="1:30" ht="15.6" thickTop="1">
      <c r="A5" s="197"/>
      <c r="B5" s="2734" t="s">
        <v>4202</v>
      </c>
      <c r="C5" s="2712" t="s">
        <v>4203</v>
      </c>
      <c r="D5" s="2712" t="s">
        <v>4204</v>
      </c>
      <c r="E5" s="2715" t="s">
        <v>4781</v>
      </c>
      <c r="F5" s="2715" t="s">
        <v>4782</v>
      </c>
      <c r="G5" s="2715" t="s">
        <v>4783</v>
      </c>
      <c r="H5" s="2715"/>
      <c r="I5" s="2717" t="s">
        <v>4425</v>
      </c>
      <c r="J5" s="197"/>
      <c r="K5" s="2719" t="s">
        <v>4208</v>
      </c>
      <c r="L5" s="197"/>
      <c r="M5" s="2719" t="s">
        <v>4209</v>
      </c>
      <c r="N5" s="197"/>
      <c r="O5" s="345"/>
      <c r="P5" s="267"/>
      <c r="Q5" s="361"/>
      <c r="R5" s="269" t="s">
        <v>4210</v>
      </c>
      <c r="S5" s="270"/>
      <c r="T5" s="270"/>
      <c r="U5" s="270"/>
      <c r="V5" s="270"/>
      <c r="W5" s="361"/>
      <c r="Y5" s="2734" t="s">
        <v>4202</v>
      </c>
      <c r="Z5" s="2715" t="s">
        <v>4781</v>
      </c>
      <c r="AA5" s="2715" t="s">
        <v>4782</v>
      </c>
      <c r="AB5" s="2715" t="s">
        <v>4783</v>
      </c>
      <c r="AC5" s="2715"/>
      <c r="AD5" s="2717" t="s">
        <v>4425</v>
      </c>
    </row>
    <row r="6" spans="1:30" ht="35.85" customHeight="1" thickBot="1">
      <c r="A6" s="197"/>
      <c r="B6" s="2735"/>
      <c r="C6" s="2714"/>
      <c r="D6" s="2714"/>
      <c r="E6" s="2716"/>
      <c r="F6" s="2716"/>
      <c r="G6" s="391" t="s">
        <v>4784</v>
      </c>
      <c r="H6" s="391" t="s">
        <v>4785</v>
      </c>
      <c r="I6" s="2718"/>
      <c r="J6" s="197"/>
      <c r="K6" s="2720"/>
      <c r="L6" s="197"/>
      <c r="M6" s="2720"/>
      <c r="N6" s="197"/>
      <c r="O6" s="345"/>
      <c r="P6" s="267"/>
      <c r="Q6" s="361"/>
      <c r="R6" s="224"/>
      <c r="S6" s="224"/>
      <c r="T6" s="224"/>
      <c r="U6" s="224"/>
      <c r="V6" s="224"/>
      <c r="W6" s="361"/>
      <c r="Y6" s="2735"/>
      <c r="Z6" s="2716"/>
      <c r="AA6" s="2716"/>
      <c r="AB6" s="391" t="s">
        <v>4784</v>
      </c>
      <c r="AC6" s="391" t="s">
        <v>4785</v>
      </c>
      <c r="AD6" s="2718"/>
    </row>
    <row r="7" spans="1:30" ht="16.2"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8"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6" thickTop="1">
      <c r="A9" s="197"/>
      <c r="B9" s="396" t="s">
        <v>4787</v>
      </c>
      <c r="C9" s="277" t="s">
        <v>4215</v>
      </c>
      <c r="D9" s="277">
        <v>3</v>
      </c>
      <c r="E9" s="278">
        <v>495.012</v>
      </c>
      <c r="F9" s="278">
        <v>178.244</v>
      </c>
      <c r="G9" s="278">
        <v>3819.3159999999998</v>
      </c>
      <c r="H9" s="278">
        <v>0</v>
      </c>
      <c r="I9" s="1934">
        <f>IFERROR(SUM(E9:H9 ),0)</f>
        <v>4492.5720000000001</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541">
        <f>-IFERROR('1C'!J43,0)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8">
        <f>SUM(E9:E10)</f>
        <v>495.012</v>
      </c>
      <c r="F11" s="2358">
        <f>SUM(F9:F10)</f>
        <v>178.244</v>
      </c>
      <c r="G11" s="2358">
        <f>SUM(G9:G10)</f>
        <v>3819.3159999999998</v>
      </c>
      <c r="H11" s="2358">
        <f>SUM(H9:H10)</f>
        <v>0</v>
      </c>
      <c r="I11" s="1938">
        <f>SUM(E11:H11)</f>
        <v>4492.5720000000001</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60"/>
      <c r="F12" s="1959"/>
      <c r="G12" s="1959"/>
      <c r="H12" s="1959"/>
      <c r="I12" s="405">
        <v>-26.350999999999999</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60"/>
      <c r="F13" s="1959"/>
      <c r="G13" s="1959"/>
      <c r="H13" s="1959"/>
      <c r="I13" s="405">
        <v>-293.96499999999997</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6" thickBot="1">
      <c r="A14" s="197"/>
      <c r="B14" s="406" t="s">
        <v>4801</v>
      </c>
      <c r="C14" s="355" t="s">
        <v>4215</v>
      </c>
      <c r="D14" s="355">
        <v>3</v>
      </c>
      <c r="E14" s="1961"/>
      <c r="F14" s="1962"/>
      <c r="G14" s="1962"/>
      <c r="H14" s="1962"/>
      <c r="I14" s="1940">
        <f>IFERROR(SUM( I11:I13 ),0)</f>
        <v>4172.2560000000003</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2"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8"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6" thickTop="1">
      <c r="A17" s="197"/>
      <c r="B17" s="396" t="s">
        <v>4804</v>
      </c>
      <c r="C17" s="277" t="s">
        <v>4805</v>
      </c>
      <c r="D17" s="277">
        <v>3</v>
      </c>
      <c r="E17" s="1967"/>
      <c r="F17" s="1967"/>
      <c r="G17" s="1967"/>
      <c r="H17" s="1967"/>
      <c r="I17" s="1973">
        <f>IFERROR(I14/(SUM('4C'!J46:N46)),0)</f>
        <v>0.58266800323883206</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6" thickBot="1">
      <c r="A18" s="197"/>
      <c r="B18" s="411" t="s">
        <v>4808</v>
      </c>
      <c r="C18" s="332" t="s">
        <v>4805</v>
      </c>
      <c r="D18" s="332">
        <v>3</v>
      </c>
      <c r="E18" s="1968"/>
      <c r="F18" s="1969"/>
      <c r="G18" s="1969"/>
      <c r="H18" s="1969"/>
      <c r="I18" s="414">
        <v>0.58330000000000004</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2"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8"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6" thickTop="1">
      <c r="A21" s="197"/>
      <c r="B21" s="396" t="s">
        <v>4812</v>
      </c>
      <c r="C21" s="277" t="s">
        <v>4215</v>
      </c>
      <c r="D21" s="277">
        <v>3</v>
      </c>
      <c r="E21" s="278">
        <v>20.103999999999999</v>
      </c>
      <c r="F21" s="278">
        <v>10.276999999999999</v>
      </c>
      <c r="G21" s="278">
        <v>593.32299999999998</v>
      </c>
      <c r="H21" s="278">
        <v>0</v>
      </c>
      <c r="I21" s="416">
        <f>IFERROR(SUM(E21:H21 ),0)</f>
        <v>623.70399999999995</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6" thickBot="1">
      <c r="A22" s="197"/>
      <c r="B22" s="411" t="s">
        <v>4819</v>
      </c>
      <c r="C22" s="332" t="s">
        <v>4215</v>
      </c>
      <c r="D22" s="332">
        <v>3</v>
      </c>
      <c r="E22" s="297">
        <v>20.103999999999999</v>
      </c>
      <c r="F22" s="297">
        <v>10.276</v>
      </c>
      <c r="G22" s="297">
        <v>73.712999999999994</v>
      </c>
      <c r="H22" s="297">
        <v>0</v>
      </c>
      <c r="I22" s="417">
        <f>IFERROR(SUM(E22:H22 ),0)</f>
        <v>104.09299999999999</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2"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8"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9">
        <f>IFERROR(+E21/E11,0)</f>
        <v>4.0613156852763163E-2</v>
      </c>
      <c r="F25" s="2359">
        <f>IFERROR(+F21/F11,0)</f>
        <v>5.7656919728013283E-2</v>
      </c>
      <c r="G25" s="2359">
        <f>IFERROR(+G21/G11,0)</f>
        <v>0.15534797330202582</v>
      </c>
      <c r="H25" s="2359">
        <f>IFERROR(+H21/H11,0)</f>
        <v>0</v>
      </c>
      <c r="I25" s="2360">
        <f>IFERROR(+I21/I11,0)</f>
        <v>0.13883005102644988</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5" t="s">
        <v>4833</v>
      </c>
    </row>
    <row r="26" spans="1:30" ht="15.6" thickBot="1">
      <c r="A26" s="197"/>
      <c r="B26" s="411" t="s">
        <v>4834</v>
      </c>
      <c r="C26" s="332" t="s">
        <v>4805</v>
      </c>
      <c r="D26" s="332">
        <v>3</v>
      </c>
      <c r="E26" s="2361">
        <f>IFERROR(+E22/E11,0)</f>
        <v>4.0613156852763163E-2</v>
      </c>
      <c r="F26" s="2361">
        <f>IFERROR(+F22/F11,0)</f>
        <v>5.7651309440990998E-2</v>
      </c>
      <c r="G26" s="2361">
        <f>IFERROR(+G22/G11,0)</f>
        <v>1.9300052679589747E-2</v>
      </c>
      <c r="H26" s="2361">
        <f>IFERROR(+H22/H11,0)</f>
        <v>0</v>
      </c>
      <c r="I26" s="2362">
        <f>IFERROR(+I22/I11,0)</f>
        <v>2.317002376367034E-2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2"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8"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2" thickTop="1" thickBot="1">
      <c r="A29" s="197"/>
      <c r="B29" s="420" t="s">
        <v>4842</v>
      </c>
      <c r="C29" s="371" t="s">
        <v>4843</v>
      </c>
      <c r="D29" s="371">
        <v>3</v>
      </c>
      <c r="E29" s="421">
        <v>9.6479999999999997</v>
      </c>
      <c r="F29" s="421">
        <v>4.7050000000000001</v>
      </c>
      <c r="G29" s="421">
        <v>10.391</v>
      </c>
      <c r="H29" s="421">
        <v>0</v>
      </c>
      <c r="I29" s="719">
        <v>10.084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199" priority="15" operator="equal">
      <formula>0</formula>
    </cfRule>
  </conditionalFormatting>
  <conditionalFormatting sqref="P12:P13">
    <cfRule type="cellIs" dxfId="198" priority="5" operator="equal">
      <formula>0</formula>
    </cfRule>
  </conditionalFormatting>
  <conditionalFormatting sqref="P18">
    <cfRule type="cellIs" dxfId="197" priority="4" operator="equal">
      <formula>0</formula>
    </cfRule>
  </conditionalFormatting>
  <conditionalFormatting sqref="P21:P22">
    <cfRule type="cellIs" dxfId="196" priority="3" operator="equal">
      <formula>0</formula>
    </cfRule>
  </conditionalFormatting>
  <conditionalFormatting sqref="P25:P26">
    <cfRule type="cellIs" dxfId="195" priority="2" operator="equal">
      <formula>0</formula>
    </cfRule>
  </conditionalFormatting>
  <conditionalFormatting sqref="P29">
    <cfRule type="cellIs" dxfId="194"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C22" zoomScale="60" zoomScaleNormal="60" workbookViewId="0">
      <selection activeCell="K38" sqref="K38"/>
    </sheetView>
  </sheetViews>
  <sheetFormatPr defaultColWidth="8.59765625" defaultRowHeight="15"/>
  <cols>
    <col min="1" max="1" width="8.59765625" style="242"/>
    <col min="2" max="2" width="56.59765625" style="242" bestFit="1" customWidth="1"/>
    <col min="3" max="3" width="11.09765625" style="242" customWidth="1"/>
    <col min="4" max="4" width="9.69921875" style="242" customWidth="1"/>
    <col min="5" max="16" width="17.19921875" style="242" customWidth="1"/>
    <col min="17" max="19" width="8.59765625" style="242"/>
    <col min="20" max="20" width="19.69921875" style="242" customWidth="1"/>
    <col min="21" max="21" width="8.59765625" style="242"/>
    <col min="22" max="22" width="3.09765625" style="242" customWidth="1"/>
    <col min="23" max="23" width="29.19921875" style="242" bestFit="1" customWidth="1"/>
    <col min="24" max="24" width="3.5" style="242" customWidth="1"/>
    <col min="25" max="25" width="27.69921875" style="242" hidden="1" customWidth="1"/>
    <col min="26" max="37" width="8.59765625" style="242" hidden="1" customWidth="1"/>
    <col min="38" max="38" width="8.59765625" style="242"/>
    <col min="39" max="39" width="60.69921875" style="242" bestFit="1" customWidth="1"/>
    <col min="40" max="40" width="6.09765625" style="242" bestFit="1" customWidth="1"/>
    <col min="41" max="41" width="5.19921875" style="242" bestFit="1" customWidth="1"/>
    <col min="42" max="42" width="46.59765625" style="242" bestFit="1" customWidth="1"/>
    <col min="43" max="43" width="44.69921875" style="242" bestFit="1" customWidth="1"/>
    <col min="44" max="44" width="43" style="242" bestFit="1" customWidth="1"/>
    <col min="45" max="45" width="46.59765625" style="242" bestFit="1" customWidth="1"/>
    <col min="46" max="46" width="44.69921875" style="242" bestFit="1" customWidth="1"/>
    <col min="47" max="47" width="43" style="242" bestFit="1" customWidth="1"/>
    <col min="48" max="48" width="46.59765625" style="242" bestFit="1" customWidth="1"/>
    <col min="49" max="49" width="44.69921875" style="242" bestFit="1" customWidth="1"/>
    <col min="50" max="50" width="43" style="242" bestFit="1" customWidth="1"/>
    <col min="51" max="51" width="46.59765625" style="242" bestFit="1" customWidth="1"/>
    <col min="52" max="52" width="44.69921875" style="242" bestFit="1" customWidth="1"/>
    <col min="53" max="53" width="43" style="242" bestFit="1" customWidth="1"/>
    <col min="54" max="16384" width="8.59765625" style="242"/>
  </cols>
  <sheetData>
    <row r="1" spans="1:56" s="423" customFormat="1" ht="22.8">
      <c r="A1" s="1788"/>
      <c r="B1" s="2773" t="s">
        <v>4850</v>
      </c>
      <c r="C1" s="2773"/>
      <c r="D1" s="2773"/>
      <c r="E1" s="2773"/>
      <c r="F1" s="2773"/>
      <c r="G1" s="2773"/>
      <c r="H1" s="2773"/>
      <c r="I1" s="2773"/>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2.8">
      <c r="A2" s="1788"/>
      <c r="B2" s="2773" t="str">
        <f>SelectCompany!B4</f>
        <v>Dŵr Cymru</v>
      </c>
      <c r="C2" s="2773"/>
      <c r="D2" s="2773"/>
      <c r="E2" s="2773"/>
      <c r="F2" s="2773"/>
      <c r="G2" s="2773"/>
      <c r="H2" s="2773"/>
      <c r="I2" s="2773"/>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1">
      <c r="A3" s="1788"/>
      <c r="B3" s="2756" t="s">
        <v>4851</v>
      </c>
      <c r="C3" s="2756"/>
      <c r="D3" s="2756"/>
      <c r="E3" s="2756"/>
      <c r="F3" s="2756"/>
      <c r="G3" s="2756"/>
      <c r="H3" s="2756"/>
      <c r="I3" s="2756"/>
      <c r="J3" s="2756"/>
      <c r="K3" s="2756"/>
      <c r="L3" s="2756"/>
      <c r="M3" s="2756"/>
      <c r="N3" s="2756"/>
      <c r="O3" s="2756"/>
      <c r="P3" s="2756"/>
      <c r="Q3" s="2756"/>
      <c r="R3" s="2756"/>
      <c r="S3" s="2756"/>
      <c r="T3" s="2756"/>
      <c r="U3" s="1805"/>
      <c r="V3" s="340"/>
      <c r="W3" s="1803" t="s">
        <v>4200</v>
      </c>
      <c r="X3" s="1801"/>
      <c r="Y3" s="206"/>
      <c r="Z3" s="206"/>
      <c r="AA3" s="206"/>
      <c r="AB3" s="206"/>
      <c r="AC3" s="206"/>
      <c r="AD3" s="206"/>
      <c r="AE3" s="206"/>
      <c r="AF3" s="206"/>
      <c r="AG3" s="206"/>
      <c r="AH3" s="206"/>
      <c r="AI3" s="206"/>
      <c r="AJ3" s="206"/>
      <c r="AK3" s="1801"/>
      <c r="AL3" s="1788"/>
      <c r="AM3" s="2755" t="s">
        <v>4851</v>
      </c>
      <c r="AN3" s="2756"/>
      <c r="AO3" s="2756"/>
      <c r="AP3" s="2756"/>
      <c r="AQ3" s="2756"/>
      <c r="AR3" s="2756"/>
      <c r="AS3" s="2756"/>
      <c r="AT3" s="2756"/>
      <c r="AU3" s="2756"/>
      <c r="AV3" s="2756"/>
      <c r="AW3" s="2756"/>
      <c r="AX3" s="2756"/>
      <c r="AY3" s="2756"/>
      <c r="AZ3" s="2756"/>
      <c r="BA3" s="2756"/>
      <c r="BB3" s="1788"/>
      <c r="BC3" s="1788"/>
      <c r="BD3" s="1788"/>
    </row>
    <row r="4" spans="1:56" ht="16.2"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8" thickTop="1" thickBot="1">
      <c r="A5" s="1805"/>
      <c r="B5" s="1808"/>
      <c r="C5" s="1807"/>
      <c r="D5" s="1807"/>
      <c r="E5" s="2762" t="s">
        <v>4852</v>
      </c>
      <c r="F5" s="2763"/>
      <c r="G5" s="2763"/>
      <c r="H5" s="2763"/>
      <c r="I5" s="2763"/>
      <c r="J5" s="2763"/>
      <c r="K5" s="2763" t="s">
        <v>4853</v>
      </c>
      <c r="L5" s="2763"/>
      <c r="M5" s="2763"/>
      <c r="N5" s="2763"/>
      <c r="O5" s="2763"/>
      <c r="P5" s="2771"/>
      <c r="Q5" s="1805"/>
      <c r="R5" s="2759" t="s">
        <v>4208</v>
      </c>
      <c r="S5" s="1805"/>
      <c r="T5" s="2759" t="s">
        <v>4209</v>
      </c>
      <c r="U5" s="1805"/>
      <c r="V5" s="340"/>
      <c r="W5" s="1805"/>
      <c r="X5" s="1801"/>
      <c r="Y5" s="242" t="s">
        <v>4210</v>
      </c>
      <c r="AK5" s="1801"/>
      <c r="AL5" s="1805"/>
      <c r="AM5" s="1807"/>
      <c r="AN5" s="1807"/>
      <c r="AO5" s="1807"/>
      <c r="AP5" s="2762" t="s">
        <v>4854</v>
      </c>
      <c r="AQ5" s="2763"/>
      <c r="AR5" s="2763"/>
      <c r="AS5" s="2763"/>
      <c r="AT5" s="2763"/>
      <c r="AU5" s="2763"/>
      <c r="AV5" s="2763" t="s">
        <v>4853</v>
      </c>
      <c r="AW5" s="2763"/>
      <c r="AX5" s="2763"/>
      <c r="AY5" s="2763"/>
      <c r="AZ5" s="2763"/>
      <c r="BA5" s="2771"/>
      <c r="BB5" s="1805"/>
      <c r="BC5" s="1805"/>
      <c r="BD5" s="1805"/>
    </row>
    <row r="6" spans="1:56" ht="16.2" thickTop="1">
      <c r="A6" s="1805"/>
      <c r="B6" s="2764" t="s">
        <v>4202</v>
      </c>
      <c r="C6" s="2763"/>
      <c r="D6" s="2767"/>
      <c r="E6" s="2757" t="s">
        <v>4855</v>
      </c>
      <c r="F6" s="2757" t="s">
        <v>4856</v>
      </c>
      <c r="G6" s="2757" t="s">
        <v>4857</v>
      </c>
      <c r="H6" s="2757" t="s">
        <v>4855</v>
      </c>
      <c r="I6" s="2757" t="s">
        <v>4856</v>
      </c>
      <c r="J6" s="2757" t="s">
        <v>4857</v>
      </c>
      <c r="K6" s="2757" t="s">
        <v>4855</v>
      </c>
      <c r="L6" s="2757" t="s">
        <v>4856</v>
      </c>
      <c r="M6" s="2757" t="s">
        <v>4857</v>
      </c>
      <c r="N6" s="2757" t="s">
        <v>4855</v>
      </c>
      <c r="O6" s="2757" t="s">
        <v>4856</v>
      </c>
      <c r="P6" s="2769" t="s">
        <v>4857</v>
      </c>
      <c r="Q6" s="1805"/>
      <c r="R6" s="2760"/>
      <c r="S6" s="1805"/>
      <c r="T6" s="2760"/>
      <c r="U6" s="1805"/>
      <c r="V6" s="340"/>
      <c r="W6" s="1805"/>
      <c r="X6" s="1801"/>
      <c r="AK6" s="1801"/>
      <c r="AL6" s="1805"/>
      <c r="AM6" s="2764" t="s">
        <v>4202</v>
      </c>
      <c r="AN6" s="2763" t="s">
        <v>4203</v>
      </c>
      <c r="AO6" s="2767" t="s">
        <v>4204</v>
      </c>
      <c r="AP6" s="2757" t="s">
        <v>4855</v>
      </c>
      <c r="AQ6" s="2757" t="s">
        <v>4856</v>
      </c>
      <c r="AR6" s="2757" t="s">
        <v>4857</v>
      </c>
      <c r="AS6" s="2757" t="s">
        <v>4855</v>
      </c>
      <c r="AT6" s="2757" t="s">
        <v>4856</v>
      </c>
      <c r="AU6" s="2757" t="s">
        <v>4857</v>
      </c>
      <c r="AV6" s="2757" t="s">
        <v>4855</v>
      </c>
      <c r="AW6" s="2757" t="s">
        <v>4856</v>
      </c>
      <c r="AX6" s="2757" t="s">
        <v>4857</v>
      </c>
      <c r="AY6" s="2757" t="s">
        <v>4855</v>
      </c>
      <c r="AZ6" s="2757" t="s">
        <v>4856</v>
      </c>
      <c r="BA6" s="2769" t="s">
        <v>4857</v>
      </c>
      <c r="BB6" s="1805"/>
      <c r="BC6" s="1805"/>
      <c r="BD6" s="1805"/>
    </row>
    <row r="7" spans="1:56" ht="47.85" customHeight="1" thickBot="1">
      <c r="A7" s="1805"/>
      <c r="B7" s="2765"/>
      <c r="C7" s="2766"/>
      <c r="D7" s="2768"/>
      <c r="E7" s="2772"/>
      <c r="F7" s="2772"/>
      <c r="G7" s="2772"/>
      <c r="H7" s="2758"/>
      <c r="I7" s="2758"/>
      <c r="J7" s="2758"/>
      <c r="K7" s="2758"/>
      <c r="L7" s="2758"/>
      <c r="M7" s="2758"/>
      <c r="N7" s="2758"/>
      <c r="O7" s="2758"/>
      <c r="P7" s="2770"/>
      <c r="Q7" s="1805"/>
      <c r="R7" s="2761"/>
      <c r="S7" s="1805"/>
      <c r="T7" s="2761"/>
      <c r="U7" s="1805"/>
      <c r="V7" s="340"/>
      <c r="W7" s="1805"/>
      <c r="X7" s="1801"/>
      <c r="Y7" s="1854"/>
      <c r="AK7" s="1801"/>
      <c r="AL7" s="1805"/>
      <c r="AM7" s="2765"/>
      <c r="AN7" s="2766"/>
      <c r="AO7" s="2768"/>
      <c r="AP7" s="2758"/>
      <c r="AQ7" s="2758"/>
      <c r="AR7" s="2758"/>
      <c r="AS7" s="2758"/>
      <c r="AT7" s="2758"/>
      <c r="AU7" s="2758"/>
      <c r="AV7" s="2758"/>
      <c r="AW7" s="2758"/>
      <c r="AX7" s="2758"/>
      <c r="AY7" s="2758"/>
      <c r="AZ7" s="2758"/>
      <c r="BA7" s="2770"/>
      <c r="BB7" s="1805"/>
      <c r="BC7" s="1805"/>
      <c r="BD7" s="1805"/>
    </row>
    <row r="8" spans="1:56" ht="16.8" thickTop="1" thickBot="1">
      <c r="A8" s="1805"/>
      <c r="B8" s="1807"/>
      <c r="C8" s="2780" t="s">
        <v>4203</v>
      </c>
      <c r="D8" s="2781"/>
      <c r="E8" s="2784" t="s">
        <v>4805</v>
      </c>
      <c r="F8" s="2785"/>
      <c r="G8" s="2786"/>
      <c r="H8" s="2784" t="s">
        <v>4215</v>
      </c>
      <c r="I8" s="2785"/>
      <c r="J8" s="2786"/>
      <c r="K8" s="2784" t="s">
        <v>4805</v>
      </c>
      <c r="L8" s="2785"/>
      <c r="M8" s="2786"/>
      <c r="N8" s="2774" t="s">
        <v>4215</v>
      </c>
      <c r="O8" s="2775"/>
      <c r="P8" s="2776"/>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8" thickTop="1" thickBot="1">
      <c r="A9" s="1805"/>
      <c r="B9" s="2246" t="s">
        <v>4858</v>
      </c>
      <c r="C9" s="2782" t="s">
        <v>4204</v>
      </c>
      <c r="D9" s="2783"/>
      <c r="E9" s="2787">
        <v>2</v>
      </c>
      <c r="F9" s="2788"/>
      <c r="G9" s="2783"/>
      <c r="H9" s="2787">
        <v>3</v>
      </c>
      <c r="I9" s="2788"/>
      <c r="J9" s="2783"/>
      <c r="K9" s="2787">
        <v>2</v>
      </c>
      <c r="L9" s="2788"/>
      <c r="M9" s="2783"/>
      <c r="N9" s="2777">
        <v>3</v>
      </c>
      <c r="O9" s="2778"/>
      <c r="P9" s="2779"/>
      <c r="Q9" s="1805"/>
      <c r="R9" s="1805"/>
      <c r="S9" s="1805"/>
      <c r="T9" s="1805"/>
      <c r="U9" s="1805"/>
      <c r="V9" s="340"/>
      <c r="W9" s="1805"/>
      <c r="X9" s="1801"/>
      <c r="AK9" s="1801"/>
      <c r="AL9" s="1805"/>
      <c r="AM9" s="2246" t="s">
        <v>4858</v>
      </c>
      <c r="AN9" s="1807"/>
      <c r="AO9" s="1807"/>
      <c r="AP9" s="1807"/>
      <c r="AQ9" s="1807"/>
      <c r="AR9" s="1807"/>
      <c r="AS9" s="1807"/>
      <c r="AT9" s="1807"/>
      <c r="AU9" s="1807"/>
      <c r="AV9" s="1807"/>
      <c r="AW9" s="1807"/>
      <c r="AX9" s="1807"/>
      <c r="AY9" s="1807"/>
      <c r="AZ9" s="1807"/>
      <c r="BA9" s="1807"/>
      <c r="BB9" s="1805"/>
      <c r="BC9" s="1805"/>
      <c r="BD9" s="1805"/>
    </row>
    <row r="10" spans="1:56" ht="16.8" thickTop="1" thickBot="1">
      <c r="A10" s="1805"/>
      <c r="B10" s="420" t="s">
        <v>4858</v>
      </c>
      <c r="C10" s="2258" t="s">
        <v>4215</v>
      </c>
      <c r="D10" s="2259">
        <v>3</v>
      </c>
      <c r="E10" s="2282">
        <v>2352.9388589634209</v>
      </c>
      <c r="F10" s="2260">
        <f>IFERROR(E10,0)</f>
        <v>2352.9388589634209</v>
      </c>
      <c r="G10" s="2282">
        <v>2205.875</v>
      </c>
      <c r="H10" s="2318"/>
      <c r="I10" s="2318"/>
      <c r="J10" s="2318"/>
      <c r="K10" s="2282">
        <v>2312.4549999999999</v>
      </c>
      <c r="L10" s="2260">
        <f>IFERROR(K10,0)</f>
        <v>2312.4549999999999</v>
      </c>
      <c r="M10" s="2282">
        <v>2249.2739999999999</v>
      </c>
      <c r="N10" s="2318"/>
      <c r="O10" s="2318"/>
      <c r="P10" s="2319"/>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6.8"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8" thickTop="1" thickBot="1">
      <c r="A12" s="1805"/>
      <c r="B12" s="393" t="s">
        <v>4867</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6.8" thickTop="1" thickBot="1">
      <c r="A13" s="1805"/>
      <c r="B13" s="420" t="s">
        <v>4867</v>
      </c>
      <c r="C13" s="2793" t="s">
        <v>4868</v>
      </c>
      <c r="D13" s="2794"/>
      <c r="E13" s="1975">
        <v>3.8293423593798448E-2</v>
      </c>
      <c r="F13" s="1985">
        <f>IFERROR(+I13/F10,0)</f>
        <v>3.5900000311603224E-2</v>
      </c>
      <c r="G13" s="1989">
        <f>IFERROR(E13,0)</f>
        <v>3.8293423593798448E-2</v>
      </c>
      <c r="H13" s="2262">
        <f>IFERROR(+E10*E13,0)</f>
        <v>90.102084416595062</v>
      </c>
      <c r="I13" s="2263">
        <f>IFERROR(J13,0)</f>
        <v>84.470505769970146</v>
      </c>
      <c r="J13" s="2262">
        <f>IFERROR(+G10*G13,0)</f>
        <v>84.470505769970146</v>
      </c>
      <c r="K13" s="1975">
        <v>3.8100000000000002E-2</v>
      </c>
      <c r="L13" s="1985">
        <f>IFERROR(+O13/L10,0)</f>
        <v>3.705903007842315E-2</v>
      </c>
      <c r="M13" s="1989">
        <f>IFERROR(K13,0)</f>
        <v>3.8100000000000002E-2</v>
      </c>
      <c r="N13" s="2262">
        <f>IFERROR(+K10*K13,0)</f>
        <v>88.104535499999997</v>
      </c>
      <c r="O13" s="2263">
        <f>IFERROR(P13,0)</f>
        <v>85.697339400000004</v>
      </c>
      <c r="P13" s="2300">
        <f>IFERROR(+M10*M13,0)</f>
        <v>85.697339400000004</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2"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2"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8" thickTop="1" thickBot="1">
      <c r="A16" s="1805"/>
      <c r="B16" s="393" t="s">
        <v>4882</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2" thickTop="1">
      <c r="A17" s="1805"/>
      <c r="B17" s="1817" t="s">
        <v>4883</v>
      </c>
      <c r="C17" s="2795" t="s">
        <v>4868</v>
      </c>
      <c r="D17" s="2796"/>
      <c r="E17" s="2247"/>
      <c r="F17" s="1986">
        <f>IFERROR(+E13-F13,0)</f>
        <v>2.3934232821952242E-3</v>
      </c>
      <c r="G17" s="1986">
        <f t="shared" ref="G17:G22" si="0">IFERROR(+J17/$G$10,0)</f>
        <v>-8.4818949396497987E-4</v>
      </c>
      <c r="H17" s="2264"/>
      <c r="I17" s="2265">
        <f>IFERROR(+H13-I13,0)</f>
        <v>5.6315786466249165</v>
      </c>
      <c r="J17" s="2266">
        <v>-1.871</v>
      </c>
      <c r="K17" s="2247"/>
      <c r="L17" s="1986">
        <f>IFERROR(+K13-L13,0)</f>
        <v>1.0409699215768523E-3</v>
      </c>
      <c r="M17" s="1986">
        <f t="shared" ref="M17:M22" si="1">IFERROR(+P17/$G$10,0)</f>
        <v>-4.3338811129370428E-4</v>
      </c>
      <c r="N17" s="2264"/>
      <c r="O17" s="2265">
        <f>IFERROR(+N13-O13,0)</f>
        <v>2.4071960999999931</v>
      </c>
      <c r="P17" s="2301">
        <v>-0.95599999999999996</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ht="15.6">
      <c r="A18" s="1805"/>
      <c r="B18" s="1821" t="s">
        <v>4893</v>
      </c>
      <c r="C18" s="2789" t="s">
        <v>4868</v>
      </c>
      <c r="D18" s="2790"/>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ht="15.6">
      <c r="A19" s="1805"/>
      <c r="B19" s="1821" t="s">
        <v>4903</v>
      </c>
      <c r="C19" s="2789" t="s">
        <v>4868</v>
      </c>
      <c r="D19" s="2790"/>
      <c r="E19" s="2248"/>
      <c r="F19" s="1987">
        <f>IFERROR(+I19/$F$10,0)</f>
        <v>2.4211423846813029E-2</v>
      </c>
      <c r="G19" s="1987">
        <f t="shared" si="0"/>
        <v>2.5825579418598064E-2</v>
      </c>
      <c r="H19" s="2267"/>
      <c r="I19" s="2268">
        <f>IFERROR(J19,0)</f>
        <v>56.968000000000004</v>
      </c>
      <c r="J19" s="2269">
        <v>56.968000000000004</v>
      </c>
      <c r="K19" s="2248"/>
      <c r="L19" s="1987">
        <f>IFERROR(+O19/$F$10,0)</f>
        <v>8.7817836495347832E-3</v>
      </c>
      <c r="M19" s="1987">
        <f t="shared" si="1"/>
        <v>9.3672578908596364E-3</v>
      </c>
      <c r="N19" s="2267"/>
      <c r="O19" s="2268">
        <f>IFERROR(P19,0)</f>
        <v>20.663</v>
      </c>
      <c r="P19" s="2302">
        <v>20.663</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ht="15.6">
      <c r="A20" s="1805"/>
      <c r="B20" s="1821" t="s">
        <v>4913</v>
      </c>
      <c r="C20" s="2789" t="s">
        <v>4868</v>
      </c>
      <c r="D20" s="2790"/>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ht="15.6">
      <c r="A21" s="1805"/>
      <c r="B21" s="1821" t="s">
        <v>4923</v>
      </c>
      <c r="C21" s="2789" t="s">
        <v>4868</v>
      </c>
      <c r="D21" s="2790"/>
      <c r="E21" s="2248"/>
      <c r="F21" s="1987">
        <f>IFERROR(+I21/$F$10,0)</f>
        <v>-2.3536523182075999E-3</v>
      </c>
      <c r="G21" s="1987">
        <f t="shared" si="0"/>
        <v>-1.6088853629512099E-3</v>
      </c>
      <c r="H21" s="2267"/>
      <c r="I21" s="2269">
        <v>-5.5380000000000003</v>
      </c>
      <c r="J21" s="2269">
        <v>-3.5489999999999999</v>
      </c>
      <c r="K21" s="2248"/>
      <c r="L21" s="1987">
        <f>IFERROR(+O21/$F$10,0)</f>
        <v>8.4825833548402823E-3</v>
      </c>
      <c r="M21" s="1987">
        <f t="shared" si="1"/>
        <v>9.2992576641922151E-3</v>
      </c>
      <c r="N21" s="2267"/>
      <c r="O21" s="2269">
        <v>19.959</v>
      </c>
      <c r="P21" s="2302">
        <v>20.513000000000002</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2" thickBot="1">
      <c r="A22" s="1805"/>
      <c r="B22" s="1825" t="s">
        <v>4933</v>
      </c>
      <c r="C22" s="2791" t="s">
        <v>4868</v>
      </c>
      <c r="D22" s="2792"/>
      <c r="E22" s="2249"/>
      <c r="F22" s="1988">
        <f>IFERROR(+I22/$F$10,0)</f>
        <v>-2.286842252403657E-2</v>
      </c>
      <c r="G22" s="1988">
        <f t="shared" si="0"/>
        <v>-2.4393041310137701E-2</v>
      </c>
      <c r="H22" s="2270"/>
      <c r="I22" s="2271">
        <v>-53.808</v>
      </c>
      <c r="J22" s="2272">
        <v>-53.808</v>
      </c>
      <c r="K22" s="2249"/>
      <c r="L22" s="1988">
        <f>IFERROR(+O22/$F$10,0)</f>
        <v>-1.6769241516705898E-2</v>
      </c>
      <c r="M22" s="1988">
        <f t="shared" si="1"/>
        <v>-1.788723295744319E-2</v>
      </c>
      <c r="N22" s="2270"/>
      <c r="O22" s="2271">
        <v>-39.457000000000001</v>
      </c>
      <c r="P22" s="2303">
        <v>-39.457000000000001</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6.8"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8" thickTop="1" thickBot="1">
      <c r="A24" s="1805"/>
      <c r="B24" s="1812" t="s">
        <v>4943</v>
      </c>
      <c r="C24" s="2793" t="s">
        <v>4868</v>
      </c>
      <c r="D24" s="2794"/>
      <c r="E24" s="1985">
        <f t="shared" ref="E24:P24" si="5">IFERROR(SUM(E17:E22)+E13,0)</f>
        <v>3.8293423593798448E-2</v>
      </c>
      <c r="F24" s="1985">
        <f t="shared" si="5"/>
        <v>3.7282772598367306E-2</v>
      </c>
      <c r="G24" s="1985">
        <f t="shared" si="5"/>
        <v>3.7268886845342616E-2</v>
      </c>
      <c r="H24" s="2274">
        <f t="shared" si="5"/>
        <v>90.102084416595062</v>
      </c>
      <c r="I24" s="2274">
        <f t="shared" si="5"/>
        <v>87.724084416595076</v>
      </c>
      <c r="J24" s="2274">
        <f t="shared" si="5"/>
        <v>82.210505769970155</v>
      </c>
      <c r="K24" s="1985">
        <f t="shared" si="5"/>
        <v>3.8100000000000002E-2</v>
      </c>
      <c r="L24" s="1985">
        <f t="shared" si="5"/>
        <v>3.859512548766917E-2</v>
      </c>
      <c r="M24" s="1985">
        <f t="shared" si="5"/>
        <v>3.8445894486314955E-2</v>
      </c>
      <c r="N24" s="2274">
        <f t="shared" si="5"/>
        <v>88.104535499999997</v>
      </c>
      <c r="O24" s="2274">
        <f t="shared" si="5"/>
        <v>89.269535499999989</v>
      </c>
      <c r="P24" s="2304">
        <f t="shared" si="5"/>
        <v>86.460339400000009</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2"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2"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8" thickTop="1" thickBot="1">
      <c r="A27" s="1805"/>
      <c r="B27" s="393" t="s">
        <v>4957</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2" thickTop="1">
      <c r="A28" s="1805"/>
      <c r="B28" s="1817" t="s">
        <v>4958</v>
      </c>
      <c r="C28" s="2795" t="s">
        <v>4868</v>
      </c>
      <c r="D28" s="2796"/>
      <c r="E28" s="2247"/>
      <c r="F28" s="1986">
        <f t="shared" ref="F28:F33" si="6">IFERROR(+I28/$F$10,0)</f>
        <v>-2.935477891271197E-2</v>
      </c>
      <c r="G28" s="1986">
        <f t="shared" ref="G28:G33" si="7">IFERROR(+J28/$G$10,0)</f>
        <v>-3.1311837706125681E-2</v>
      </c>
      <c r="H28" s="2276"/>
      <c r="I28" s="2277">
        <f t="shared" ref="I28:I33" si="8">IFERROR(J28,0)</f>
        <v>-69.069999999999993</v>
      </c>
      <c r="J28" s="2266">
        <v>-69.069999999999993</v>
      </c>
      <c r="K28" s="2247"/>
      <c r="L28" s="1986">
        <f t="shared" ref="L28:L33" si="9">IFERROR(+O28/$F$10,0)</f>
        <v>-1.907359378635588E-2</v>
      </c>
      <c r="M28" s="1986">
        <f t="shared" ref="M28:M33" si="10">IFERROR(+P28/$G$10,0)</f>
        <v>-2.0345214484048278E-2</v>
      </c>
      <c r="N28" s="2264"/>
      <c r="O28" s="2277">
        <f t="shared" ref="O28:O33" si="11">IFERROR(P28,0)</f>
        <v>-44.878999999999998</v>
      </c>
      <c r="P28" s="2301">
        <v>-44.878999999999998</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ht="15.6">
      <c r="A29" s="1805"/>
      <c r="B29" s="1821" t="s">
        <v>4968</v>
      </c>
      <c r="C29" s="2789" t="s">
        <v>4868</v>
      </c>
      <c r="D29" s="2790"/>
      <c r="E29" s="2248"/>
      <c r="F29" s="1987">
        <f t="shared" si="6"/>
        <v>-8.6840335532567502E-3</v>
      </c>
      <c r="G29" s="1987">
        <f t="shared" si="7"/>
        <v>-9.2629908766362554E-3</v>
      </c>
      <c r="H29" s="2278"/>
      <c r="I29" s="2268">
        <f t="shared" si="8"/>
        <v>-20.433</v>
      </c>
      <c r="J29" s="2269">
        <v>-20.433</v>
      </c>
      <c r="K29" s="2248"/>
      <c r="L29" s="1987">
        <f t="shared" si="9"/>
        <v>-5.4276803459424447E-3</v>
      </c>
      <c r="M29" s="1987">
        <f t="shared" si="10"/>
        <v>-5.7895392984643286E-3</v>
      </c>
      <c r="N29" s="2267"/>
      <c r="O29" s="2268">
        <f t="shared" si="11"/>
        <v>-12.771000000000001</v>
      </c>
      <c r="P29" s="2302">
        <v>-12.771000000000001</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ht="15.6">
      <c r="A30" s="1805"/>
      <c r="B30" s="1821" t="s">
        <v>4978</v>
      </c>
      <c r="C30" s="2789" t="s">
        <v>4868</v>
      </c>
      <c r="D30" s="2790"/>
      <c r="E30" s="2248"/>
      <c r="F30" s="1987">
        <f t="shared" si="6"/>
        <v>6.3410062455141543E-4</v>
      </c>
      <c r="G30" s="1987">
        <f t="shared" si="7"/>
        <v>6.7637558791862644E-4</v>
      </c>
      <c r="H30" s="2278"/>
      <c r="I30" s="2268">
        <f t="shared" si="8"/>
        <v>1.492</v>
      </c>
      <c r="J30" s="2269">
        <v>1.492</v>
      </c>
      <c r="K30" s="2248"/>
      <c r="L30" s="1987">
        <f t="shared" si="9"/>
        <v>4.9682548934356881E-4</v>
      </c>
      <c r="M30" s="1987">
        <f t="shared" si="10"/>
        <v>5.2994843316144392E-4</v>
      </c>
      <c r="N30" s="2267"/>
      <c r="O30" s="2268">
        <f t="shared" si="11"/>
        <v>1.169</v>
      </c>
      <c r="P30" s="2302">
        <v>1.169</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ht="15.6">
      <c r="A31" s="1805"/>
      <c r="B31" s="1821" t="s">
        <v>4988</v>
      </c>
      <c r="C31" s="2789" t="s">
        <v>4868</v>
      </c>
      <c r="D31" s="2790"/>
      <c r="E31" s="2248"/>
      <c r="F31" s="1987">
        <f t="shared" si="6"/>
        <v>-5.4825053999418629E-5</v>
      </c>
      <c r="G31" s="1987">
        <f t="shared" si="7"/>
        <v>-5.8480194933983115E-5</v>
      </c>
      <c r="H31" s="2278"/>
      <c r="I31" s="2268">
        <f t="shared" si="8"/>
        <v>-0.129</v>
      </c>
      <c r="J31" s="2269">
        <v>-0.129</v>
      </c>
      <c r="K31" s="2248"/>
      <c r="L31" s="1987">
        <f t="shared" si="9"/>
        <v>-6.8425067394623244E-5</v>
      </c>
      <c r="M31" s="1987">
        <f t="shared" si="10"/>
        <v>-7.2986909956366519E-5</v>
      </c>
      <c r="N31" s="2267"/>
      <c r="O31" s="2268">
        <f t="shared" si="11"/>
        <v>-0.161</v>
      </c>
      <c r="P31" s="2302">
        <v>-0.161</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ht="15.6">
      <c r="A32" s="1805"/>
      <c r="B32" s="1821" t="s">
        <v>4998</v>
      </c>
      <c r="C32" s="2789" t="s">
        <v>4868</v>
      </c>
      <c r="D32" s="2790"/>
      <c r="E32" s="2248"/>
      <c r="F32" s="1987">
        <f t="shared" si="6"/>
        <v>-1.2134611951871323E-2</v>
      </c>
      <c r="G32" s="1987">
        <f t="shared" si="7"/>
        <v>-1.2943616478721595E-2</v>
      </c>
      <c r="H32" s="2278"/>
      <c r="I32" s="2268">
        <f t="shared" si="8"/>
        <v>-28.552</v>
      </c>
      <c r="J32" s="2269">
        <v>-28.552</v>
      </c>
      <c r="K32" s="2248"/>
      <c r="L32" s="1987">
        <f t="shared" si="9"/>
        <v>-1.0701085539933035E-2</v>
      </c>
      <c r="M32" s="1987">
        <f t="shared" si="10"/>
        <v>-1.1414518048393494E-2</v>
      </c>
      <c r="N32" s="2267"/>
      <c r="O32" s="2268">
        <f t="shared" si="11"/>
        <v>-25.178999999999998</v>
      </c>
      <c r="P32" s="2302">
        <v>-25.178999999999998</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ht="15.6">
      <c r="A33" s="1805"/>
      <c r="B33" s="1821" t="s">
        <v>5008</v>
      </c>
      <c r="C33" s="2789" t="s">
        <v>4868</v>
      </c>
      <c r="D33" s="2790"/>
      <c r="E33" s="2248"/>
      <c r="F33" s="1987">
        <f t="shared" si="6"/>
        <v>0</v>
      </c>
      <c r="G33" s="1987">
        <f t="shared" si="7"/>
        <v>0</v>
      </c>
      <c r="H33" s="2278"/>
      <c r="I33" s="2268">
        <f t="shared" si="8"/>
        <v>0</v>
      </c>
      <c r="J33" s="2269">
        <v>0</v>
      </c>
      <c r="K33" s="2248"/>
      <c r="L33" s="1987">
        <f t="shared" si="9"/>
        <v>0</v>
      </c>
      <c r="M33" s="1987">
        <f t="shared" si="10"/>
        <v>0</v>
      </c>
      <c r="N33" s="2267"/>
      <c r="O33" s="2268">
        <f t="shared" si="11"/>
        <v>0</v>
      </c>
      <c r="P33" s="2302">
        <v>0</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2" thickBot="1">
      <c r="A34" s="1805"/>
      <c r="B34" s="1825" t="s">
        <v>5018</v>
      </c>
      <c r="C34" s="2791" t="s">
        <v>4868</v>
      </c>
      <c r="D34" s="2792"/>
      <c r="E34" s="2249"/>
      <c r="F34" s="1988">
        <f>IFERROR(SUM(F28:F33),0)</f>
        <v>-4.9594148847288043E-2</v>
      </c>
      <c r="G34" s="1988">
        <f>IFERROR(SUM(G28:G33),0)</f>
        <v>-5.2900549668498893E-2</v>
      </c>
      <c r="H34" s="2279"/>
      <c r="I34" s="2280">
        <f>IFERROR(SUM(I28:I33),0)</f>
        <v>-116.69199999999998</v>
      </c>
      <c r="J34" s="2280">
        <f>IFERROR(SUM(J28:J33),0)</f>
        <v>-116.69199999999998</v>
      </c>
      <c r="K34" s="2249"/>
      <c r="L34" s="1988">
        <f>IFERROR(SUM(L28:L33),0)</f>
        <v>-3.4773959250282413E-2</v>
      </c>
      <c r="M34" s="1988">
        <f>IFERROR(SUM(M28:M33),0)</f>
        <v>-3.7092310307701028E-2</v>
      </c>
      <c r="N34" s="2270"/>
      <c r="O34" s="2280">
        <f>IFERROR(SUM(O28:O33),0)</f>
        <v>-81.820999999999998</v>
      </c>
      <c r="P34" s="2305">
        <f>IFERROR(SUM(P28:P33),0)</f>
        <v>-81.820999999999998</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6.8"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8" thickTop="1" thickBot="1">
      <c r="A36" s="1805"/>
      <c r="B36" s="1812" t="s">
        <v>5028</v>
      </c>
      <c r="C36" s="2793" t="s">
        <v>4868</v>
      </c>
      <c r="D36" s="2794"/>
      <c r="E36" s="1985">
        <f t="shared" ref="E36:P36" si="15">IFERROR(+E24+E34,0)</f>
        <v>3.8293423593798448E-2</v>
      </c>
      <c r="F36" s="1985">
        <f t="shared" si="15"/>
        <v>-1.2311376248920737E-2</v>
      </c>
      <c r="G36" s="1985">
        <f t="shared" si="15"/>
        <v>-1.5631662823156277E-2</v>
      </c>
      <c r="H36" s="2274">
        <f t="shared" si="15"/>
        <v>90.102084416595062</v>
      </c>
      <c r="I36" s="2274">
        <f t="shared" si="15"/>
        <v>-28.967915583404903</v>
      </c>
      <c r="J36" s="2274">
        <f t="shared" si="15"/>
        <v>-34.481494230029824</v>
      </c>
      <c r="K36" s="1985">
        <f t="shared" si="15"/>
        <v>3.8100000000000002E-2</v>
      </c>
      <c r="L36" s="1985">
        <f t="shared" si="15"/>
        <v>3.8211662373867569E-3</v>
      </c>
      <c r="M36" s="1985">
        <f t="shared" si="15"/>
        <v>1.3535841786139272E-3</v>
      </c>
      <c r="N36" s="2274">
        <f t="shared" si="15"/>
        <v>88.104535499999997</v>
      </c>
      <c r="O36" s="2274">
        <f t="shared" si="15"/>
        <v>7.4485354999999913</v>
      </c>
      <c r="P36" s="2304">
        <f t="shared" si="15"/>
        <v>4.6393394000000114</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6.8"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8" thickTop="1" thickBot="1">
      <c r="A38" s="1805"/>
      <c r="B38" s="1812" t="s">
        <v>5042</v>
      </c>
      <c r="C38" s="2793" t="s">
        <v>4868</v>
      </c>
      <c r="D38" s="2794"/>
      <c r="E38" s="1975">
        <v>0.10730000000000001</v>
      </c>
      <c r="F38" s="1989">
        <f>IFERROR(E38,0)</f>
        <v>0.10730000000000001</v>
      </c>
      <c r="G38" s="1989">
        <f>IFERROR(E38,0)</f>
        <v>0.10730000000000001</v>
      </c>
      <c r="H38" s="2274">
        <f>IFERROR(+E10*E38,0)</f>
        <v>252.47033956677507</v>
      </c>
      <c r="I38" s="2274">
        <f>IFERROR(+F38*F10,0)</f>
        <v>252.47033956677507</v>
      </c>
      <c r="J38" s="2274">
        <f>IFERROR(+G38*G10,0)</f>
        <v>236.69038750000001</v>
      </c>
      <c r="K38" s="1975">
        <v>6.3700000000000007E-2</v>
      </c>
      <c r="L38" s="1989">
        <f>IFERROR(K38,0)</f>
        <v>6.3700000000000007E-2</v>
      </c>
      <c r="M38" s="1989">
        <f>IFERROR(K38,0)</f>
        <v>6.3700000000000007E-2</v>
      </c>
      <c r="N38" s="2274">
        <f>IFERROR(+K10*K38,0)</f>
        <v>147.30338350000002</v>
      </c>
      <c r="O38" s="2274">
        <f>IFERROR(+L38*L10,0)</f>
        <v>147.30338350000002</v>
      </c>
      <c r="P38" s="2304">
        <f>IFERROR(+M38*M10,0)</f>
        <v>143.2787538</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6.8"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8" thickTop="1" thickBot="1">
      <c r="A40" s="1805"/>
      <c r="B40" s="1812" t="s">
        <v>5052</v>
      </c>
      <c r="C40" s="2793" t="s">
        <v>4868</v>
      </c>
      <c r="D40" s="2794"/>
      <c r="E40" s="1978"/>
      <c r="F40" s="1985">
        <f>IFERROR(+I40/F10,0)</f>
        <v>-4.4387043718599082E-3</v>
      </c>
      <c r="G40" s="1985">
        <f>IFERROR(+J40/G10,0)</f>
        <v>-4.7346291154303855E-3</v>
      </c>
      <c r="H40" s="2281"/>
      <c r="I40" s="2260">
        <f>IFERROR(J40,0)</f>
        <v>-10.444000000000001</v>
      </c>
      <c r="J40" s="2282">
        <v>-10.444000000000001</v>
      </c>
      <c r="K40" s="1978"/>
      <c r="L40" s="1985">
        <f>IFERROR(+O40/L10,0)</f>
        <v>-4.7434436562008775E-3</v>
      </c>
      <c r="M40" s="1985">
        <f>IFERROR(+P40/M10,0)</f>
        <v>-4.8766846546930255E-3</v>
      </c>
      <c r="N40" s="2281"/>
      <c r="O40" s="2260">
        <f>IFERROR(P40,0)</f>
        <v>-10.968999999999999</v>
      </c>
      <c r="P40" s="2306">
        <v>-10.968999999999999</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6.8"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8" thickTop="1" thickBot="1">
      <c r="A42" s="1805"/>
      <c r="B42" s="1812" t="s">
        <v>5061</v>
      </c>
      <c r="C42" s="2793" t="s">
        <v>4868</v>
      </c>
      <c r="D42" s="2794"/>
      <c r="E42" s="1985">
        <f t="shared" ref="E42:P42" si="19">IFERROR(+E36+E38+E40,0)</f>
        <v>0.14559342359379845</v>
      </c>
      <c r="F42" s="1985">
        <f t="shared" si="19"/>
        <v>9.0549919379219371E-2</v>
      </c>
      <c r="G42" s="1985">
        <f t="shared" si="19"/>
        <v>8.6933708061413331E-2</v>
      </c>
      <c r="H42" s="2274">
        <f t="shared" si="19"/>
        <v>342.57242398337013</v>
      </c>
      <c r="I42" s="2274">
        <f t="shared" si="19"/>
        <v>213.05842398337018</v>
      </c>
      <c r="J42" s="2274">
        <f t="shared" si="19"/>
        <v>191.7648932699702</v>
      </c>
      <c r="K42" s="1985">
        <f t="shared" si="19"/>
        <v>0.1018</v>
      </c>
      <c r="L42" s="1985">
        <f t="shared" si="19"/>
        <v>6.2777722581185899E-2</v>
      </c>
      <c r="M42" s="1985">
        <f t="shared" si="19"/>
        <v>6.0176899523920899E-2</v>
      </c>
      <c r="N42" s="2274">
        <f t="shared" si="19"/>
        <v>235.40791900000002</v>
      </c>
      <c r="O42" s="2274">
        <f t="shared" si="19"/>
        <v>143.78291900000002</v>
      </c>
      <c r="P42" s="2304">
        <f t="shared" si="19"/>
        <v>136.94909320000002</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6.8"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8" thickTop="1" thickBot="1">
      <c r="A44" s="1805"/>
      <c r="B44" s="1786" t="s">
        <v>5075</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2" thickTop="1">
      <c r="A45" s="1805"/>
      <c r="B45" s="1837" t="s">
        <v>5076</v>
      </c>
      <c r="C45" s="2800" t="s">
        <v>4868</v>
      </c>
      <c r="D45" s="2800"/>
      <c r="E45" s="1979">
        <v>0.03</v>
      </c>
      <c r="F45" s="1990">
        <f>IFERROR(+I45/F10,0)</f>
        <v>0</v>
      </c>
      <c r="G45" s="1990">
        <f>IFERROR(+J45/G10,0)</f>
        <v>0</v>
      </c>
      <c r="H45" s="2284">
        <f>IFERROR(+E45*E10,0)</f>
        <v>70.588165768902627</v>
      </c>
      <c r="I45" s="2285">
        <f>IFERROR(J45,0)</f>
        <v>0</v>
      </c>
      <c r="J45" s="2286">
        <v>0</v>
      </c>
      <c r="K45" s="1980">
        <v>0.03</v>
      </c>
      <c r="L45" s="1990">
        <f>IFERROR(+O45/L10,0)</f>
        <v>0</v>
      </c>
      <c r="M45" s="1990">
        <f>IFERROR(+P45/M10,0)</f>
        <v>0</v>
      </c>
      <c r="N45" s="2284">
        <f>IFERROR(+K45*K10,0)</f>
        <v>69.373649999999998</v>
      </c>
      <c r="O45" s="2285">
        <f>IFERROR(P45,0)</f>
        <v>0</v>
      </c>
      <c r="P45" s="2307">
        <v>0</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2" thickBot="1">
      <c r="A46" s="1805"/>
      <c r="B46" s="1839" t="s">
        <v>5088</v>
      </c>
      <c r="C46" s="2798" t="s">
        <v>4868</v>
      </c>
      <c r="D46" s="2798"/>
      <c r="E46" s="1981"/>
      <c r="F46" s="1991">
        <f>IFERROR(+I46/F10,0)</f>
        <v>0</v>
      </c>
      <c r="G46" s="1991">
        <f>IFERROR(+J46/G10,0)</f>
        <v>0</v>
      </c>
      <c r="H46" s="2287"/>
      <c r="I46" s="2288">
        <f>IFERROR(J46,0)</f>
        <v>0</v>
      </c>
      <c r="J46" s="2289">
        <v>0</v>
      </c>
      <c r="K46" s="1982"/>
      <c r="L46" s="1991">
        <f>IFERROR(+O46/L10,0)</f>
        <v>0</v>
      </c>
      <c r="M46" s="1991">
        <f>IFERROR(+P46/M10,0)</f>
        <v>0</v>
      </c>
      <c r="N46" s="2287"/>
      <c r="O46" s="2288">
        <f>IFERROR(P46,0)</f>
        <v>0</v>
      </c>
      <c r="P46" s="2308">
        <v>0</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6.8"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8" thickTop="1" thickBot="1">
      <c r="A48" s="1805"/>
      <c r="B48" s="1841" t="s">
        <v>5096</v>
      </c>
      <c r="C48" s="2799" t="s">
        <v>4868</v>
      </c>
      <c r="D48" s="2799"/>
      <c r="E48" s="1992">
        <f t="shared" ref="E48:P48" si="24">IFERROR(+E42-E45-E46,0)</f>
        <v>0.11559342359379846</v>
      </c>
      <c r="F48" s="1992">
        <f t="shared" si="24"/>
        <v>9.0549919379219371E-2</v>
      </c>
      <c r="G48" s="1992">
        <f t="shared" si="24"/>
        <v>8.6933708061413331E-2</v>
      </c>
      <c r="H48" s="2291">
        <f t="shared" si="24"/>
        <v>271.9842582144675</v>
      </c>
      <c r="I48" s="2291">
        <f t="shared" si="24"/>
        <v>213.05842398337018</v>
      </c>
      <c r="J48" s="2291">
        <f t="shared" si="24"/>
        <v>191.7648932699702</v>
      </c>
      <c r="K48" s="1992">
        <f t="shared" si="24"/>
        <v>7.1800000000000003E-2</v>
      </c>
      <c r="L48" s="1992">
        <f t="shared" si="24"/>
        <v>6.2777722581185899E-2</v>
      </c>
      <c r="M48" s="1992">
        <f t="shared" si="24"/>
        <v>6.0176899523920899E-2</v>
      </c>
      <c r="N48" s="2291">
        <f t="shared" si="24"/>
        <v>166.03426900000002</v>
      </c>
      <c r="O48" s="2291">
        <f t="shared" si="24"/>
        <v>143.78291900000002</v>
      </c>
      <c r="P48" s="2309">
        <f t="shared" si="24"/>
        <v>136.94909320000002</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2"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2"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8" thickTop="1" thickBot="1">
      <c r="A51" s="1805"/>
      <c r="B51" s="393" t="s">
        <v>5110</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2" thickTop="1">
      <c r="A52" s="1805"/>
      <c r="B52" s="1837" t="s">
        <v>5111</v>
      </c>
      <c r="C52" s="2800" t="s">
        <v>4868</v>
      </c>
      <c r="D52" s="2800"/>
      <c r="E52" s="1983"/>
      <c r="F52" s="1990">
        <f>IFERROR(+I52/F10,0)</f>
        <v>2.1525020633089377E-3</v>
      </c>
      <c r="G52" s="1990">
        <f>IFERROR(+J52/G10,0)</f>
        <v>2.2960075927958476E-3</v>
      </c>
      <c r="H52" s="2293"/>
      <c r="I52" s="2285">
        <f>IFERROR(J52,0)</f>
        <v>5.0647057487585405</v>
      </c>
      <c r="J52" s="2294">
        <v>5.0647057487585405</v>
      </c>
      <c r="K52" s="1983"/>
      <c r="L52" s="1993">
        <f>IFERROR(+O52/L10,0)</f>
        <v>2.1903128925752071E-3</v>
      </c>
      <c r="M52" s="1994">
        <f>IFERROR(+P52/M10,0)</f>
        <v>2.2518377040769604E-3</v>
      </c>
      <c r="N52" s="2310"/>
      <c r="O52" s="2311">
        <f>IFERROR(P52,0)</f>
        <v>5.0650000000000004</v>
      </c>
      <c r="P52" s="2307">
        <v>5.0650000000000004</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ht="15.6">
      <c r="A53" s="1805"/>
      <c r="B53" s="1843" t="s">
        <v>5119</v>
      </c>
      <c r="C53" s="2797" t="s">
        <v>4868</v>
      </c>
      <c r="D53" s="2797"/>
      <c r="E53" s="1984"/>
      <c r="F53" s="1999">
        <f>IFERROR(+I53/F10,0)</f>
        <v>8.0512093318461497E-6</v>
      </c>
      <c r="G53" s="1999">
        <f>IFERROR(+J53/G10,0)</f>
        <v>8.5879767885985049E-6</v>
      </c>
      <c r="H53" s="2295"/>
      <c r="I53" s="2296">
        <f>IFERROR(J53,0)</f>
        <v>1.8944003298549728E-2</v>
      </c>
      <c r="J53" s="2297">
        <v>1.8944003298549728E-2</v>
      </c>
      <c r="K53" s="1984"/>
      <c r="L53" s="1995">
        <f>IFERROR(+O53/L10,0)</f>
        <v>8.2163761024538857E-6</v>
      </c>
      <c r="M53" s="1996">
        <f>IFERROR(+P53/M10,0)</f>
        <v>8.4471700646519723E-6</v>
      </c>
      <c r="N53" s="2312"/>
      <c r="O53" s="2313">
        <f>IFERROR(P53,0)</f>
        <v>1.9E-2</v>
      </c>
      <c r="P53" s="2314">
        <v>1.9E-2</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2" thickBot="1">
      <c r="A54" s="1805"/>
      <c r="B54" s="1839" t="s">
        <v>5127</v>
      </c>
      <c r="C54" s="2798" t="s">
        <v>4868</v>
      </c>
      <c r="D54" s="2798"/>
      <c r="E54" s="1981"/>
      <c r="F54" s="1991">
        <f>IFERROR(SUM(F52:F53),0)</f>
        <v>2.160553272640784E-3</v>
      </c>
      <c r="G54" s="1991">
        <f>IFERROR(SUM(G52:G53),0)</f>
        <v>2.304595569584446E-3</v>
      </c>
      <c r="H54" s="2298"/>
      <c r="I54" s="2299">
        <f>IFERROR(SUM(I52:I53),0)</f>
        <v>5.0836497520570898</v>
      </c>
      <c r="J54" s="2299">
        <f>IFERROR(SUM(J52:J53),0)</f>
        <v>5.0836497520570898</v>
      </c>
      <c r="K54" s="1981"/>
      <c r="L54" s="1997">
        <f>IFERROR(SUM(L52:L53),0)</f>
        <v>2.1985292686776611E-3</v>
      </c>
      <c r="M54" s="1998">
        <f>IFERROR(SUM(M52:M53),0)</f>
        <v>2.2602848741416124E-3</v>
      </c>
      <c r="N54" s="2315"/>
      <c r="O54" s="2316">
        <f>IFERROR(SUM(O52:O53),0)</f>
        <v>5.0840000000000005</v>
      </c>
      <c r="P54" s="2317">
        <f>IFERROR(SUM(P52:P53),0)</f>
        <v>5.0840000000000005</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5.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3" priority="10" operator="equal">
      <formula>0</formula>
    </cfRule>
  </conditionalFormatting>
  <conditionalFormatting sqref="W13">
    <cfRule type="cellIs" dxfId="192" priority="8" operator="equal">
      <formula>0</formula>
    </cfRule>
  </conditionalFormatting>
  <conditionalFormatting sqref="W17:W22">
    <cfRule type="cellIs" dxfId="191" priority="7" operator="equal">
      <formula>0</formula>
    </cfRule>
  </conditionalFormatting>
  <conditionalFormatting sqref="W28:W33">
    <cfRule type="cellIs" dxfId="190" priority="6" operator="equal">
      <formula>0</formula>
    </cfRule>
  </conditionalFormatting>
  <conditionalFormatting sqref="W38">
    <cfRule type="cellIs" dxfId="189" priority="5" operator="equal">
      <formula>0</formula>
    </cfRule>
  </conditionalFormatting>
  <conditionalFormatting sqref="W45:W46">
    <cfRule type="cellIs" dxfId="188" priority="3" operator="equal">
      <formula>0</formula>
    </cfRule>
  </conditionalFormatting>
  <conditionalFormatting sqref="W52:W53">
    <cfRule type="cellIs" dxfId="187"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A8" zoomScaleNormal="100" zoomScaleSheetLayoutView="100" workbookViewId="0">
      <selection activeCell="F12" sqref="F12"/>
    </sheetView>
  </sheetViews>
  <sheetFormatPr defaultColWidth="9.09765625" defaultRowHeight="16.350000000000001" customHeight="1"/>
  <cols>
    <col min="1" max="1" width="1.59765625" style="224" customWidth="1"/>
    <col min="2" max="2" width="55" style="224" customWidth="1"/>
    <col min="3" max="3" width="5.5" style="224" bestFit="1" customWidth="1"/>
    <col min="4" max="4" width="4.69921875" style="224" bestFit="1" customWidth="1"/>
    <col min="5" max="5" width="10.69921875" style="224" bestFit="1" customWidth="1"/>
    <col min="6" max="6" width="9.09765625" style="224" bestFit="1" customWidth="1"/>
    <col min="7" max="7" width="9.59765625" style="224" bestFit="1" customWidth="1"/>
    <col min="8" max="8" width="9.19921875" style="224" bestFit="1" customWidth="1"/>
    <col min="9" max="9" width="11.19921875" style="224" bestFit="1" customWidth="1"/>
    <col min="10" max="10" width="12.5" style="224" customWidth="1"/>
    <col min="11" max="11" width="9.69921875" style="224" bestFit="1" customWidth="1"/>
    <col min="12" max="12" width="9.3984375" style="224" customWidth="1"/>
    <col min="13" max="13" width="1.59765625" style="224" customWidth="1"/>
    <col min="14" max="14" width="9.19921875" style="224" bestFit="1" customWidth="1"/>
    <col min="15" max="15" width="1.59765625" style="224" customWidth="1"/>
    <col min="16" max="16" width="29.5" style="224" bestFit="1" customWidth="1"/>
    <col min="17" max="18" width="1.59765625" style="224" customWidth="1"/>
    <col min="19" max="19" width="20.59765625" style="224" bestFit="1" customWidth="1"/>
    <col min="20" max="20" width="1.59765625" style="263" customWidth="1"/>
    <col min="21" max="21" width="20.59765625" style="263" hidden="1" customWidth="1"/>
    <col min="22" max="28" width="1.69921875" style="263" hidden="1" customWidth="1"/>
    <col min="29" max="29" width="1.59765625" style="263" hidden="1" customWidth="1"/>
    <col min="30" max="30" width="3.19921875" style="224" customWidth="1"/>
    <col min="31" max="31" width="50.5" style="224" bestFit="1" customWidth="1"/>
    <col min="32" max="32" width="16.59765625" style="224" bestFit="1" customWidth="1"/>
    <col min="33" max="33" width="19.59765625" style="224" bestFit="1" customWidth="1"/>
    <col min="34" max="34" width="18.69921875" style="224" bestFit="1" customWidth="1"/>
    <col min="35" max="35" width="17.09765625" style="224" bestFit="1" customWidth="1"/>
    <col min="36" max="37" width="18.69921875" style="224" bestFit="1" customWidth="1"/>
    <col min="38" max="39" width="19.69921875" style="224" bestFit="1" customWidth="1"/>
    <col min="40" max="40" width="1.59765625" style="224" customWidth="1"/>
    <col min="41" max="16384" width="9.09765625" style="224"/>
  </cols>
  <sheetData>
    <row r="1" spans="1:39" s="389" customFormat="1" ht="29.25" customHeight="1">
      <c r="B1" s="2721" t="s">
        <v>5137</v>
      </c>
      <c r="C1" s="2721"/>
      <c r="D1" s="2721"/>
      <c r="E1" s="2802"/>
      <c r="F1" s="2802"/>
      <c r="G1" s="2802"/>
      <c r="H1" s="2802"/>
      <c r="I1" s="2802"/>
      <c r="J1" s="443"/>
      <c r="K1" s="259"/>
      <c r="L1" s="259"/>
      <c r="M1" s="2721"/>
      <c r="N1" s="2721"/>
      <c r="R1" s="340"/>
      <c r="S1" s="267"/>
      <c r="T1" s="361"/>
      <c r="U1" s="263"/>
      <c r="V1" s="263"/>
      <c r="W1" s="263"/>
      <c r="X1" s="263"/>
      <c r="Y1" s="263"/>
      <c r="Z1" s="263"/>
      <c r="AA1" s="263"/>
      <c r="AB1" s="263"/>
      <c r="AC1" s="361"/>
      <c r="AE1" s="2721" t="s">
        <v>4198</v>
      </c>
      <c r="AF1" s="2802"/>
      <c r="AG1" s="2802"/>
      <c r="AH1" s="2802"/>
      <c r="AI1" s="2802"/>
      <c r="AJ1" s="2802"/>
      <c r="AK1" s="443"/>
      <c r="AL1" s="443"/>
      <c r="AM1" s="259"/>
    </row>
    <row r="2" spans="1:39" s="389" customFormat="1" ht="31.35" customHeight="1">
      <c r="B2" s="2721" t="str">
        <f>SelectCompany!B4</f>
        <v>Dŵr Cymru</v>
      </c>
      <c r="C2" s="2721"/>
      <c r="D2" s="2721"/>
      <c r="E2" s="2802"/>
      <c r="F2" s="2802"/>
      <c r="G2" s="2802"/>
      <c r="H2" s="2802"/>
      <c r="I2" s="2802"/>
      <c r="J2" s="390"/>
      <c r="K2" s="339"/>
      <c r="L2" s="259"/>
      <c r="M2" s="390"/>
      <c r="N2" s="390"/>
      <c r="R2" s="340"/>
      <c r="S2" s="267"/>
      <c r="T2" s="361"/>
      <c r="U2" s="263"/>
      <c r="V2" s="263"/>
      <c r="W2" s="263"/>
      <c r="X2" s="263"/>
      <c r="Y2" s="263"/>
      <c r="Z2" s="263"/>
      <c r="AA2" s="263"/>
      <c r="AB2" s="263"/>
      <c r="AC2" s="361"/>
      <c r="AE2" s="2721"/>
      <c r="AF2" s="2802"/>
      <c r="AG2" s="2802"/>
      <c r="AH2" s="2802"/>
      <c r="AI2" s="2802"/>
      <c r="AJ2" s="2802"/>
      <c r="AK2" s="443"/>
      <c r="AL2" s="390"/>
      <c r="AM2" s="259"/>
    </row>
    <row r="3" spans="1:39" ht="33" customHeight="1">
      <c r="B3" s="2722" t="s">
        <v>5138</v>
      </c>
      <c r="C3" s="2723"/>
      <c r="D3" s="2723"/>
      <c r="E3" s="2723"/>
      <c r="F3" s="2723"/>
      <c r="G3" s="2723"/>
      <c r="H3" s="2723"/>
      <c r="I3" s="2723"/>
      <c r="J3" s="2723"/>
      <c r="K3" s="2723"/>
      <c r="L3" s="2723"/>
      <c r="M3" s="2723"/>
      <c r="N3" s="2723"/>
      <c r="O3" s="2723"/>
      <c r="P3" s="2723"/>
      <c r="R3" s="342"/>
      <c r="S3" s="265" t="s">
        <v>4200</v>
      </c>
      <c r="T3" s="361"/>
      <c r="AC3" s="361"/>
      <c r="AE3" s="2724" t="s">
        <v>5138</v>
      </c>
      <c r="AF3" s="2725"/>
      <c r="AG3" s="2725"/>
      <c r="AH3" s="2725"/>
      <c r="AI3" s="2725"/>
      <c r="AJ3" s="2725"/>
      <c r="AK3" s="2725"/>
      <c r="AL3" s="2725"/>
      <c r="AM3" s="2725"/>
    </row>
    <row r="4" spans="1:39" ht="16.350000000000001" customHeight="1" thickBot="1">
      <c r="B4" s="266"/>
      <c r="C4" s="266"/>
      <c r="D4" s="266"/>
      <c r="E4" s="2801"/>
      <c r="F4" s="2801"/>
      <c r="G4" s="2801"/>
      <c r="H4" s="2801"/>
      <c r="I4" s="444"/>
      <c r="J4" s="444"/>
      <c r="K4" s="444"/>
      <c r="R4" s="345"/>
      <c r="S4" s="267"/>
      <c r="T4" s="361"/>
      <c r="U4" s="2710" t="s">
        <v>4201</v>
      </c>
      <c r="V4" s="2710"/>
      <c r="W4" s="2710"/>
      <c r="X4" s="2710"/>
      <c r="Y4" s="2710"/>
      <c r="Z4" s="2710"/>
      <c r="AA4" s="2710"/>
      <c r="AB4" s="2710"/>
      <c r="AC4" s="361"/>
      <c r="AE4" s="266"/>
      <c r="AF4" s="2801"/>
      <c r="AG4" s="2801"/>
      <c r="AH4" s="2801"/>
      <c r="AI4" s="2801"/>
      <c r="AJ4" s="444"/>
      <c r="AK4" s="444"/>
      <c r="AL4" s="444"/>
    </row>
    <row r="5" spans="1:39" ht="46.2"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39.075000000000003</v>
      </c>
      <c r="F7" s="350">
        <f>IFERROR('2I'!F36,0)</f>
        <v>7.7809999999999997</v>
      </c>
      <c r="G7" s="350">
        <f>IFERROR('2I'!H11,0)</f>
        <v>42.16</v>
      </c>
      <c r="H7" s="350">
        <f>IFERROR('2I'!I11,0)</f>
        <v>264.55499999999995</v>
      </c>
      <c r="I7" s="350">
        <f>IFERROR('2I'!H23,0)</f>
        <v>411.87400000000002</v>
      </c>
      <c r="J7" s="350">
        <f>IFERROR('2I'!I23,0)</f>
        <v>44.47</v>
      </c>
      <c r="K7" s="452">
        <f>IFERROR('2I'!G28,0)</f>
        <v>0</v>
      </c>
      <c r="L7" s="280">
        <f>IFERROR(SUM(E7:K7),0)</f>
        <v>809.91499999999996</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19.186</v>
      </c>
      <c r="H8" s="454">
        <v>0</v>
      </c>
      <c r="I8" s="454">
        <v>0.10100000000000001</v>
      </c>
      <c r="J8" s="454">
        <v>0</v>
      </c>
      <c r="K8" s="454">
        <v>0</v>
      </c>
      <c r="L8" s="315">
        <f>IFERROR(SUM(E8:K8),0)</f>
        <v>19.286999999999999</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-61.364000000000004</v>
      </c>
      <c r="F10" s="279">
        <f>IFERROR(('2C'!F15 + '2C'!F32+'2C'!F33) * -1,0)</f>
        <v>-6.0339999999999998</v>
      </c>
      <c r="G10" s="278">
        <v>-33.744</v>
      </c>
      <c r="H10" s="278">
        <v>-232.86</v>
      </c>
      <c r="I10" s="278">
        <v>-153.84200000000001</v>
      </c>
      <c r="J10" s="278">
        <v>-17.568999999999996</v>
      </c>
      <c r="K10" s="748">
        <v>0</v>
      </c>
      <c r="L10" s="459">
        <f>IFERROR(SUM(E10:K10),0)</f>
        <v>-505.41300000000007</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-0.55099999999999993</v>
      </c>
      <c r="F11" s="461">
        <f>IFERROR('2C'!F28,0) * -1</f>
        <v>-4.2000000000000003E-2</v>
      </c>
      <c r="G11" s="288">
        <f>IFERROR(G12 - G10,0)</f>
        <v>-0.96799999999999642</v>
      </c>
      <c r="H11" s="288">
        <f t="shared" ref="H11:K11" si="12">IFERROR(H12 - H10,0)</f>
        <v>10.742999999999995</v>
      </c>
      <c r="I11" s="288">
        <f>IFERROR(I12 - I10,0)</f>
        <v>-7.0579999999999643</v>
      </c>
      <c r="J11" s="288">
        <f t="shared" si="12"/>
        <v>-2.1240000000000059</v>
      </c>
      <c r="K11" s="312">
        <f t="shared" si="12"/>
        <v>0</v>
      </c>
      <c r="L11" s="462">
        <f>IFERROR(SUM(E11:K11),0)</f>
        <v>2.8421709430404007E-14</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-61.915000000000006</v>
      </c>
      <c r="F12" s="298">
        <f>IFERROR(SUM(F10:F11),0)</f>
        <v>-6.0759999999999996</v>
      </c>
      <c r="G12" s="298">
        <f>IFERROR('2B'!E23,0) *-1</f>
        <v>-34.711999999999996</v>
      </c>
      <c r="H12" s="298">
        <f>IFERROR('2B'!F23,0) *-1</f>
        <v>-222.11700000000002</v>
      </c>
      <c r="I12" s="298">
        <f>IFERROR('2B'!G23,0) *-1</f>
        <v>-160.89999999999998</v>
      </c>
      <c r="J12" s="298">
        <f>IFERROR('2B'!H23,0) *-1</f>
        <v>-19.693000000000001</v>
      </c>
      <c r="K12" s="314">
        <f>IFERROR('2B'!I23,0) *-1</f>
        <v>0</v>
      </c>
      <c r="L12" s="465">
        <f>IFERROR(SUM(E12:K12),0)</f>
        <v>-505.41300000000001</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-0.41</v>
      </c>
      <c r="F14" s="350">
        <f>IFERROR('2D'!F19,0)</f>
        <v>-4.4999999999999998E-2</v>
      </c>
      <c r="G14" s="350">
        <f>IFERROR('2D'!G19,0)</f>
        <v>-15.954000000000001</v>
      </c>
      <c r="H14" s="350">
        <f>IFERROR('2D'!H19,0)</f>
        <v>-102.352</v>
      </c>
      <c r="I14" s="350">
        <f>IFERROR('2D'!I19,0)</f>
        <v>-176.179</v>
      </c>
      <c r="J14" s="350">
        <f>IFERROR('2D'!J19,0)</f>
        <v>-20.158000000000001</v>
      </c>
      <c r="K14" s="350">
        <f>IFERROR('2D'!K19,0)</f>
        <v>0</v>
      </c>
      <c r="L14" s="280">
        <f>IFERROR(SUM(E14:K14),0)</f>
        <v>-315.09800000000001</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-5.7670000000000003</v>
      </c>
      <c r="F15" s="468">
        <f>IFERROR('2O'!F19,0)</f>
        <v>-0.42199999999999999</v>
      </c>
      <c r="G15" s="468">
        <f>IFERROR('2O'!G19,0)</f>
        <v>-0.85399999999999998</v>
      </c>
      <c r="H15" s="468">
        <f>IFERROR('2O'!H19,0)</f>
        <v>-24.436</v>
      </c>
      <c r="I15" s="468">
        <f>IFERROR('2O'!I19,0)</f>
        <v>-5.61</v>
      </c>
      <c r="J15" s="468">
        <f>IFERROR('2O'!J19,0)</f>
        <v>-1.4259999999999999</v>
      </c>
      <c r="K15" s="468">
        <f>IFERROR('2O'!K19,0)</f>
        <v>0</v>
      </c>
      <c r="L15" s="299">
        <f>IFERROR(SUM(E15:K15),0)</f>
        <v>-38.515000000000001</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v>
      </c>
      <c r="F17" s="470">
        <v>0</v>
      </c>
      <c r="G17" s="470">
        <v>0</v>
      </c>
      <c r="H17" s="470">
        <v>0.161</v>
      </c>
      <c r="I17" s="470">
        <v>0.19700000000000001</v>
      </c>
      <c r="J17" s="470">
        <v>0</v>
      </c>
      <c r="K17" s="470">
        <v>0</v>
      </c>
      <c r="L17" s="471">
        <f>IFERROR(SUM(E17:K17),0)</f>
        <v>0.35799999999999998</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-29.017000000000003</v>
      </c>
      <c r="F19" s="385">
        <f t="shared" ref="F19:K19" si="20">IFERROR(F7+F8+F12+F14+F15+F17,0)</f>
        <v>1.2380000000000002</v>
      </c>
      <c r="G19" s="385">
        <f t="shared" si="20"/>
        <v>9.8260000000000005</v>
      </c>
      <c r="H19" s="385">
        <f t="shared" si="20"/>
        <v>-84.189000000000078</v>
      </c>
      <c r="I19" s="385">
        <f t="shared" si="20"/>
        <v>69.483000000000047</v>
      </c>
      <c r="J19" s="385">
        <f t="shared" si="20"/>
        <v>3.1929999999999961</v>
      </c>
      <c r="K19" s="385">
        <f t="shared" si="20"/>
        <v>0</v>
      </c>
      <c r="L19" s="471">
        <f>IFERROR(SUM(E19:K19),0)</f>
        <v>-29.466000000000037</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2.1000000000000001E-2</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6"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28" zoomScale="90" zoomScaleNormal="90" zoomScaleSheetLayoutView="145" workbookViewId="0">
      <selection activeCell="E14" sqref="E14"/>
    </sheetView>
  </sheetViews>
  <sheetFormatPr defaultColWidth="8.59765625" defaultRowHeight="13.8"/>
  <cols>
    <col min="1" max="1" width="9.59765625" style="224" customWidth="1"/>
    <col min="2" max="2" width="59.19921875" style="247" customWidth="1"/>
    <col min="3" max="3" width="5.5" style="224" bestFit="1" customWidth="1"/>
    <col min="4" max="4" width="4.69921875" style="224" bestFit="1" customWidth="1"/>
    <col min="5" max="5" width="15.59765625" style="224" bestFit="1" customWidth="1"/>
    <col min="6" max="6" width="15.19921875" style="224" bestFit="1" customWidth="1"/>
    <col min="7" max="7" width="20.59765625" style="224" bestFit="1" customWidth="1"/>
    <col min="8" max="8" width="12.5" style="224" bestFit="1" customWidth="1"/>
    <col min="9" max="9" width="16.69921875" style="224" bestFit="1" customWidth="1"/>
    <col min="10" max="10" width="11.69921875" style="224" customWidth="1"/>
    <col min="11" max="11" width="15.19921875" style="224" customWidth="1"/>
    <col min="12" max="12" width="15.69921875" style="527" bestFit="1" customWidth="1"/>
    <col min="13" max="13" width="15.5" style="224" customWidth="1"/>
    <col min="14" max="14" width="26" style="224" customWidth="1"/>
    <col min="15" max="16" width="1.59765625" style="224" customWidth="1"/>
    <col min="17" max="17" width="25.09765625" style="267" customWidth="1"/>
    <col min="18" max="18" width="1.59765625" style="263" customWidth="1"/>
    <col min="19" max="24" width="8.09765625" style="263" hidden="1" customWidth="1"/>
    <col min="25" max="25" width="1.59765625" style="263" hidden="1" customWidth="1"/>
    <col min="26" max="26" width="1.59765625" style="224" customWidth="1"/>
    <col min="27" max="27" width="3.19921875" style="224" hidden="1" customWidth="1"/>
    <col min="28" max="28" width="1.59765625" style="224" hidden="1" customWidth="1"/>
    <col min="29" max="29" width="1.59765625" style="224" customWidth="1"/>
    <col min="30" max="30" width="84.09765625" style="247" customWidth="1"/>
    <col min="31" max="31" width="14.69921875" style="224" customWidth="1"/>
    <col min="32" max="33" width="12.09765625" style="224" customWidth="1"/>
    <col min="34" max="34" width="15.09765625" style="224" customWidth="1"/>
    <col min="35" max="36" width="12.09765625" style="224" customWidth="1"/>
    <col min="37" max="37" width="1.59765625" style="224" customWidth="1"/>
    <col min="38" max="16384" width="8.59765625" style="224"/>
  </cols>
  <sheetData>
    <row r="1" spans="1:36" s="389" customFormat="1" ht="22.8">
      <c r="A1" s="389">
        <v>0</v>
      </c>
      <c r="B1" s="2721" t="s">
        <v>5239</v>
      </c>
      <c r="C1" s="2721"/>
      <c r="D1" s="2721"/>
      <c r="E1" s="2721"/>
      <c r="F1" s="2721"/>
      <c r="G1" s="2721"/>
      <c r="H1" s="2721"/>
      <c r="I1" s="2721"/>
      <c r="J1" s="2721"/>
      <c r="K1" s="339"/>
      <c r="L1" s="259"/>
      <c r="P1" s="340"/>
      <c r="Q1" s="267"/>
      <c r="R1" s="361"/>
      <c r="S1" s="263"/>
      <c r="T1" s="263"/>
      <c r="U1" s="263"/>
      <c r="V1" s="263"/>
      <c r="W1" s="263"/>
      <c r="X1" s="263"/>
      <c r="Y1" s="361"/>
      <c r="AB1" s="340"/>
      <c r="AD1" s="479" t="s">
        <v>4198</v>
      </c>
    </row>
    <row r="2" spans="1:36" s="389" customFormat="1" ht="22.8">
      <c r="B2" s="2721" t="str">
        <f>SelectCompany!B4</f>
        <v>Dŵr Cymru</v>
      </c>
      <c r="C2" s="2721"/>
      <c r="D2" s="2721"/>
      <c r="E2" s="2721"/>
      <c r="F2" s="2721"/>
      <c r="G2" s="2721"/>
      <c r="H2" s="2721"/>
      <c r="I2" s="2721"/>
      <c r="J2" s="2721"/>
      <c r="K2" s="339"/>
      <c r="L2" s="259"/>
      <c r="P2" s="340"/>
      <c r="Q2" s="267"/>
      <c r="R2" s="361"/>
      <c r="S2" s="263"/>
      <c r="T2" s="263"/>
      <c r="U2" s="263"/>
      <c r="V2" s="263"/>
      <c r="W2" s="263"/>
      <c r="X2" s="263"/>
      <c r="Y2" s="361"/>
      <c r="AB2" s="340"/>
      <c r="AD2" s="479"/>
    </row>
    <row r="3" spans="1:36" ht="19.2">
      <c r="B3" s="2722" t="s">
        <v>5240</v>
      </c>
      <c r="C3" s="2723"/>
      <c r="D3" s="2723"/>
      <c r="E3" s="2723"/>
      <c r="F3" s="2723"/>
      <c r="G3" s="2723"/>
      <c r="H3" s="2723"/>
      <c r="I3" s="2723"/>
      <c r="J3" s="2723"/>
      <c r="K3" s="2723"/>
      <c r="L3" s="2723"/>
      <c r="M3" s="2723"/>
      <c r="N3" s="2723"/>
      <c r="P3" s="342"/>
      <c r="Q3" s="265" t="s">
        <v>4200</v>
      </c>
      <c r="R3" s="361"/>
      <c r="Y3" s="361"/>
      <c r="AB3" s="342"/>
      <c r="AD3" s="2738" t="s">
        <v>5240</v>
      </c>
      <c r="AE3" s="2739"/>
      <c r="AF3" s="2739"/>
      <c r="AG3" s="2739"/>
      <c r="AH3" s="2739"/>
      <c r="AI3" s="2739"/>
      <c r="AJ3" s="2739"/>
    </row>
    <row r="4" spans="1:36" ht="19.2" thickBot="1">
      <c r="B4" s="480"/>
      <c r="C4" s="480"/>
      <c r="D4" s="480"/>
      <c r="E4" s="480"/>
      <c r="F4" s="480"/>
      <c r="G4" s="480"/>
      <c r="H4" s="480"/>
      <c r="I4" s="480"/>
      <c r="J4" s="480"/>
      <c r="K4" s="480"/>
      <c r="L4" s="480"/>
      <c r="P4" s="345"/>
      <c r="R4" s="361"/>
      <c r="S4" s="2710" t="s">
        <v>4201</v>
      </c>
      <c r="T4" s="2710"/>
      <c r="U4" s="2710"/>
      <c r="V4" s="2710"/>
      <c r="W4" s="2710"/>
      <c r="X4" s="2710"/>
      <c r="Y4" s="361"/>
      <c r="AB4" s="345"/>
      <c r="AD4" s="480"/>
      <c r="AE4" s="480"/>
      <c r="AF4" s="480"/>
      <c r="AG4" s="480"/>
      <c r="AH4" s="480"/>
      <c r="AI4" s="480"/>
      <c r="AJ4" s="480"/>
    </row>
    <row r="5" spans="1:36" ht="46.2"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6.8"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2"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6" thickTop="1">
      <c r="A8" s="197"/>
      <c r="B8" s="483" t="s">
        <v>5243</v>
      </c>
      <c r="C8" s="484" t="s">
        <v>4215</v>
      </c>
      <c r="D8" s="485">
        <v>3</v>
      </c>
      <c r="E8" s="2000">
        <f>IFERROR('4J'!E9,0)</f>
        <v>10.773999999999999</v>
      </c>
      <c r="F8" s="2001">
        <f>IFERROR(SUM('4J'!F9:I9),0)</f>
        <v>33.141999999999996</v>
      </c>
      <c r="G8" s="2001">
        <f>IFERROR(SUM('4K'!E10:I10),0)</f>
        <v>42.923000000000002</v>
      </c>
      <c r="H8" s="2001">
        <f>IFERROR(SUM('4K'!J10:L10),0)</f>
        <v>0.61899999999999988</v>
      </c>
      <c r="I8" s="488">
        <v>0</v>
      </c>
      <c r="J8" s="2013">
        <f t="shared" ref="J8:J16" si="0">IFERROR(SUM(E8:I8),0)</f>
        <v>87.457999999999998</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2">
        <f>IFERROR('4J'!E10,0)</f>
        <v>-6.742</v>
      </c>
      <c r="F9" s="2003">
        <f>IFERROR(SUM('4J'!F10:I10),0)</f>
        <v>-3.3759999999999999</v>
      </c>
      <c r="G9" s="2003">
        <f>IFERROR(SUM('4K'!E11:I11),0)</f>
        <v>-0.70199999999999996</v>
      </c>
      <c r="H9" s="2003">
        <f>IFERROR(SUM('4K'!J11:L11),0)</f>
        <v>-7.6459999999999999</v>
      </c>
      <c r="I9" s="496">
        <v>0</v>
      </c>
      <c r="J9" s="2014">
        <f t="shared" si="0"/>
        <v>-18.466000000000001</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3">
        <f>IFERROR(SUM('4J'!E18:E20),0)</f>
        <v>9.6620000000000008</v>
      </c>
      <c r="F10" s="2003">
        <f>IFERROR(SUM('4J'!F18:I20),0)</f>
        <v>0.24</v>
      </c>
      <c r="G10" s="2003">
        <f>IFERROR(SUM('4K'!E19:I21),0)</f>
        <v>5.2309999999999999</v>
      </c>
      <c r="H10" s="2003">
        <f>IFERROR(SUM('4K'!J19:L21),0)</f>
        <v>3.2000000000000001E-2</v>
      </c>
      <c r="I10" s="496">
        <v>0</v>
      </c>
      <c r="J10" s="2014">
        <f t="shared" si="0"/>
        <v>15.165000000000001</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4">
        <f>IFERROR('4J'!E11,0)</f>
        <v>0.14099999999999999</v>
      </c>
      <c r="F11" s="2003">
        <f>IFERROR(SUM('4J'!F11:I11),0)</f>
        <v>1.04</v>
      </c>
      <c r="G11" s="2003">
        <f>IFERROR(SUM('4K'!E12:I12),0)</f>
        <v>0</v>
      </c>
      <c r="H11" s="2003">
        <f>IFERROR(SUM('4K'!J12:L12),0)</f>
        <v>0</v>
      </c>
      <c r="I11" s="496">
        <v>0</v>
      </c>
      <c r="J11" s="2014">
        <f t="shared" si="0"/>
        <v>1.181</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4">
        <f>IFERROR('4J'!E12,0)</f>
        <v>0.65100000000000002</v>
      </c>
      <c r="F12" s="2003">
        <f>IFERROR(SUM('4J'!F12:I12),0)</f>
        <v>45.625999999999998</v>
      </c>
      <c r="G12" s="2003">
        <f>IFERROR(SUM('4K'!E13:I13),0)</f>
        <v>22.137999999999998</v>
      </c>
      <c r="H12" s="2003">
        <f>IFERROR(SUM('4K'!J13:L13),0)</f>
        <v>0</v>
      </c>
      <c r="I12" s="496">
        <v>0</v>
      </c>
      <c r="J12" s="2014">
        <f t="shared" si="0"/>
        <v>68.414999999999992</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4">
        <f>IFERROR('4J'!E13,0)</f>
        <v>0</v>
      </c>
      <c r="F13" s="2003">
        <f>IFERROR(SUM('4J'!F13:I13),0)</f>
        <v>0</v>
      </c>
      <c r="G13" s="2003">
        <f>IFERROR(SUM('4K'!E14:I14),0)</f>
        <v>0</v>
      </c>
      <c r="H13" s="2003">
        <f>IFERROR(SUM('4K'!J14:L14),0)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5">
        <f>IFERROR(SUM('4J'!E14,'4J'!E23,'4J'!E24,'4J'!E25),0)</f>
        <v>14.262</v>
      </c>
      <c r="F14" s="2003">
        <f>IFERROR(SUM('4J'!F14:I14,'4J'!F23:I25),0)</f>
        <v>102.492</v>
      </c>
      <c r="G14" s="2003">
        <f>IFERROR(SUM('4K'!E15:I15,'4K'!E24:I26),0)</f>
        <v>76.285000000000011</v>
      </c>
      <c r="H14" s="2003">
        <f>IFERROR(SUM('4K'!J15:L15,'4K'!J24:L26),0)</f>
        <v>26.048000000000002</v>
      </c>
      <c r="I14" s="496">
        <v>0</v>
      </c>
      <c r="J14" s="2014">
        <f t="shared" si="0"/>
        <v>219.08700000000002</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
      <c r="A15" s="197"/>
      <c r="B15" s="492" t="s">
        <v>5301</v>
      </c>
      <c r="C15" s="499" t="s">
        <v>4215</v>
      </c>
      <c r="D15" s="499">
        <v>3</v>
      </c>
      <c r="E15" s="2004">
        <f>IFERROR('4J'!E15,0)</f>
        <v>2.2320000000000002</v>
      </c>
      <c r="F15" s="2003">
        <f>IFERROR(SUM('4J'!F15:I15),0)</f>
        <v>13.913</v>
      </c>
      <c r="G15" s="2003">
        <f>IFERROR(SUM('4K'!E16:I16),0)</f>
        <v>8.2909999999999986</v>
      </c>
      <c r="H15" s="2003">
        <f>IFERROR(SUM('4K'!J16:L16),0)</f>
        <v>0.64</v>
      </c>
      <c r="I15" s="496">
        <v>0</v>
      </c>
      <c r="J15" s="2014">
        <f t="shared" si="0"/>
        <v>25.076000000000001</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6" thickBot="1">
      <c r="A16" s="197"/>
      <c r="B16" s="504" t="s">
        <v>5309</v>
      </c>
      <c r="C16" s="505" t="s">
        <v>4215</v>
      </c>
      <c r="D16" s="505">
        <v>3</v>
      </c>
      <c r="E16" s="2006">
        <f>IFERROR(SUM(E8:E15), 0)</f>
        <v>30.979999999999997</v>
      </c>
      <c r="F16" s="2006">
        <f>IFERROR(SUM(F8:F15), 0)</f>
        <v>193.077</v>
      </c>
      <c r="G16" s="2006">
        <f>IFERROR(SUM(G8:G15), 0)</f>
        <v>154.166</v>
      </c>
      <c r="H16" s="2006">
        <f>IFERROR(SUM(H8:H15), 0)</f>
        <v>19.693000000000001</v>
      </c>
      <c r="I16" s="2009">
        <f>IFERROR(SUM(I8:I15),0)</f>
        <v>0</v>
      </c>
      <c r="J16" s="2015">
        <f t="shared" si="0"/>
        <v>397.91599999999994</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2"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8"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2000">
        <f>IFERROR('4D'!E10, 0)</f>
        <v>1.2999999999999999E-2</v>
      </c>
      <c r="F19" s="2001">
        <f>IFERROR(SUM('4D'!F10:I10), 0)</f>
        <v>0.155</v>
      </c>
      <c r="G19" s="2001">
        <f>IFERROR(SUM('4E'!E10:I10), 0)</f>
        <v>0.93800000000000006</v>
      </c>
      <c r="H19" s="2001">
        <f>IFERROR(SUM('4E'!J10:L10), 0)</f>
        <v>0</v>
      </c>
      <c r="I19" s="488">
        <v>0</v>
      </c>
      <c r="J19" s="2013">
        <f>IFERROR(SUM(E19:I19), 0)</f>
        <v>1.1060000000000001</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2">
        <f>IFERROR('4D'!E11, 0)</f>
        <v>0</v>
      </c>
      <c r="F20" s="2003">
        <f>IFERROR(SUM('4D'!F11:I11), 0)</f>
        <v>25.757000000000001</v>
      </c>
      <c r="G20" s="2003">
        <f>IFERROR(SUM('4E'!E11:I11), 0)</f>
        <v>4.9979999999999993</v>
      </c>
      <c r="H20" s="2003">
        <f>IFERROR(SUM('4E'!J11:L11), 0)</f>
        <v>0</v>
      </c>
      <c r="I20" s="496">
        <v>0</v>
      </c>
      <c r="J20" s="2014">
        <f>IFERROR(SUM(E20:I20), 0)</f>
        <v>30.755000000000003</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5">
        <f>IFERROR(E16+E19+E20,0)</f>
        <v>30.992999999999999</v>
      </c>
      <c r="F21" s="2003">
        <f>IFERROR(F16+F19+F20,0)</f>
        <v>218.989</v>
      </c>
      <c r="G21" s="2003">
        <f>IFERROR(G16+G19+G20,0)</f>
        <v>160.10199999999998</v>
      </c>
      <c r="H21" s="2003">
        <f>IFERROR(H16+H19+H20,0)</f>
        <v>19.693000000000001</v>
      </c>
      <c r="I21" s="2003">
        <f>IFERROR(I16+I19+I20,0)</f>
        <v>0</v>
      </c>
      <c r="J21" s="2014">
        <f>IFERROR(SUM(E21:I21),0)</f>
        <v>429.77699999999993</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2">
        <f>IFERROR('4D'!E13, 0)</f>
        <v>3.7189999999999999</v>
      </c>
      <c r="F22" s="2003">
        <f>IFERROR(SUM('4D'!F13:I13), 0)</f>
        <v>3.1280000000000001</v>
      </c>
      <c r="G22" s="2003">
        <f>IFERROR(SUM('4E'!E13:I13), 0)</f>
        <v>0.79800000000000004</v>
      </c>
      <c r="H22" s="2003">
        <f>IFERROR(SUM('4E'!J13:L13), 0)</f>
        <v>0</v>
      </c>
      <c r="I22" s="496">
        <v>0</v>
      </c>
      <c r="J22" s="2014">
        <f>IFERROR(SUM(E22:I22),0)</f>
        <v>7.6449999999999996</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9">
        <f>IFERROR(E21+E22,0)</f>
        <v>34.711999999999996</v>
      </c>
      <c r="F23" s="2009">
        <f>IFERROR(F21+F22,0)</f>
        <v>222.11700000000002</v>
      </c>
      <c r="G23" s="2009">
        <f>IFERROR(G21+G22,0)</f>
        <v>160.89999999999998</v>
      </c>
      <c r="H23" s="2009">
        <f>IFERROR(H21+H22,0)</f>
        <v>19.693000000000001</v>
      </c>
      <c r="I23" s="2009">
        <f>IFERROR(I21+I22,0)</f>
        <v>0</v>
      </c>
      <c r="J23" s="2015">
        <f>IFERROR(SUM(E23:I23),0)</f>
        <v>437.42199999999997</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11">
        <f>IFERROR('4D'!E17, 0)</f>
        <v>0</v>
      </c>
      <c r="F26" s="2012">
        <f>IFERROR(SUM('4D'!F17:I17), 0)</f>
        <v>16.260000000000002</v>
      </c>
      <c r="G26" s="2012">
        <f>IFERROR(SUM('4E'!E17:I17), 0)</f>
        <v>2.8760000000000003</v>
      </c>
      <c r="H26" s="2012">
        <f>IFERROR(SUM('4E'!J17:L17), 0)</f>
        <v>0</v>
      </c>
      <c r="I26" s="519">
        <v>0</v>
      </c>
      <c r="J26" s="2016">
        <f>IFERROR(SUM(E26:I26),0)</f>
        <v>19.136000000000003</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2000">
        <f>IFERROR('4D'!E20, 0)</f>
        <v>13.273999999999999</v>
      </c>
      <c r="F29" s="2001">
        <f>IFERROR(SUM('4D'!F20:I20), 0)</f>
        <v>91.546999999999997</v>
      </c>
      <c r="G29" s="2001">
        <f>IFERROR(SUM('4E'!E20:I20), 0)</f>
        <v>69.653000000000006</v>
      </c>
      <c r="H29" s="2001">
        <f>IFERROR(SUM('4E'!J20:L20), 0)</f>
        <v>10.673999999999999</v>
      </c>
      <c r="I29" s="488">
        <v>0</v>
      </c>
      <c r="J29" s="2013">
        <f t="shared" ref="J29:J34" si="7">IFERROR(SUM(E29:I29),0)</f>
        <v>185.148</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2">
        <f>IFERROR('4D'!E21, 0)</f>
        <v>29.791999999999998</v>
      </c>
      <c r="F30" s="2003">
        <f>IFERROR(SUM('4D'!F21:I21), 0)</f>
        <v>31.017999999999997</v>
      </c>
      <c r="G30" s="2003">
        <f>IFERROR(SUM('4E'!E21:I21), 0)</f>
        <v>62.104999999999997</v>
      </c>
      <c r="H30" s="2003">
        <f>IFERROR(SUM('4E'!J21:L21), 0)</f>
        <v>3.4979999999999998</v>
      </c>
      <c r="I30" s="496">
        <v>0</v>
      </c>
      <c r="J30" s="2014">
        <f t="shared" si="7"/>
        <v>126.413</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2">
        <f>IFERROR('4D'!E22, 0)</f>
        <v>0</v>
      </c>
      <c r="F31" s="2003">
        <f>IFERROR(SUM('4D'!F22:I22), 0)</f>
        <v>11.419</v>
      </c>
      <c r="G31" s="2003">
        <f>IFERROR(SUM('4E'!E22:I22), 0)</f>
        <v>10.109</v>
      </c>
      <c r="H31" s="2003">
        <f>IFERROR(SUM('4E'!J22:L22), 0)</f>
        <v>0</v>
      </c>
      <c r="I31" s="496">
        <v>0</v>
      </c>
      <c r="J31" s="2014">
        <f t="shared" si="7"/>
        <v>21.527999999999999</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5">
        <f>IFERROR(E29+E30+E31,0)</f>
        <v>43.065999999999995</v>
      </c>
      <c r="F32" s="2003">
        <f>IFERROR(F29+F30+F31,0)</f>
        <v>133.98400000000001</v>
      </c>
      <c r="G32" s="2003">
        <f>IFERROR(G29+G30+G31,0)</f>
        <v>141.86700000000002</v>
      </c>
      <c r="H32" s="2003">
        <f>IFERROR(H29+H30+H31,0)</f>
        <v>14.171999999999999</v>
      </c>
      <c r="I32" s="2003">
        <f>IFERROR(I29+I30+I31,0)</f>
        <v>0</v>
      </c>
      <c r="J32" s="2014">
        <f t="shared" si="7"/>
        <v>333.08900000000006</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2">
        <f>IFERROR('4D'!E24, 0)</f>
        <v>3.9180000000000001</v>
      </c>
      <c r="F33" s="2003">
        <f>IFERROR(SUM('4D'!F24:I24), 0)</f>
        <v>5.6000000000000001E-2</v>
      </c>
      <c r="G33" s="2003">
        <f>IFERROR(SUM('4E'!E24:I24), 0)</f>
        <v>0</v>
      </c>
      <c r="H33" s="2003">
        <f>IFERROR(SUM('4E'!J24:L24), 0)</f>
        <v>0</v>
      </c>
      <c r="I33" s="496">
        <v>0</v>
      </c>
      <c r="J33" s="2014">
        <f t="shared" si="7"/>
        <v>3.9740000000000002</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9">
        <f>IFERROR(E32+E33,0)</f>
        <v>46.983999999999995</v>
      </c>
      <c r="F34" s="2009">
        <f>IFERROR(F32+F33,0)</f>
        <v>134.04000000000002</v>
      </c>
      <c r="G34" s="2009">
        <f>IFERROR(G32+G33,0)</f>
        <v>141.86700000000002</v>
      </c>
      <c r="H34" s="2009">
        <f>IFERROR(H32+H33,0)</f>
        <v>14.171999999999999</v>
      </c>
      <c r="I34" s="2009">
        <f>IFERROR(I32+I33,0)</f>
        <v>0</v>
      </c>
      <c r="J34" s="2015">
        <f t="shared" si="7"/>
        <v>337.06300000000005</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11">
        <f>IFERROR('4D'!E28, 0)</f>
        <v>2.0609999999999999</v>
      </c>
      <c r="F37" s="2012">
        <f>IFERROR(SUM('4D'!F28:I28), 0)</f>
        <v>5.101</v>
      </c>
      <c r="G37" s="2012">
        <f>IFERROR(SUM('4E'!E28:I28), 0)</f>
        <v>9.929000000000002</v>
      </c>
      <c r="H37" s="2012">
        <f>IFERROR(SUM('4E'!J28:L28), 0)</f>
        <v>0</v>
      </c>
      <c r="I37" s="519">
        <v>0</v>
      </c>
      <c r="J37" s="1974">
        <f>IFERROR(SUM(E37:I37),0)</f>
        <v>17.091000000000001</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7">
        <f>IFERROR(E23+E34-E26-E37,0)</f>
        <v>79.634999999999991</v>
      </c>
      <c r="F39" s="1957">
        <f>IFERROR(F23+F34-F26-F37,0)</f>
        <v>334.79600000000005</v>
      </c>
      <c r="G39" s="1957">
        <f>IFERROR(G23+G34-G26-G37,0)</f>
        <v>289.96199999999999</v>
      </c>
      <c r="H39" s="1957">
        <f>IFERROR(H23+H34-H26-H37,0)</f>
        <v>33.865000000000002</v>
      </c>
      <c r="I39" s="1957">
        <f>IFERROR(I23+I34-I26-I37,0)</f>
        <v>0</v>
      </c>
      <c r="J39" s="1974">
        <f>IFERROR(SUM(E39:I39),0)</f>
        <v>738.25800000000004</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2000">
        <f>IFERROR('4D'!E33, 0)</f>
        <v>0</v>
      </c>
      <c r="F42" s="2001">
        <f>IFERROR(SUM('4D'!F33:I33), 0)</f>
        <v>0</v>
      </c>
      <c r="G42" s="2001">
        <f>IFERROR(SUM('4E'!E33:I33), 0)</f>
        <v>0</v>
      </c>
      <c r="H42" s="2001">
        <f>IFERROR(SUM('4E'!J33:L33),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2">
        <f>IFERROR('4D'!E34, 0)</f>
        <v>0</v>
      </c>
      <c r="F43" s="2003">
        <f>IFERROR(SUM('4D'!F34:I34), 0)</f>
        <v>0</v>
      </c>
      <c r="G43" s="2003">
        <f>IFERROR(SUM('4E'!E34:I34), 0)</f>
        <v>0</v>
      </c>
      <c r="H43" s="2003">
        <f>IFERROR(SUM('4E'!J34:L34),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9">
        <f>IFERROR(E39+E42+E43,0)</f>
        <v>79.634999999999991</v>
      </c>
      <c r="F44" s="1939">
        <f>IFERROR(F39+F42+F43,0)</f>
        <v>334.79600000000005</v>
      </c>
      <c r="G44" s="1939">
        <f>IFERROR(G39+G42+G43,0)</f>
        <v>289.96199999999999</v>
      </c>
      <c r="H44" s="1939">
        <f>IFERROR(H39+H42+H43,0)</f>
        <v>33.865000000000002</v>
      </c>
      <c r="I44" s="1939">
        <f>IFERROR(I39+I42+I43,0)</f>
        <v>0</v>
      </c>
      <c r="J44" s="1940">
        <f>IFERROR(SUM(E44:I44),0)</f>
        <v>738.25800000000004</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5" priority="34" operator="equal">
      <formula>0</formula>
    </cfRule>
  </conditionalFormatting>
  <conditionalFormatting sqref="Q19:Q20">
    <cfRule type="cellIs" dxfId="184" priority="8" operator="equal">
      <formula>0</formula>
    </cfRule>
  </conditionalFormatting>
  <conditionalFormatting sqref="Q22">
    <cfRule type="cellIs" dxfId="183" priority="7" operator="equal">
      <formula>0</formula>
    </cfRule>
  </conditionalFormatting>
  <conditionalFormatting sqref="Q26">
    <cfRule type="cellIs" dxfId="182" priority="6" operator="equal">
      <formula>0</formula>
    </cfRule>
  </conditionalFormatting>
  <conditionalFormatting sqref="Q29:Q31">
    <cfRule type="cellIs" dxfId="181" priority="4" operator="equal">
      <formula>0</formula>
    </cfRule>
  </conditionalFormatting>
  <conditionalFormatting sqref="Q33">
    <cfRule type="cellIs" dxfId="180" priority="3" operator="equal">
      <formula>0</formula>
    </cfRule>
  </conditionalFormatting>
  <conditionalFormatting sqref="Q37">
    <cfRule type="cellIs" dxfId="179" priority="2" operator="equal">
      <formula>0</formula>
    </cfRule>
  </conditionalFormatting>
  <conditionalFormatting sqref="Q42:Q43">
    <cfRule type="cellIs" dxfId="17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25" zoomScale="80" zoomScaleNormal="80" zoomScaleSheetLayoutView="100" workbookViewId="0">
      <selection activeCell="F30" sqref="F30"/>
    </sheetView>
  </sheetViews>
  <sheetFormatPr defaultColWidth="9" defaultRowHeight="15.6"/>
  <cols>
    <col min="1" max="1" width="1.59765625" style="224" customWidth="1"/>
    <col min="2" max="2" width="43.69921875" style="224" customWidth="1"/>
    <col min="3" max="8" width="14.59765625" style="224" customWidth="1"/>
    <col min="9" max="9" width="14.59765625" style="260" customWidth="1"/>
    <col min="10" max="10" width="14.59765625" style="224" customWidth="1"/>
    <col min="11" max="11" width="27.09765625" style="224" customWidth="1"/>
    <col min="12" max="13" width="1.59765625" style="224" customWidth="1"/>
    <col min="14" max="14" width="25" style="224" customWidth="1"/>
    <col min="15" max="15" width="1.59765625" style="263" customWidth="1"/>
    <col min="16" max="17" width="12.59765625" style="263" hidden="1" customWidth="1"/>
    <col min="18" max="18" width="1.59765625" style="263" hidden="1" customWidth="1"/>
    <col min="19" max="19" width="1.59765625" style="224" customWidth="1"/>
    <col min="20" max="20" width="40.09765625" style="224" customWidth="1"/>
    <col min="21" max="21" width="16.69921875" style="224" bestFit="1" customWidth="1"/>
    <col min="22" max="22" width="18.09765625" style="224" bestFit="1" customWidth="1"/>
    <col min="23" max="23" width="12.5" style="224" customWidth="1"/>
    <col min="24" max="24" width="1.59765625" style="224" customWidth="1"/>
    <col min="25" max="16384" width="9" style="224"/>
  </cols>
  <sheetData>
    <row r="1" spans="1:23" s="389" customFormat="1" ht="22.8">
      <c r="B1" s="424" t="s">
        <v>5456</v>
      </c>
      <c r="C1" s="424"/>
      <c r="D1" s="424"/>
      <c r="E1" s="2721"/>
      <c r="F1" s="2721"/>
      <c r="G1" s="2721"/>
      <c r="H1" s="528"/>
      <c r="I1" s="260"/>
      <c r="M1" s="340"/>
      <c r="N1" s="259"/>
      <c r="O1" s="361"/>
      <c r="P1" s="263"/>
      <c r="Q1" s="263"/>
      <c r="R1" s="361"/>
      <c r="T1" s="424" t="s">
        <v>4198</v>
      </c>
    </row>
    <row r="2" spans="1:23" s="389" customFormat="1" ht="22.8">
      <c r="B2" s="424" t="str">
        <f>SelectCompany!B4</f>
        <v>Dŵr Cymru</v>
      </c>
      <c r="C2" s="529"/>
      <c r="D2" s="529"/>
      <c r="E2" s="529"/>
      <c r="F2" s="529"/>
      <c r="G2" s="529"/>
      <c r="H2" s="528"/>
      <c r="I2" s="260"/>
      <c r="M2" s="340"/>
      <c r="N2" s="259"/>
      <c r="O2" s="361"/>
      <c r="P2" s="263"/>
      <c r="Q2" s="263"/>
      <c r="R2" s="361"/>
      <c r="T2" s="424"/>
    </row>
    <row r="3" spans="1:23" ht="19.2">
      <c r="B3" s="2722" t="s">
        <v>5457</v>
      </c>
      <c r="C3" s="2723"/>
      <c r="D3" s="2723"/>
      <c r="E3" s="2723"/>
      <c r="F3" s="2723"/>
      <c r="G3" s="2723"/>
      <c r="H3" s="2723"/>
      <c r="I3" s="2723"/>
      <c r="J3" s="2723"/>
      <c r="K3" s="2723"/>
      <c r="M3" s="342"/>
      <c r="N3" s="265" t="s">
        <v>4200</v>
      </c>
      <c r="O3" s="361"/>
      <c r="R3" s="361"/>
      <c r="T3" s="2724" t="s">
        <v>5457</v>
      </c>
      <c r="U3" s="2725"/>
      <c r="V3" s="2725"/>
      <c r="W3" s="2725"/>
    </row>
    <row r="4" spans="1:23" ht="23.4" thickBot="1">
      <c r="B4" s="530"/>
      <c r="C4" s="530"/>
      <c r="D4" s="530"/>
      <c r="E4" s="530"/>
      <c r="F4" s="530"/>
      <c r="G4" s="530"/>
      <c r="M4" s="345"/>
      <c r="O4" s="361"/>
      <c r="P4" s="2710" t="s">
        <v>4201</v>
      </c>
      <c r="Q4" s="2710"/>
      <c r="R4" s="361"/>
      <c r="T4" s="530"/>
      <c r="U4" s="530"/>
      <c r="V4" s="530"/>
      <c r="W4" s="530"/>
    </row>
    <row r="5" spans="1:23" ht="46.2"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2" thickTop="1" thickBot="1">
      <c r="A6" s="197"/>
      <c r="B6" s="532"/>
      <c r="C6" s="532"/>
      <c r="D6" s="532"/>
      <c r="E6" s="533"/>
      <c r="F6" s="533"/>
      <c r="G6" s="533"/>
      <c r="H6" s="531"/>
      <c r="I6" s="534"/>
      <c r="J6" s="197"/>
      <c r="K6" s="197"/>
      <c r="L6" s="197"/>
      <c r="M6" s="345"/>
      <c r="O6" s="361"/>
      <c r="P6" s="224"/>
      <c r="Q6" s="224"/>
      <c r="R6" s="361"/>
      <c r="T6" s="532"/>
      <c r="U6" s="533"/>
      <c r="V6" s="533"/>
      <c r="W6" s="533"/>
    </row>
    <row r="7" spans="1:23" ht="16.8"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14.818</v>
      </c>
      <c r="F8" s="488">
        <v>2.141</v>
      </c>
      <c r="G8" s="280">
        <f>IFERROR(SUM(E8:F8),0)</f>
        <v>16.959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4.7679999999999998</v>
      </c>
      <c r="F9" s="496">
        <v>0.71699999999999997</v>
      </c>
      <c r="G9" s="289">
        <f>IFERROR(SUM(E9:F9),0)</f>
        <v>5.4849999999999994</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23.305</v>
      </c>
      <c r="F10" s="496">
        <v>0.85599999999999998</v>
      </c>
      <c r="G10" s="289">
        <f>IFERROR(SUM(E10:F10),0)</f>
        <v>24.161000000000001</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2.0270000000000001</v>
      </c>
      <c r="F11" s="496">
        <v>0.52700000000000002</v>
      </c>
      <c r="G11" s="289">
        <f>IFERROR(SUM(E11:F11),0)</f>
        <v>2.5540000000000003</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0.44400000000000001</v>
      </c>
      <c r="G12" s="400">
        <f>IFERROR(F12,0)</f>
        <v>0.44400000000000001</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16.236000000000001</v>
      </c>
      <c r="F13" s="496">
        <v>1.3340000000000001</v>
      </c>
      <c r="G13" s="289">
        <f>IFERROR(SUM(E13:F13),0)</f>
        <v>17.57</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0.21</v>
      </c>
      <c r="F14" s="496">
        <v>1.4999999999999999E-2</v>
      </c>
      <c r="G14" s="289">
        <f>IFERROR(SUM(E14:F14),0)</f>
        <v>0.22499999999999998</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6" thickBot="1">
      <c r="A15" s="197"/>
      <c r="B15" s="463" t="s">
        <v>5334</v>
      </c>
      <c r="C15" s="355" t="s">
        <v>4215</v>
      </c>
      <c r="D15" s="355">
        <v>3</v>
      </c>
      <c r="E15" s="298">
        <f>IFERROR(SUM(E8:E11) + SUM(E13:E14),0)</f>
        <v>61.364000000000004</v>
      </c>
      <c r="F15" s="298">
        <f>IFERROR(SUM(F8:F14),0)</f>
        <v>6.0339999999999998</v>
      </c>
      <c r="G15" s="299">
        <f>IFERROR(SUM(E15:F15),0)</f>
        <v>67.39800000000001</v>
      </c>
      <c r="H15" s="197"/>
      <c r="I15" s="356" t="s">
        <v>5493</v>
      </c>
      <c r="J15" s="197"/>
      <c r="K15" s="302"/>
      <c r="L15" s="197"/>
      <c r="M15" s="363"/>
      <c r="O15" s="361"/>
      <c r="P15" s="267"/>
      <c r="Q15" s="267"/>
      <c r="R15" s="361"/>
      <c r="T15" s="463" t="s">
        <v>5334</v>
      </c>
      <c r="U15" s="298" t="s">
        <v>5494</v>
      </c>
      <c r="V15" s="298" t="s">
        <v>5495</v>
      </c>
      <c r="W15" s="299" t="s">
        <v>5496</v>
      </c>
    </row>
    <row r="16" spans="1:23" ht="16.8"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8"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6" thickTop="1">
      <c r="A18" s="197"/>
      <c r="B18" s="483" t="s">
        <v>5497</v>
      </c>
      <c r="C18" s="485" t="s">
        <v>4215</v>
      </c>
      <c r="D18" s="485">
        <v>3</v>
      </c>
      <c r="E18" s="488">
        <v>0.158</v>
      </c>
      <c r="F18" s="488">
        <v>1.2E-2</v>
      </c>
      <c r="G18" s="489">
        <f>IFERROR(SUM(E18:F18),0)</f>
        <v>0.17</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0.252</v>
      </c>
      <c r="F19" s="496">
        <v>3.3000000000000002E-2</v>
      </c>
      <c r="G19" s="497">
        <f>IFERROR(SUM(E19:F19),0)</f>
        <v>0.28500000000000003</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1.6</v>
      </c>
      <c r="F20" s="496">
        <v>0.11700000000000001</v>
      </c>
      <c r="G20" s="497">
        <f>IFERROR(SUM(E20:F20),0)</f>
        <v>1.7170000000000001</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6" thickBot="1">
      <c r="A21" s="197"/>
      <c r="B21" s="504" t="s">
        <v>5515</v>
      </c>
      <c r="C21" s="513" t="s">
        <v>4215</v>
      </c>
      <c r="D21" s="513">
        <v>3</v>
      </c>
      <c r="E21" s="536">
        <v>4.1669999999999998</v>
      </c>
      <c r="F21" s="536">
        <v>0.30499999999999999</v>
      </c>
      <c r="G21" s="508">
        <f>IFERROR(SUM(E21:F21),0)</f>
        <v>4.4719999999999995</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6.8"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8"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6" thickTop="1">
      <c r="A24" s="197"/>
      <c r="B24" s="483" t="s">
        <v>5522</v>
      </c>
      <c r="C24" s="485" t="s">
        <v>4215</v>
      </c>
      <c r="D24" s="485">
        <v>3</v>
      </c>
      <c r="E24" s="488">
        <v>0</v>
      </c>
      <c r="F24" s="488">
        <v>0</v>
      </c>
      <c r="G24" s="489">
        <f>IFERROR(SUM(E24:F24),0)</f>
        <v>0</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0.59</v>
      </c>
      <c r="F26" s="496">
        <v>4.4000000000000004E-2</v>
      </c>
      <c r="G26" s="497">
        <f>IFERROR(SUM(E26:F26),0)</f>
        <v>0.63400000000000001</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3.9E-2</v>
      </c>
      <c r="F27" s="496">
        <v>2E-3</v>
      </c>
      <c r="G27" s="497">
        <f>IFERROR(SUM(E27:F27),0)</f>
        <v>4.1000000000000002E-2</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0.55099999999999993</v>
      </c>
      <c r="F28" s="507">
        <f>IFERROR(F24 + F26 - F25 - F27, 0)</f>
        <v>4.2000000000000003E-2</v>
      </c>
      <c r="G28" s="508">
        <f>IFERROR(G24 + G26 - G25 - G27, 0)</f>
        <v>0.59299999999999997</v>
      </c>
      <c r="H28" s="197"/>
      <c r="I28" s="356" t="s">
        <v>5543</v>
      </c>
      <c r="J28" s="197"/>
      <c r="K28" s="302"/>
      <c r="L28" s="197"/>
      <c r="M28" s="363"/>
      <c r="O28" s="361"/>
      <c r="P28" s="267"/>
      <c r="Q28" s="267"/>
      <c r="R28" s="361"/>
      <c r="T28" s="537" t="s">
        <v>5542</v>
      </c>
      <c r="U28" s="507" t="s">
        <v>5544</v>
      </c>
      <c r="V28" s="507" t="s">
        <v>5545</v>
      </c>
      <c r="W28" s="508" t="s">
        <v>5546</v>
      </c>
    </row>
    <row r="29" spans="1:23" ht="16.8"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91.2" thickTop="1" thickBot="1">
      <c r="A30" s="197"/>
      <c r="B30" s="515" t="s">
        <v>5547</v>
      </c>
      <c r="C30" s="516" t="s">
        <v>4215</v>
      </c>
      <c r="D30" s="516">
        <v>3</v>
      </c>
      <c r="E30" s="541">
        <f>IFERROR(E15+SUM(E18:E21)+E28,0)</f>
        <v>68.091999999999999</v>
      </c>
      <c r="F30" s="541">
        <f>IFERROR(F15+SUM(F18:F21),0)+F28</f>
        <v>6.5429999999999993</v>
      </c>
      <c r="G30" s="542">
        <f>IFERROR(SUM(E30:F30),0)</f>
        <v>74.634999999999991</v>
      </c>
      <c r="H30" s="197"/>
      <c r="I30" s="374" t="s">
        <v>5548</v>
      </c>
      <c r="J30" s="197"/>
      <c r="K30" s="375" t="s">
        <v>18609</v>
      </c>
      <c r="L30" s="197"/>
      <c r="M30" s="361"/>
      <c r="O30" s="361"/>
      <c r="P30" s="267"/>
      <c r="Q30" s="267"/>
      <c r="R30" s="361"/>
      <c r="T30" s="515" t="s">
        <v>5547</v>
      </c>
      <c r="U30" s="541" t="s">
        <v>5549</v>
      </c>
      <c r="V30" s="541" t="s">
        <v>5550</v>
      </c>
      <c r="W30" s="542" t="s">
        <v>5551</v>
      </c>
    </row>
    <row r="31" spans="1:23" ht="16.8"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6"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2"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2" thickTop="1" thickBot="1">
      <c r="A35" s="197"/>
      <c r="B35" s="545" t="s">
        <v>5562</v>
      </c>
      <c r="C35" s="516" t="s">
        <v>4215</v>
      </c>
      <c r="D35" s="516">
        <v>3</v>
      </c>
      <c r="E35" s="546">
        <f>IFERROR(E30+E32+E33,0)</f>
        <v>68.091999999999999</v>
      </c>
      <c r="F35" s="546">
        <f>IFERROR(F30+F32+F33,0)</f>
        <v>6.5429999999999993</v>
      </c>
      <c r="G35" s="520">
        <f>IFERROR(SUM(E35:F35),0)</f>
        <v>74.634999999999991</v>
      </c>
      <c r="H35" s="197"/>
      <c r="I35" s="374" t="s">
        <v>5563</v>
      </c>
      <c r="J35" s="197"/>
      <c r="K35" s="375"/>
      <c r="L35" s="197"/>
      <c r="M35" s="361"/>
      <c r="O35" s="361"/>
      <c r="P35" s="267"/>
      <c r="Q35" s="267"/>
      <c r="R35" s="361"/>
      <c r="T35" s="545" t="s">
        <v>5562</v>
      </c>
      <c r="U35" s="546" t="s">
        <v>5564</v>
      </c>
      <c r="V35" s="546" t="s">
        <v>5565</v>
      </c>
      <c r="W35" s="520" t="s">
        <v>5566</v>
      </c>
    </row>
    <row r="36" spans="1:23" ht="16.8"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8"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2" thickTop="1" thickBot="1">
      <c r="A38" s="197"/>
      <c r="B38" s="515" t="s">
        <v>5567</v>
      </c>
      <c r="C38" s="516" t="s">
        <v>4215</v>
      </c>
      <c r="D38" s="516">
        <v>3</v>
      </c>
      <c r="E38" s="519">
        <v>19.009</v>
      </c>
      <c r="F38" s="519">
        <v>0.99099999999999999</v>
      </c>
      <c r="G38" s="542">
        <f>IFERROR(SUM(E38:F38),0)</f>
        <v>20</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6.8"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8"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2" thickTop="1" thickBot="1">
      <c r="A41" s="197"/>
      <c r="B41" s="515" t="s">
        <v>4701</v>
      </c>
      <c r="C41" s="516" t="s">
        <v>4215</v>
      </c>
      <c r="D41" s="516">
        <v>3</v>
      </c>
      <c r="E41" s="519">
        <v>2.2240000000000002</v>
      </c>
      <c r="F41" s="519">
        <v>0.16300000000000001</v>
      </c>
      <c r="G41" s="542">
        <f>IFERROR(SUM(E41:F41),0)</f>
        <v>2.387</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6.8"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2"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6" thickTop="1">
      <c r="A44" s="197"/>
      <c r="B44" s="483" t="s">
        <v>5577</v>
      </c>
      <c r="C44" s="485" t="s">
        <v>4215</v>
      </c>
      <c r="D44" s="485">
        <v>3</v>
      </c>
      <c r="E44" s="551">
        <v>0.217</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0.114</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6" thickBot="1">
      <c r="A46" s="197"/>
      <c r="B46" s="504" t="s">
        <v>5583</v>
      </c>
      <c r="C46" s="513" t="s">
        <v>4215</v>
      </c>
      <c r="D46" s="513">
        <v>3</v>
      </c>
      <c r="E46" s="554">
        <f>IFERROR(E44-E45,0)</f>
        <v>0.10299999999999999</v>
      </c>
      <c r="F46" s="552"/>
      <c r="G46" s="552"/>
      <c r="H46" s="197"/>
      <c r="I46" s="356" t="s">
        <v>5584</v>
      </c>
      <c r="J46" s="197"/>
      <c r="K46" s="302"/>
      <c r="L46" s="197"/>
      <c r="M46" s="361"/>
      <c r="O46" s="361"/>
      <c r="P46" s="267"/>
      <c r="Q46" s="267"/>
      <c r="R46" s="361"/>
      <c r="T46" s="504" t="s">
        <v>5583</v>
      </c>
      <c r="U46" s="554" t="s">
        <v>5585</v>
      </c>
      <c r="V46" s="552"/>
      <c r="W46" s="552"/>
    </row>
    <row r="47" spans="1:23" ht="16.8"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5.923</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5.923</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6"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6.8"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2"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6" thickTop="1">
      <c r="A53" s="197"/>
      <c r="B53" s="483" t="s">
        <v>1355</v>
      </c>
      <c r="C53" s="485" t="s">
        <v>4215</v>
      </c>
      <c r="D53" s="485">
        <v>3</v>
      </c>
      <c r="E53" s="551">
        <v>187.4220000209435</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121.392</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204.57400000000001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2"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7" priority="2" operator="equal">
      <formula>0</formula>
    </cfRule>
  </conditionalFormatting>
  <conditionalFormatting sqref="N53:N55">
    <cfRule type="cellIs" dxfId="17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3.8"/>
  <cols>
    <col min="1" max="1" width="12.5" bestFit="1" customWidth="1"/>
    <col min="2" max="2" width="24.296875" customWidth="1"/>
    <col min="3" max="3" width="21.5" customWidth="1"/>
    <col min="4" max="4" width="166.796875" customWidth="1"/>
    <col min="5" max="5" width="5.19921875" bestFit="1" customWidth="1"/>
    <col min="6" max="6" width="6.296875" bestFit="1" customWidth="1"/>
    <col min="7" max="7" width="4.59765625" bestFit="1" customWidth="1"/>
    <col min="8" max="8" width="10.09765625" bestFit="1" customWidth="1"/>
    <col min="9" max="9" width="5.59765625" bestFit="1" customWidth="1"/>
    <col min="10" max="10" width="4" bestFit="1" customWidth="1"/>
    <col min="11" max="11" width="12.59765625" bestFit="1" customWidth="1"/>
    <col min="12" max="12" width="38" bestFit="1" customWidth="1"/>
    <col min="13" max="13" width="15.09765625" bestFit="1" customWidth="1"/>
    <col min="14" max="14" width="6.5" bestFit="1" customWidth="1"/>
    <col min="15" max="15" width="103.09765625" bestFit="1" customWidth="1"/>
    <col min="16" max="16" width="8.5" bestFit="1" customWidth="1"/>
  </cols>
  <sheetData>
    <row r="1" spans="1:16" s="2507" customFormat="1">
      <c r="A1" s="2507" t="s">
        <v>17319</v>
      </c>
      <c r="B1" s="2507" t="s">
        <v>17320</v>
      </c>
      <c r="C1" s="2507" t="s">
        <v>17321</v>
      </c>
      <c r="D1" s="2507" t="s">
        <v>17322</v>
      </c>
      <c r="E1" s="2507" t="s">
        <v>630</v>
      </c>
      <c r="F1" s="2507" t="s">
        <v>17323</v>
      </c>
      <c r="G1" s="2507" t="s">
        <v>4204</v>
      </c>
      <c r="H1" s="2507" t="s">
        <v>17324</v>
      </c>
      <c r="I1" s="2507" t="s">
        <v>17325</v>
      </c>
      <c r="J1" s="2507" t="s">
        <v>17326</v>
      </c>
      <c r="K1" s="2507" t="s">
        <v>17327</v>
      </c>
      <c r="L1" s="2507" t="s">
        <v>17328</v>
      </c>
      <c r="M1" s="2507" t="s">
        <v>17329</v>
      </c>
      <c r="N1" s="2507" t="s">
        <v>17330</v>
      </c>
      <c r="O1" s="2507" t="s">
        <v>17331</v>
      </c>
      <c r="P1" s="2507" t="s">
        <v>17332</v>
      </c>
    </row>
    <row r="2" spans="1:16">
      <c r="A2" t="s">
        <v>17333</v>
      </c>
      <c r="B2" t="str">
        <f>'4I'!$AF$57</f>
        <v>CR2021N0_FD_A</v>
      </c>
      <c r="D2" t="s">
        <v>15636</v>
      </c>
      <c r="E2" t="s">
        <v>4215</v>
      </c>
      <c r="F2" t="s">
        <v>17334</v>
      </c>
      <c r="G2">
        <v>3</v>
      </c>
      <c r="O2" t="str">
        <f t="shared" ref="O2:O65" si="0">D2</f>
        <v>Fin Derr (A) - Interest rate swap (sterling) - Floating to fixed rate - Nominal value by maturity (net) at 31 March - 0 to 1 years</v>
      </c>
    </row>
    <row r="3" spans="1:16">
      <c r="A3" t="s">
        <v>17333</v>
      </c>
      <c r="B3" t="str">
        <f>'4I'!$AF$58</f>
        <v>CR2022N0_FD_A</v>
      </c>
      <c r="D3" t="s">
        <v>15637</v>
      </c>
      <c r="E3" t="s">
        <v>4215</v>
      </c>
      <c r="F3" t="s">
        <v>17334</v>
      </c>
      <c r="G3">
        <v>3</v>
      </c>
      <c r="O3" t="str">
        <f t="shared" si="0"/>
        <v>Fin Derr (A) - Interest rate swap (sterling) - Floating from fixed rate - Nominal value by maturity (net) at 31 March - 0 to 1 years</v>
      </c>
    </row>
    <row r="4" spans="1:16">
      <c r="A4" t="s">
        <v>17333</v>
      </c>
      <c r="B4" t="str">
        <f>'4I'!$AF$59</f>
        <v>CR2023N0_FD_A</v>
      </c>
      <c r="D4" t="s">
        <v>15638</v>
      </c>
      <c r="E4" t="s">
        <v>4215</v>
      </c>
      <c r="F4" t="s">
        <v>17334</v>
      </c>
      <c r="G4">
        <v>3</v>
      </c>
      <c r="O4" t="str">
        <f t="shared" si="0"/>
        <v>Fin Derr (A) - Interest rate swap (sterling) - Floating to index linked - Nominal value by maturity (net) at 31 March - 0 to 1 years</v>
      </c>
    </row>
    <row r="5" spans="1:16">
      <c r="A5" t="s">
        <v>17333</v>
      </c>
      <c r="B5" t="str">
        <f>'4I'!$AF$60</f>
        <v>CR2024N0_FD_A</v>
      </c>
      <c r="D5" t="s">
        <v>15639</v>
      </c>
      <c r="E5" t="s">
        <v>4215</v>
      </c>
      <c r="F5" t="s">
        <v>17334</v>
      </c>
      <c r="G5">
        <v>3</v>
      </c>
      <c r="O5" t="str">
        <f t="shared" si="0"/>
        <v>Fin Derr (A) - Interest rate swap (sterling) - Floating from index linked - Nominal value by maturity (net) at 31 March - 0 to 1 years</v>
      </c>
    </row>
    <row r="6" spans="1:16">
      <c r="A6" t="s">
        <v>17333</v>
      </c>
      <c r="B6" t="str">
        <f>'4I'!$AF$61</f>
        <v>CR2025N0_FD_A</v>
      </c>
      <c r="D6" t="s">
        <v>15640</v>
      </c>
      <c r="E6" t="s">
        <v>4215</v>
      </c>
      <c r="F6" t="s">
        <v>17334</v>
      </c>
      <c r="G6">
        <v>3</v>
      </c>
      <c r="O6" t="str">
        <f t="shared" si="0"/>
        <v>Fin Derr (A) - Interest rate swap (sterling) - Fixed to index linked - Nominal value by maturity (net) at 31 March - 0 to 1 years</v>
      </c>
    </row>
    <row r="7" spans="1:16">
      <c r="A7" t="s">
        <v>17333</v>
      </c>
      <c r="B7" t="str">
        <f>'4I'!$AF$62</f>
        <v>CR2026N0_FD_A</v>
      </c>
      <c r="D7" t="s">
        <v>15641</v>
      </c>
      <c r="E7" t="s">
        <v>4215</v>
      </c>
      <c r="F7" t="s">
        <v>17334</v>
      </c>
      <c r="G7">
        <v>3</v>
      </c>
      <c r="O7" t="str">
        <f t="shared" si="0"/>
        <v>Fin Derr (A) - Interest rate swap (sterling) - Fixed from index linked - Nominal value by maturity (net) at 31 March - 0 to 1 years</v>
      </c>
    </row>
    <row r="8" spans="1:16">
      <c r="A8" t="s">
        <v>17333</v>
      </c>
      <c r="B8" t="str">
        <f>'4I'!$AF$63</f>
        <v>CR4029N0_FD_A</v>
      </c>
      <c r="D8" t="s">
        <v>15642</v>
      </c>
      <c r="E8" t="s">
        <v>4215</v>
      </c>
      <c r="F8" t="s">
        <v>17334</v>
      </c>
      <c r="G8">
        <v>3</v>
      </c>
      <c r="O8" t="str">
        <f t="shared" si="0"/>
        <v>Fin Derr (A) - Interest rate swap (sterling) - Index-linked to index-linked - Nominal value by maturity (net) at 31 March - 0 to 1 years</v>
      </c>
    </row>
    <row r="9" spans="1:16">
      <c r="A9" t="s">
        <v>17333</v>
      </c>
      <c r="B9" t="str">
        <f>'4I'!$AF$64</f>
        <v>CR2027N0_FD_A</v>
      </c>
      <c r="D9" t="s">
        <v>15643</v>
      </c>
      <c r="E9" t="s">
        <v>4215</v>
      </c>
      <c r="F9" t="s">
        <v>17334</v>
      </c>
      <c r="G9">
        <v>3</v>
      </c>
      <c r="O9" t="str">
        <f t="shared" si="0"/>
        <v>Fin Derr (A) - Interest rate swap (sterling) - Total - Nominal value by maturity (net) at 31 March - 0 to 1 years</v>
      </c>
    </row>
    <row r="10" spans="1:16">
      <c r="A10" t="s">
        <v>17333</v>
      </c>
      <c r="B10" t="str">
        <f>'4I'!$AF$67</f>
        <v>CR2005N0_FD_A</v>
      </c>
      <c r="D10" t="s">
        <v>15644</v>
      </c>
      <c r="E10" t="s">
        <v>4215</v>
      </c>
      <c r="F10" t="s">
        <v>17334</v>
      </c>
      <c r="G10">
        <v>3</v>
      </c>
      <c r="O10" t="str">
        <f t="shared" si="0"/>
        <v>Fin Derr (A) - Foreign Exchange - Cross currency swap USD - Nominal value by maturity (net) at 31 March - 0 to 1 years</v>
      </c>
    </row>
    <row r="11" spans="1:16">
      <c r="A11" t="s">
        <v>17333</v>
      </c>
      <c r="B11" t="str">
        <f>'4I'!$AF$68</f>
        <v>CR2006N0_FD_A</v>
      </c>
      <c r="D11" t="s">
        <v>15645</v>
      </c>
      <c r="E11" t="s">
        <v>4215</v>
      </c>
      <c r="F11" t="s">
        <v>17334</v>
      </c>
      <c r="G11">
        <v>3</v>
      </c>
      <c r="O11" t="str">
        <f t="shared" si="0"/>
        <v>Fin Derr (A) - Foreign Exchange - Cross currency swap EUR - Nominal value by maturity (net) at 31 March - 0 to 1 years</v>
      </c>
    </row>
    <row r="12" spans="1:16">
      <c r="A12" t="s">
        <v>17333</v>
      </c>
      <c r="B12" t="str">
        <f>'4I'!$AF$69</f>
        <v>CR2007N0_FD_A</v>
      </c>
      <c r="D12" t="s">
        <v>15646</v>
      </c>
      <c r="E12" t="s">
        <v>4215</v>
      </c>
      <c r="F12" t="s">
        <v>17334</v>
      </c>
      <c r="G12">
        <v>3</v>
      </c>
      <c r="O12" t="str">
        <f t="shared" si="0"/>
        <v>Fin Derr (A) - Foreign Exchange - Cross currency swap YEN - Nominal value by maturity (net) at 31 March - 0 to 1 years</v>
      </c>
    </row>
    <row r="13" spans="1:16">
      <c r="A13" t="s">
        <v>17333</v>
      </c>
      <c r="B13" t="str">
        <f>'4I'!$AF$70</f>
        <v>CR2008N0_FD_A</v>
      </c>
      <c r="D13" t="s">
        <v>15647</v>
      </c>
      <c r="E13" t="s">
        <v>4215</v>
      </c>
      <c r="F13" t="s">
        <v>17334</v>
      </c>
      <c r="G13">
        <v>3</v>
      </c>
      <c r="O13" t="str">
        <f t="shared" si="0"/>
        <v>Fin Derr (A) - Foreign Exchange - Cross currency swap Other - Nominal value by maturity (net) at 31 March - 0 to 1 years</v>
      </c>
    </row>
    <row r="14" spans="1:16">
      <c r="A14" t="s">
        <v>17333</v>
      </c>
      <c r="B14" t="str">
        <f>'4I'!$AF$71</f>
        <v>CR2009N0_FD_A</v>
      </c>
      <c r="D14" t="s">
        <v>15648</v>
      </c>
      <c r="E14" t="s">
        <v>4215</v>
      </c>
      <c r="F14" t="s">
        <v>17334</v>
      </c>
      <c r="G14">
        <v>3</v>
      </c>
      <c r="O14" t="str">
        <f t="shared" si="0"/>
        <v>Fin Derr (A) - Foreign Exchange - Total - Nominal value by maturity (net) at 31 March - 0 to 1 years</v>
      </c>
    </row>
    <row r="15" spans="1:16">
      <c r="A15" t="s">
        <v>17333</v>
      </c>
      <c r="B15" t="str">
        <f>'4I'!$AF$74</f>
        <v>CR20010N0_FD_A</v>
      </c>
      <c r="D15" t="s">
        <v>15649</v>
      </c>
      <c r="E15" t="s">
        <v>4215</v>
      </c>
      <c r="F15" t="s">
        <v>17334</v>
      </c>
      <c r="G15">
        <v>3</v>
      </c>
      <c r="O15" t="str">
        <f t="shared" si="0"/>
        <v>Fin Derr (A) - Currency Interest Rate - Currency Interest Rate swaps USD - Nominal value by maturity (net) at 31 March - 0 to 1 years</v>
      </c>
    </row>
    <row r="16" spans="1:16">
      <c r="A16" t="s">
        <v>17333</v>
      </c>
      <c r="B16" t="str">
        <f>'4I'!$AF$75</f>
        <v>CR20011N0_FD_A</v>
      </c>
      <c r="D16" t="s">
        <v>15650</v>
      </c>
      <c r="E16" t="s">
        <v>4215</v>
      </c>
      <c r="F16" t="s">
        <v>17334</v>
      </c>
      <c r="G16">
        <v>3</v>
      </c>
      <c r="O16" t="str">
        <f t="shared" si="0"/>
        <v>Fin Derr (A) - Currency Interest Rate - Currency Interest Rate swaps EUR - Nominal value by maturity (net) at 31 March - 0 to 1 years</v>
      </c>
    </row>
    <row r="17" spans="1:15">
      <c r="A17" t="s">
        <v>17333</v>
      </c>
      <c r="B17" t="str">
        <f>'4I'!$AF$76</f>
        <v>CR20012N0_FD_A</v>
      </c>
      <c r="D17" t="s">
        <v>15651</v>
      </c>
      <c r="E17" t="s">
        <v>4215</v>
      </c>
      <c r="F17" t="s">
        <v>17334</v>
      </c>
      <c r="G17">
        <v>3</v>
      </c>
      <c r="O17" t="str">
        <f t="shared" si="0"/>
        <v>Fin Derr (A) - Currency Interest Rate - Currency Interest Rate swaps YEN - Nominal value by maturity (net) at 31 March - 0 to 1 years</v>
      </c>
    </row>
    <row r="18" spans="1:15">
      <c r="A18" t="s">
        <v>17333</v>
      </c>
      <c r="B18" t="str">
        <f>'4I'!$AF$77</f>
        <v>CR20013N0_FD_A</v>
      </c>
      <c r="D18" t="s">
        <v>15652</v>
      </c>
      <c r="E18" t="s">
        <v>4215</v>
      </c>
      <c r="F18" t="s">
        <v>17334</v>
      </c>
      <c r="G18">
        <v>3</v>
      </c>
      <c r="O18" t="str">
        <f t="shared" si="0"/>
        <v>Fin Derr (A) - Currency Interest Rate - Currency Interest Rate swaps Other - Nominal value by maturity (net) at 31 March - 0 to 1 years</v>
      </c>
    </row>
    <row r="19" spans="1:15">
      <c r="A19" t="s">
        <v>17333</v>
      </c>
      <c r="B19" t="str">
        <f>'4I'!$AF$78</f>
        <v>CR20014N0_FD_A</v>
      </c>
      <c r="D19" t="s">
        <v>15653</v>
      </c>
      <c r="E19" t="s">
        <v>4215</v>
      </c>
      <c r="F19" t="s">
        <v>17334</v>
      </c>
      <c r="G19">
        <v>3</v>
      </c>
      <c r="O19" t="str">
        <f t="shared" si="0"/>
        <v>Fin Derr (A) - Currency Interest Rate - Total - Nominal value by maturity (net) at 31 March - 0 to 1 years</v>
      </c>
    </row>
    <row r="20" spans="1:15">
      <c r="A20" t="s">
        <v>17333</v>
      </c>
      <c r="B20" t="str">
        <f>'4I'!$AF$81</f>
        <v>CR20015N0_FD_A</v>
      </c>
      <c r="D20" t="s">
        <v>15654</v>
      </c>
      <c r="E20" t="s">
        <v>4215</v>
      </c>
      <c r="F20" t="s">
        <v>17334</v>
      </c>
      <c r="G20">
        <v>3</v>
      </c>
      <c r="O20" t="str">
        <f t="shared" si="0"/>
        <v>Fin Derr (A) - Forward currency contracts - Forward currency contracts USD - Nominal value by maturity (net) at 31 March - 0 to 1 years</v>
      </c>
    </row>
    <row r="21" spans="1:15">
      <c r="A21" t="s">
        <v>17333</v>
      </c>
      <c r="B21" t="str">
        <f>'4I'!$AF$82</f>
        <v>CR20016N0_FD_A</v>
      </c>
      <c r="D21" t="s">
        <v>15655</v>
      </c>
      <c r="E21" t="s">
        <v>4215</v>
      </c>
      <c r="F21" t="s">
        <v>17334</v>
      </c>
      <c r="G21">
        <v>3</v>
      </c>
      <c r="O21" t="str">
        <f t="shared" si="0"/>
        <v>Fin Derr (A) - Forward currency contracts - Forward currency contracts EUR - Nominal value by maturity (net) at 31 March - 0 to 1 years</v>
      </c>
    </row>
    <row r="22" spans="1:15">
      <c r="A22" t="s">
        <v>17333</v>
      </c>
      <c r="B22" t="str">
        <f>'4I'!$AF$83</f>
        <v>CR20017N0_FD_A</v>
      </c>
      <c r="D22" t="s">
        <v>15656</v>
      </c>
      <c r="E22" t="s">
        <v>4215</v>
      </c>
      <c r="F22" t="s">
        <v>17334</v>
      </c>
      <c r="G22">
        <v>3</v>
      </c>
      <c r="O22" t="str">
        <f t="shared" si="0"/>
        <v>Fin Derr (A) - Forward currency contracts - Forward currency contracts YEN - Nominal value by maturity (net) at 31 March - 0 to 1 years</v>
      </c>
    </row>
    <row r="23" spans="1:15">
      <c r="A23" t="s">
        <v>17333</v>
      </c>
      <c r="B23" t="str">
        <f>'4I'!$AF$84</f>
        <v>CR2029N0_FD_A</v>
      </c>
      <c r="D23" t="s">
        <v>15657</v>
      </c>
      <c r="E23" t="s">
        <v>4215</v>
      </c>
      <c r="F23" t="s">
        <v>17334</v>
      </c>
      <c r="G23">
        <v>3</v>
      </c>
      <c r="O23" t="str">
        <f t="shared" si="0"/>
        <v>Fin Derr (A) - Forward currency contracts - Forward currency contracts CAD - Nominal value by maturity (net) at 31 March - 0 to 1 years</v>
      </c>
    </row>
    <row r="24" spans="1:15">
      <c r="A24" t="s">
        <v>17333</v>
      </c>
      <c r="B24" t="str">
        <f>'4I'!$AF$85</f>
        <v>CR2030N0_FD_A</v>
      </c>
      <c r="D24" t="s">
        <v>15658</v>
      </c>
      <c r="E24" t="s">
        <v>4215</v>
      </c>
      <c r="F24" t="s">
        <v>17334</v>
      </c>
      <c r="G24">
        <v>3</v>
      </c>
      <c r="O24" t="str">
        <f t="shared" si="0"/>
        <v>Fin Derr (A) - Forward currency contracts - Forward currency contracts AUD - Nominal value by maturity (net) at 31 March - 0 to 1 years</v>
      </c>
    </row>
    <row r="25" spans="1:15">
      <c r="A25" t="s">
        <v>17333</v>
      </c>
      <c r="B25" t="str">
        <f>'4I'!$AF$86</f>
        <v>CR2031N0_FD_A</v>
      </c>
      <c r="D25" t="s">
        <v>15659</v>
      </c>
      <c r="E25" t="s">
        <v>4215</v>
      </c>
      <c r="F25" t="s">
        <v>17334</v>
      </c>
      <c r="G25">
        <v>3</v>
      </c>
      <c r="O25" t="str">
        <f t="shared" si="0"/>
        <v>Fin Derr (A) - Forward currency contracts - Forward currency contracts HKD - Nominal value by maturity (net) at 31 March - 0 to 1 years</v>
      </c>
    </row>
    <row r="26" spans="1:15">
      <c r="A26" t="s">
        <v>17333</v>
      </c>
      <c r="B26" t="str">
        <f>'4I'!$AF$87</f>
        <v>CR20018N0_FD_A</v>
      </c>
      <c r="D26" t="s">
        <v>15660</v>
      </c>
      <c r="E26" t="s">
        <v>4215</v>
      </c>
      <c r="F26" t="s">
        <v>17334</v>
      </c>
      <c r="G26">
        <v>3</v>
      </c>
      <c r="O26" t="str">
        <f t="shared" si="0"/>
        <v>Fin Derr (A) - Forward currency contracts - Forward currency contracts Other - Nominal value by maturity (net) at 31 March - 0 to 1 years</v>
      </c>
    </row>
    <row r="27" spans="1:15">
      <c r="A27" t="s">
        <v>17333</v>
      </c>
      <c r="B27" t="str">
        <f>'4I'!$AF$88</f>
        <v>CR20019N0_FD_A</v>
      </c>
      <c r="D27" t="s">
        <v>15661</v>
      </c>
      <c r="E27" t="s">
        <v>4215</v>
      </c>
      <c r="F27" t="s">
        <v>17334</v>
      </c>
      <c r="G27">
        <v>3</v>
      </c>
      <c r="O27" t="str">
        <f t="shared" si="0"/>
        <v>Fin Derr (A) - Forward currency contracts - Total - Nominal value by maturity (net) at 31 March - 0 to 1 years</v>
      </c>
    </row>
    <row r="28" spans="1:15">
      <c r="A28" t="s">
        <v>17333</v>
      </c>
      <c r="B28" t="str">
        <f>'4I'!$AF$91</f>
        <v>CR2028N0_FD_A</v>
      </c>
      <c r="D28" t="s">
        <v>15662</v>
      </c>
      <c r="E28" t="s">
        <v>4215</v>
      </c>
      <c r="F28" t="s">
        <v>17334</v>
      </c>
      <c r="G28">
        <v>3</v>
      </c>
      <c r="O28" t="str">
        <f t="shared" si="0"/>
        <v>Fin Derr (A) - Other financial derivatives - Nominal value by maturity (net) at 31 March - 0 to 1 years</v>
      </c>
    </row>
    <row r="29" spans="1:15">
      <c r="A29" t="s">
        <v>17333</v>
      </c>
      <c r="B29" t="str">
        <f>'4I'!$AF$93</f>
        <v>CR20020N0_FD_A</v>
      </c>
      <c r="D29" t="s">
        <v>15663</v>
      </c>
      <c r="E29" t="s">
        <v>4215</v>
      </c>
      <c r="F29" t="s">
        <v>17334</v>
      </c>
      <c r="G29">
        <v>3</v>
      </c>
      <c r="O29" t="str">
        <f t="shared" si="0"/>
        <v>Fin Derr (A) - Total financial derivatives - Nominal value by maturity (net) at 31 March - 0 to 1 years</v>
      </c>
    </row>
    <row r="30" spans="1:15">
      <c r="A30" t="s">
        <v>17333</v>
      </c>
      <c r="B30" t="str">
        <f>'4I'!$AG$57</f>
        <v>CR2021N1_FD_A</v>
      </c>
      <c r="D30" t="s">
        <v>15664</v>
      </c>
      <c r="E30" t="s">
        <v>4215</v>
      </c>
      <c r="F30" t="s">
        <v>17334</v>
      </c>
      <c r="G30">
        <v>3</v>
      </c>
      <c r="O30" t="str">
        <f t="shared" si="0"/>
        <v>Fin Derr (A) - Interest rate swap (sterling) - Floating to fixed rate: Nominal value by maturity (net) - 1 to 2 years</v>
      </c>
    </row>
    <row r="31" spans="1:15">
      <c r="A31" t="s">
        <v>17333</v>
      </c>
      <c r="B31" t="str">
        <f>'4I'!$AG$58</f>
        <v>CR2022N1_FD_A</v>
      </c>
      <c r="D31" t="s">
        <v>15665</v>
      </c>
      <c r="E31" t="s">
        <v>4215</v>
      </c>
      <c r="F31" t="s">
        <v>17334</v>
      </c>
      <c r="G31">
        <v>3</v>
      </c>
      <c r="O31" t="str">
        <f t="shared" si="0"/>
        <v>Fin Derr (A) - Interest rate swap (sterling) - Floating from fixed rate: Nominal value by maturity (net) - 1 to 2 years</v>
      </c>
    </row>
    <row r="32" spans="1:15">
      <c r="A32" t="s">
        <v>17333</v>
      </c>
      <c r="B32" t="str">
        <f>'4I'!$AG$59</f>
        <v>CR2023N1_FD_A</v>
      </c>
      <c r="D32" t="s">
        <v>15666</v>
      </c>
      <c r="E32" t="s">
        <v>4215</v>
      </c>
      <c r="F32" t="s">
        <v>17334</v>
      </c>
      <c r="G32">
        <v>3</v>
      </c>
      <c r="O32" t="str">
        <f t="shared" si="0"/>
        <v>Fin Derr (A) - Interest rate swap (sterling) - Floating to index linked: Nominal value by maturity (net) - 1 to 2 years</v>
      </c>
    </row>
    <row r="33" spans="1:15">
      <c r="A33" t="s">
        <v>17333</v>
      </c>
      <c r="B33" t="str">
        <f>'4I'!$AG$60</f>
        <v>CR2024N1_FD_A</v>
      </c>
      <c r="D33" t="s">
        <v>15667</v>
      </c>
      <c r="E33" t="s">
        <v>4215</v>
      </c>
      <c r="F33" t="s">
        <v>17334</v>
      </c>
      <c r="G33">
        <v>3</v>
      </c>
      <c r="O33" t="str">
        <f t="shared" si="0"/>
        <v>Fin Derr (A) - Interest rate swap (sterling) - Floating from index linked: Nominal value by maturity (net) - 1 to 2 years</v>
      </c>
    </row>
    <row r="34" spans="1:15">
      <c r="A34" t="s">
        <v>17333</v>
      </c>
      <c r="B34" t="str">
        <f>'4I'!$AG$61</f>
        <v>CR2025N1_FD_A</v>
      </c>
      <c r="D34" t="s">
        <v>15668</v>
      </c>
      <c r="E34" t="s">
        <v>4215</v>
      </c>
      <c r="F34" t="s">
        <v>17334</v>
      </c>
      <c r="G34">
        <v>3</v>
      </c>
      <c r="O34" t="str">
        <f t="shared" si="0"/>
        <v>Fin Derr (A) - Interest rate swap (sterling) - Fixed to index-linked: Nominal value by maturity (net) - 1 to 2 years</v>
      </c>
    </row>
    <row r="35" spans="1:15">
      <c r="A35" t="s">
        <v>17333</v>
      </c>
      <c r="B35" t="str">
        <f>'4I'!$AG$62</f>
        <v>CR2026N1_FD_A</v>
      </c>
      <c r="D35" t="s">
        <v>15669</v>
      </c>
      <c r="E35" t="s">
        <v>4215</v>
      </c>
      <c r="F35" t="s">
        <v>17334</v>
      </c>
      <c r="G35">
        <v>3</v>
      </c>
      <c r="O35" t="str">
        <f t="shared" si="0"/>
        <v>Fin Derr (A) - Interest rate swap (sterling) - Fixed from index-linked: Nominal value by maturity (net) - 1 to 2 years</v>
      </c>
    </row>
    <row r="36" spans="1:15">
      <c r="A36" t="s">
        <v>17333</v>
      </c>
      <c r="B36" t="str">
        <f>'4I'!$AG$63</f>
        <v>CR4029N1_FD_A</v>
      </c>
      <c r="D36" t="s">
        <v>15670</v>
      </c>
      <c r="E36" t="s">
        <v>4215</v>
      </c>
      <c r="F36" t="s">
        <v>17334</v>
      </c>
      <c r="G36">
        <v>3</v>
      </c>
      <c r="O36" t="str">
        <f t="shared" si="0"/>
        <v>Fin Derr (A) - Interest rate swap (sterling) - Index-linked to index-linked - Nominal value by maturity (net) at 31 March - 1 to 2 years</v>
      </c>
    </row>
    <row r="37" spans="1:15">
      <c r="A37" t="s">
        <v>17333</v>
      </c>
      <c r="B37" t="str">
        <f>'4I'!$AG$64</f>
        <v>CR2027N1_FD_A</v>
      </c>
      <c r="D37" t="s">
        <v>15671</v>
      </c>
      <c r="E37" t="s">
        <v>4215</v>
      </c>
      <c r="F37" t="s">
        <v>17334</v>
      </c>
      <c r="G37">
        <v>3</v>
      </c>
      <c r="O37" t="str">
        <f t="shared" si="0"/>
        <v>Fin Derr (A) - Interest rate swap (sterling) - Total: Nominal value by maturity (net) - 1 to 2 years</v>
      </c>
    </row>
    <row r="38" spans="1:15">
      <c r="A38" t="s">
        <v>17333</v>
      </c>
      <c r="B38" t="str">
        <f>'4I'!$AG$67</f>
        <v>CR2005N1_FD_A</v>
      </c>
      <c r="D38" t="s">
        <v>15672</v>
      </c>
      <c r="E38" t="s">
        <v>4215</v>
      </c>
      <c r="F38" t="s">
        <v>17334</v>
      </c>
      <c r="G38">
        <v>3</v>
      </c>
      <c r="O38" t="str">
        <f t="shared" si="0"/>
        <v>Fin Derr (A) - Foreign Exchange - Cross currency swap USD: Nominal value by maturity (net) - 1 to 2 years</v>
      </c>
    </row>
    <row r="39" spans="1:15">
      <c r="A39" t="s">
        <v>17333</v>
      </c>
      <c r="B39" t="str">
        <f>'4I'!$AG$68</f>
        <v>CR2006N1_FD_A</v>
      </c>
      <c r="D39" t="s">
        <v>15673</v>
      </c>
      <c r="E39" t="s">
        <v>4215</v>
      </c>
      <c r="F39" t="s">
        <v>17334</v>
      </c>
      <c r="G39">
        <v>3</v>
      </c>
      <c r="O39" t="str">
        <f t="shared" si="0"/>
        <v>Fin Derr (A) - Foreign Exchange - Cross currency swap EUR: Nominal value by maturity (net) - 1 to 2 years</v>
      </c>
    </row>
    <row r="40" spans="1:15">
      <c r="A40" t="s">
        <v>17333</v>
      </c>
      <c r="B40" t="str">
        <f>'4I'!$AG$69</f>
        <v>CR2007N1_FD_A</v>
      </c>
      <c r="D40" t="s">
        <v>15674</v>
      </c>
      <c r="E40" t="s">
        <v>4215</v>
      </c>
      <c r="F40" t="s">
        <v>17334</v>
      </c>
      <c r="G40">
        <v>3</v>
      </c>
      <c r="O40" t="str">
        <f t="shared" si="0"/>
        <v>Fin Derr (A) - Foreign Exchange - Cross currency swap YEN: Nominal value by maturity (net) - 1 to 2 years</v>
      </c>
    </row>
    <row r="41" spans="1:15">
      <c r="A41" t="s">
        <v>17333</v>
      </c>
      <c r="B41" t="str">
        <f>'4I'!$AG$70</f>
        <v>CR2008N1_FD_A</v>
      </c>
      <c r="D41" t="s">
        <v>15675</v>
      </c>
      <c r="E41" t="s">
        <v>4215</v>
      </c>
      <c r="F41" t="s">
        <v>17334</v>
      </c>
      <c r="G41">
        <v>3</v>
      </c>
      <c r="O41" t="str">
        <f t="shared" si="0"/>
        <v>Fin Derr (A) - Foreign Exchange - Cross currency swap Other: Nominal value by maturity (net) - 1 to 2 years</v>
      </c>
    </row>
    <row r="42" spans="1:15">
      <c r="A42" t="s">
        <v>17333</v>
      </c>
      <c r="B42" t="str">
        <f>'4I'!$AG$71</f>
        <v>CR2009N1_FD_A</v>
      </c>
      <c r="D42" t="s">
        <v>15676</v>
      </c>
      <c r="E42" t="s">
        <v>4215</v>
      </c>
      <c r="F42" t="s">
        <v>17334</v>
      </c>
      <c r="G42">
        <v>3</v>
      </c>
      <c r="O42" t="str">
        <f t="shared" si="0"/>
        <v>Fin Derr (A) - Foreign Exchange - Total: Nominal value by maturity (net) - 1 to 2 years</v>
      </c>
    </row>
    <row r="43" spans="1:15">
      <c r="A43" t="s">
        <v>17333</v>
      </c>
      <c r="B43" t="str">
        <f>'4I'!$AG$74</f>
        <v>CR20010N1_FD_A</v>
      </c>
      <c r="D43" t="s">
        <v>15677</v>
      </c>
      <c r="E43" t="s">
        <v>4215</v>
      </c>
      <c r="F43" t="s">
        <v>17334</v>
      </c>
      <c r="G43">
        <v>3</v>
      </c>
      <c r="O43" t="str">
        <f t="shared" si="0"/>
        <v>Fin Derr (A) - Currency interest rate  - Currency interest rate swaps USD: Nominal value by maturity (net) - 1 to 2 years</v>
      </c>
    </row>
    <row r="44" spans="1:15">
      <c r="A44" t="s">
        <v>17333</v>
      </c>
      <c r="B44" t="str">
        <f>'4I'!$AG$75</f>
        <v>CR20011N1_FD_A</v>
      </c>
      <c r="D44" t="s">
        <v>15678</v>
      </c>
      <c r="E44" t="s">
        <v>4215</v>
      </c>
      <c r="F44" t="s">
        <v>17334</v>
      </c>
      <c r="G44">
        <v>3</v>
      </c>
      <c r="O44" t="str">
        <f t="shared" si="0"/>
        <v>Fin Derr (A) - Currency interest rate  - Currency interest rate swaps EUR: Nominal value by maturity (net) - 1 to 2 years</v>
      </c>
    </row>
    <row r="45" spans="1:15">
      <c r="A45" t="s">
        <v>17333</v>
      </c>
      <c r="B45" t="str">
        <f>'4I'!$AG$76</f>
        <v>CR20012N1_FD_A</v>
      </c>
      <c r="D45" t="s">
        <v>15679</v>
      </c>
      <c r="E45" t="s">
        <v>4215</v>
      </c>
      <c r="F45" t="s">
        <v>17334</v>
      </c>
      <c r="G45">
        <v>3</v>
      </c>
      <c r="O45" t="str">
        <f t="shared" si="0"/>
        <v>Fin Derr (A) - Currency interest rate  - Currency interest rate swaps YEN: Nominal value by maturity (net) - 1 to 2 years</v>
      </c>
    </row>
    <row r="46" spans="1:15">
      <c r="A46" t="s">
        <v>17333</v>
      </c>
      <c r="B46" t="str">
        <f>'4I'!$AG$77</f>
        <v>CR20013N1_FD_A</v>
      </c>
      <c r="D46" t="s">
        <v>15680</v>
      </c>
      <c r="E46" t="s">
        <v>4215</v>
      </c>
      <c r="F46" t="s">
        <v>17334</v>
      </c>
      <c r="G46">
        <v>3</v>
      </c>
      <c r="O46" t="str">
        <f t="shared" si="0"/>
        <v>Fin Derr (A) - Currency interest rate  - Currency interest rate swaps Other: Nominal value by maturity (net) - 1 to 2 years</v>
      </c>
    </row>
    <row r="47" spans="1:15">
      <c r="A47" t="s">
        <v>17333</v>
      </c>
      <c r="B47" t="str">
        <f>'4I'!$AG$78</f>
        <v>CR20014N1_FD_A</v>
      </c>
      <c r="D47" t="s">
        <v>15681</v>
      </c>
      <c r="E47" t="s">
        <v>4215</v>
      </c>
      <c r="F47" t="s">
        <v>17334</v>
      </c>
      <c r="G47">
        <v>3</v>
      </c>
      <c r="O47" t="str">
        <f t="shared" si="0"/>
        <v>Fin Derr (A) - Currency interest rate  - Total: Nominal value by maturity (net) - 1 to 2 years</v>
      </c>
    </row>
    <row r="48" spans="1:15">
      <c r="A48" t="s">
        <v>17333</v>
      </c>
      <c r="B48" t="str">
        <f>'4I'!$AG$81</f>
        <v>CR20015N1_FD_A</v>
      </c>
      <c r="D48" t="s">
        <v>15682</v>
      </c>
      <c r="E48" t="s">
        <v>4215</v>
      </c>
      <c r="F48" t="s">
        <v>17334</v>
      </c>
      <c r="G48">
        <v>3</v>
      </c>
      <c r="O48" t="str">
        <f t="shared" si="0"/>
        <v>Fin Derr (A) - Forward currency contracts - Forward currency contracts USD: Nominal value by maturity (net) - 1 to 2 years</v>
      </c>
    </row>
    <row r="49" spans="1:15">
      <c r="A49" t="s">
        <v>17333</v>
      </c>
      <c r="B49" t="str">
        <f>'4I'!$AG$82</f>
        <v>CR20016N1_FD_A</v>
      </c>
      <c r="D49" t="s">
        <v>15683</v>
      </c>
      <c r="E49" t="s">
        <v>4215</v>
      </c>
      <c r="F49" t="s">
        <v>17334</v>
      </c>
      <c r="G49">
        <v>3</v>
      </c>
      <c r="O49" t="str">
        <f t="shared" si="0"/>
        <v>Fin Derr (A) - Forward currency contracts - Forward currency contracts EUR: Nominal value by maturity (net) - 1 to 2 years</v>
      </c>
    </row>
    <row r="50" spans="1:15">
      <c r="A50" t="s">
        <v>17333</v>
      </c>
      <c r="B50" t="str">
        <f>'4I'!$AG$83</f>
        <v>CR20017N1_FD_A</v>
      </c>
      <c r="D50" t="s">
        <v>15684</v>
      </c>
      <c r="E50" t="s">
        <v>4215</v>
      </c>
      <c r="F50" t="s">
        <v>17334</v>
      </c>
      <c r="G50">
        <v>3</v>
      </c>
      <c r="O50" t="str">
        <f t="shared" si="0"/>
        <v>Fin Derr (A) - Forward currency contracts - Forward currency contracts YEN: Nominal value by maturity (net) - 1 to 2 years</v>
      </c>
    </row>
    <row r="51" spans="1:15">
      <c r="A51" t="s">
        <v>17333</v>
      </c>
      <c r="B51" t="str">
        <f>'4I'!$AG$84</f>
        <v>CR2029N1_FD_A</v>
      </c>
      <c r="D51" t="s">
        <v>15685</v>
      </c>
      <c r="E51" t="s">
        <v>4215</v>
      </c>
      <c r="F51" t="s">
        <v>17334</v>
      </c>
      <c r="G51">
        <v>3</v>
      </c>
      <c r="O51" t="str">
        <f t="shared" si="0"/>
        <v>Fin Derr (A) - Forward currency contracts CAD - Nominal value by maturity (net) - 1 to 2 years</v>
      </c>
    </row>
    <row r="52" spans="1:15">
      <c r="A52" t="s">
        <v>17333</v>
      </c>
      <c r="B52" t="str">
        <f>'4I'!$AG$85</f>
        <v>CR2030N1_FD_A</v>
      </c>
      <c r="D52" t="s">
        <v>15686</v>
      </c>
      <c r="E52" t="s">
        <v>4215</v>
      </c>
      <c r="F52" t="s">
        <v>17334</v>
      </c>
      <c r="G52">
        <v>3</v>
      </c>
      <c r="O52" t="str">
        <f t="shared" si="0"/>
        <v>Fin Derr (A) - Forward currency contracts AUD - Nominal value by maturity (net) - 1 to 2 years</v>
      </c>
    </row>
    <row r="53" spans="1:15">
      <c r="A53" t="s">
        <v>17333</v>
      </c>
      <c r="B53" t="str">
        <f>'4I'!$AG$86</f>
        <v>CR2031N1_FD_A</v>
      </c>
      <c r="D53" t="s">
        <v>15687</v>
      </c>
      <c r="E53" t="s">
        <v>4215</v>
      </c>
      <c r="F53" t="s">
        <v>17334</v>
      </c>
      <c r="G53">
        <v>3</v>
      </c>
      <c r="O53" t="str">
        <f t="shared" si="0"/>
        <v>Fin Derr (A) - Forward currency contracts HKD - Nominal value by maturity (net) - 1 to 2 years</v>
      </c>
    </row>
    <row r="54" spans="1:15">
      <c r="A54" t="s">
        <v>17333</v>
      </c>
      <c r="B54" t="str">
        <f>'4I'!$AG$87</f>
        <v>CR20018N1_FD_A</v>
      </c>
      <c r="D54" t="s">
        <v>15688</v>
      </c>
      <c r="E54" t="s">
        <v>4215</v>
      </c>
      <c r="F54" t="s">
        <v>17334</v>
      </c>
      <c r="G54">
        <v>3</v>
      </c>
      <c r="O54" t="str">
        <f t="shared" si="0"/>
        <v>Fin Derr (A) - Forward currency contracts - Forward currency contracts Other: Nominal value by maturity (net) - 1 to 2 years</v>
      </c>
    </row>
    <row r="55" spans="1:15">
      <c r="A55" t="s">
        <v>17333</v>
      </c>
      <c r="B55" t="str">
        <f>'4I'!$AG$88</f>
        <v>CR20019N1_FD_A</v>
      </c>
      <c r="D55" t="s">
        <v>15689</v>
      </c>
      <c r="E55" t="s">
        <v>4215</v>
      </c>
      <c r="F55" t="s">
        <v>17334</v>
      </c>
      <c r="G55">
        <v>3</v>
      </c>
      <c r="O55" t="str">
        <f t="shared" si="0"/>
        <v>Fin Derr (A) - Forward currency contracts - Total: Nominal value by maturity (net) - 1 to 2 years</v>
      </c>
    </row>
    <row r="56" spans="1:15">
      <c r="A56" t="s">
        <v>17333</v>
      </c>
      <c r="B56" t="str">
        <f>'4I'!$AG$91</f>
        <v>CR2028N1_FD_A</v>
      </c>
      <c r="D56" t="s">
        <v>15690</v>
      </c>
      <c r="E56" t="s">
        <v>4215</v>
      </c>
      <c r="F56" t="s">
        <v>17334</v>
      </c>
      <c r="G56">
        <v>3</v>
      </c>
      <c r="O56" t="str">
        <f t="shared" si="0"/>
        <v>Fin Derr (A) - Other financial derivatives: Nominal value by maturity (net) - 1 to 2 years</v>
      </c>
    </row>
    <row r="57" spans="1:15">
      <c r="A57" t="s">
        <v>17333</v>
      </c>
      <c r="B57" t="str">
        <f>'4I'!$AG$93</f>
        <v>CR20020N1_FD_A</v>
      </c>
      <c r="D57" t="s">
        <v>15691</v>
      </c>
      <c r="E57" t="s">
        <v>4215</v>
      </c>
      <c r="F57" t="s">
        <v>17334</v>
      </c>
      <c r="G57">
        <v>3</v>
      </c>
      <c r="O57" t="str">
        <f t="shared" si="0"/>
        <v>Fin Derr (A) - Total financial derivatives: Nominal value by maturity (net) - 1 to 2 years</v>
      </c>
    </row>
    <row r="58" spans="1:15">
      <c r="A58" t="s">
        <v>17333</v>
      </c>
      <c r="B58" t="str">
        <f>'4I'!$AH$57</f>
        <v>CR2021N2_FD_A</v>
      </c>
      <c r="D58" t="s">
        <v>15692</v>
      </c>
      <c r="E58" t="s">
        <v>4215</v>
      </c>
      <c r="F58" t="s">
        <v>17334</v>
      </c>
      <c r="G58">
        <v>3</v>
      </c>
      <c r="O58" t="str">
        <f t="shared" si="0"/>
        <v>Fin Derr (A) - Interest rate swap (sterling) - Floating to fixed rate: Nominal value by maturity (net) - 2 to 5 years</v>
      </c>
    </row>
    <row r="59" spans="1:15">
      <c r="A59" t="s">
        <v>17333</v>
      </c>
      <c r="B59" t="str">
        <f>'4I'!$AH$58</f>
        <v>CR2022N2_FD_A</v>
      </c>
      <c r="D59" t="s">
        <v>15693</v>
      </c>
      <c r="E59" t="s">
        <v>4215</v>
      </c>
      <c r="F59" t="s">
        <v>17334</v>
      </c>
      <c r="G59">
        <v>3</v>
      </c>
      <c r="O59" t="str">
        <f t="shared" si="0"/>
        <v>Fin Derr (A) - Interest rate swap (sterling) - Floating from fixed rate: Nominal value by maturity (net) - 2 to 5 years</v>
      </c>
    </row>
    <row r="60" spans="1:15">
      <c r="A60" t="s">
        <v>17333</v>
      </c>
      <c r="B60" t="str">
        <f>'4I'!$AH$59</f>
        <v>CR2023N2_FD_A</v>
      </c>
      <c r="D60" t="s">
        <v>15694</v>
      </c>
      <c r="E60" t="s">
        <v>4215</v>
      </c>
      <c r="F60" t="s">
        <v>17334</v>
      </c>
      <c r="G60">
        <v>3</v>
      </c>
      <c r="O60" t="str">
        <f t="shared" si="0"/>
        <v>Fin Derr (A) - Interest rate swap (sterling) - Floating to index linked: Nominal value by maturity (net) - 2 to 5 years</v>
      </c>
    </row>
    <row r="61" spans="1:15">
      <c r="A61" t="s">
        <v>17333</v>
      </c>
      <c r="B61" t="str">
        <f>'4I'!$AH$60</f>
        <v>CR2024N2_FD_A</v>
      </c>
      <c r="D61" t="s">
        <v>15695</v>
      </c>
      <c r="E61" t="s">
        <v>4215</v>
      </c>
      <c r="F61" t="s">
        <v>17334</v>
      </c>
      <c r="G61">
        <v>3</v>
      </c>
      <c r="O61" t="str">
        <f t="shared" si="0"/>
        <v>Fin Derr (A) - Interest rate swap (sterling) - Floating from index linked: Nominal value by maturity (net) - 2 to 5 years</v>
      </c>
    </row>
    <row r="62" spans="1:15">
      <c r="A62" t="s">
        <v>17333</v>
      </c>
      <c r="B62" t="str">
        <f>'4I'!$AH$61</f>
        <v>CR2025N2_FD_A</v>
      </c>
      <c r="D62" t="s">
        <v>15696</v>
      </c>
      <c r="E62" t="s">
        <v>4215</v>
      </c>
      <c r="F62" t="s">
        <v>17334</v>
      </c>
      <c r="G62">
        <v>3</v>
      </c>
      <c r="O62" t="str">
        <f t="shared" si="0"/>
        <v>Fin Derr (A) - Interest rate swap (sterling) - Fixed to index-linked: Nominal value by maturity (net) - 2 to 5 years</v>
      </c>
    </row>
    <row r="63" spans="1:15">
      <c r="A63" t="s">
        <v>17333</v>
      </c>
      <c r="B63" t="str">
        <f>'4I'!$AH$62</f>
        <v>CR2026N2_FD_A</v>
      </c>
      <c r="D63" t="s">
        <v>15697</v>
      </c>
      <c r="E63" t="s">
        <v>4215</v>
      </c>
      <c r="F63" t="s">
        <v>17334</v>
      </c>
      <c r="G63">
        <v>3</v>
      </c>
      <c r="O63" t="str">
        <f t="shared" si="0"/>
        <v>Fin Derr (A) - Interest rate swap (sterling) - Fixed from index-linked: Nominal value by maturity (net) - 2 to 5 years</v>
      </c>
    </row>
    <row r="64" spans="1:15">
      <c r="A64" t="s">
        <v>17333</v>
      </c>
      <c r="B64" t="str">
        <f>'4I'!$AH$63</f>
        <v>CR4029N2_FD_A</v>
      </c>
      <c r="D64" t="s">
        <v>15698</v>
      </c>
      <c r="E64" t="s">
        <v>4215</v>
      </c>
      <c r="F64" t="s">
        <v>17334</v>
      </c>
      <c r="G64">
        <v>3</v>
      </c>
      <c r="O64" t="str">
        <f t="shared" si="0"/>
        <v>Fin Derr (A) - Interest rate swap (sterling) - Index-linked to index-linked - Nominal value by maturity (net) at 31 March - 2 to 5 years</v>
      </c>
    </row>
    <row r="65" spans="1:15">
      <c r="A65" t="s">
        <v>17333</v>
      </c>
      <c r="B65" t="str">
        <f>'4I'!$AH$64</f>
        <v>CR2027N2_FD_A</v>
      </c>
      <c r="D65" t="s">
        <v>15699</v>
      </c>
      <c r="E65" t="s">
        <v>4215</v>
      </c>
      <c r="F65" t="s">
        <v>17334</v>
      </c>
      <c r="G65">
        <v>3</v>
      </c>
      <c r="O65" t="str">
        <f t="shared" si="0"/>
        <v>Fin Derr (A) - Interest rate swap (sterling) - Total: Nominal value by maturity (net) - 2 to 5 years</v>
      </c>
    </row>
    <row r="66" spans="1:15">
      <c r="A66" t="s">
        <v>17333</v>
      </c>
      <c r="B66" t="str">
        <f>'4I'!$AH$67</f>
        <v>CR2005N2_FD_A</v>
      </c>
      <c r="D66" t="s">
        <v>15700</v>
      </c>
      <c r="E66" t="s">
        <v>4215</v>
      </c>
      <c r="F66" t="s">
        <v>17334</v>
      </c>
      <c r="G66">
        <v>3</v>
      </c>
      <c r="O66" t="str">
        <f t="shared" ref="O66:O129" si="1">D66</f>
        <v>Fin Derr (A) - Foreign Exchange - Cross currency swap USD: Nominal value by maturity (net) - 2 to 5 years</v>
      </c>
    </row>
    <row r="67" spans="1:15">
      <c r="A67" t="s">
        <v>17333</v>
      </c>
      <c r="B67" t="str">
        <f>'4I'!$AH$68</f>
        <v>CR2006N2_FD_A</v>
      </c>
      <c r="D67" t="s">
        <v>15701</v>
      </c>
      <c r="E67" t="s">
        <v>4215</v>
      </c>
      <c r="F67" t="s">
        <v>17334</v>
      </c>
      <c r="G67">
        <v>3</v>
      </c>
      <c r="O67" t="str">
        <f t="shared" si="1"/>
        <v>Fin Derr (A) - Foreign Exchange - Cross currency swap EUR: Nominal value by maturity (net) - 2 to 5 years</v>
      </c>
    </row>
    <row r="68" spans="1:15">
      <c r="A68" t="s">
        <v>17333</v>
      </c>
      <c r="B68" t="str">
        <f>'4I'!$AH$69</f>
        <v>CR2007N2_FD_A</v>
      </c>
      <c r="D68" t="s">
        <v>15702</v>
      </c>
      <c r="E68" t="s">
        <v>4215</v>
      </c>
      <c r="F68" t="s">
        <v>17334</v>
      </c>
      <c r="G68">
        <v>3</v>
      </c>
      <c r="O68" t="str">
        <f t="shared" si="1"/>
        <v>Fin Derr (A) - Foreign Exchange - Cross currency swap YEN: Nominal value by maturity (net) - 2 to 5 years</v>
      </c>
    </row>
    <row r="69" spans="1:15">
      <c r="A69" t="s">
        <v>17333</v>
      </c>
      <c r="B69" t="str">
        <f>'4I'!$AH$70</f>
        <v>CR2008N2_FD_A</v>
      </c>
      <c r="D69" t="s">
        <v>15703</v>
      </c>
      <c r="E69" t="s">
        <v>4215</v>
      </c>
      <c r="F69" t="s">
        <v>17334</v>
      </c>
      <c r="G69">
        <v>3</v>
      </c>
      <c r="O69" t="str">
        <f t="shared" si="1"/>
        <v>Fin Derr (A) - Foreign Exchange - Cross currency swap Other: Nominal value by maturity (net) - 2 to 5 years</v>
      </c>
    </row>
    <row r="70" spans="1:15">
      <c r="A70" t="s">
        <v>17333</v>
      </c>
      <c r="B70" t="str">
        <f>'4I'!$AH$71</f>
        <v>CR2009N2_FD_A</v>
      </c>
      <c r="D70" t="s">
        <v>15704</v>
      </c>
      <c r="E70" t="s">
        <v>4215</v>
      </c>
      <c r="F70" t="s">
        <v>17334</v>
      </c>
      <c r="G70">
        <v>3</v>
      </c>
      <c r="O70" t="str">
        <f t="shared" si="1"/>
        <v>Fin Derr (A) - Foreign Exchange - Total: Nominal value by maturity (net) - 2 to 5 years</v>
      </c>
    </row>
    <row r="71" spans="1:15">
      <c r="A71" t="s">
        <v>17333</v>
      </c>
      <c r="B71" t="str">
        <f>'4I'!$AH$74</f>
        <v>CR20010N2_FD_A</v>
      </c>
      <c r="D71" t="s">
        <v>15705</v>
      </c>
      <c r="E71" t="s">
        <v>4215</v>
      </c>
      <c r="F71" t="s">
        <v>17334</v>
      </c>
      <c r="G71">
        <v>3</v>
      </c>
      <c r="O71" t="str">
        <f t="shared" si="1"/>
        <v>Fin Derr (A) - Currency interest rate  - Currency interest rate swaps USD: Nominal value by maturity (net) - 2 to 5 years</v>
      </c>
    </row>
    <row r="72" spans="1:15">
      <c r="A72" t="s">
        <v>17333</v>
      </c>
      <c r="B72" t="str">
        <f>'4I'!$AH$75</f>
        <v>CR20011N2_FD_A</v>
      </c>
      <c r="D72" t="s">
        <v>15706</v>
      </c>
      <c r="E72" t="s">
        <v>4215</v>
      </c>
      <c r="F72" t="s">
        <v>17334</v>
      </c>
      <c r="G72">
        <v>3</v>
      </c>
      <c r="O72" t="str">
        <f t="shared" si="1"/>
        <v>Fin Derr (A) - Currency interest rate  - Currency interest rate swaps EUR: Nominal value by maturity (net) - 2 to 5 years</v>
      </c>
    </row>
    <row r="73" spans="1:15">
      <c r="A73" t="s">
        <v>17333</v>
      </c>
      <c r="B73" t="str">
        <f>'4I'!$AH$76</f>
        <v>CR20012N2_FD_A</v>
      </c>
      <c r="D73" t="s">
        <v>15707</v>
      </c>
      <c r="E73" t="s">
        <v>4215</v>
      </c>
      <c r="F73" t="s">
        <v>17334</v>
      </c>
      <c r="G73">
        <v>3</v>
      </c>
      <c r="O73" t="str">
        <f t="shared" si="1"/>
        <v>Fin Derr (A) - Currency interest rate  - Currency interest rate swaps YEN: Nominal value by maturity (net) - 2 to 5 years</v>
      </c>
    </row>
    <row r="74" spans="1:15">
      <c r="A74" t="s">
        <v>17333</v>
      </c>
      <c r="B74" t="str">
        <f>'4I'!$AH$77</f>
        <v>CR20013N2_FD_A</v>
      </c>
      <c r="D74" t="s">
        <v>15708</v>
      </c>
      <c r="E74" t="s">
        <v>4215</v>
      </c>
      <c r="F74" t="s">
        <v>17334</v>
      </c>
      <c r="G74">
        <v>3</v>
      </c>
      <c r="O74" t="str">
        <f t="shared" si="1"/>
        <v>Fin Derr (A) - Currency interest rate  - Currency interest rate swaps Other: Nominal value by maturity (net) - 2 to 5 years</v>
      </c>
    </row>
    <row r="75" spans="1:15">
      <c r="A75" t="s">
        <v>17333</v>
      </c>
      <c r="B75" t="str">
        <f>'4I'!$AH$78</f>
        <v>CR20014N2_FD_A</v>
      </c>
      <c r="D75" t="s">
        <v>15709</v>
      </c>
      <c r="E75" t="s">
        <v>4215</v>
      </c>
      <c r="F75" t="s">
        <v>17334</v>
      </c>
      <c r="G75">
        <v>3</v>
      </c>
      <c r="O75" t="str">
        <f t="shared" si="1"/>
        <v>Fin Derr (A) - Currency interest rate  - Total: Nominal value by maturity (net) - 2 to 5 years</v>
      </c>
    </row>
    <row r="76" spans="1:15">
      <c r="A76" t="s">
        <v>17333</v>
      </c>
      <c r="B76" t="str">
        <f>'4I'!$AH$81</f>
        <v>CR20015N2_FD_A</v>
      </c>
      <c r="D76" t="s">
        <v>15710</v>
      </c>
      <c r="E76" t="s">
        <v>4215</v>
      </c>
      <c r="F76" t="s">
        <v>17334</v>
      </c>
      <c r="G76">
        <v>3</v>
      </c>
      <c r="O76" t="str">
        <f t="shared" si="1"/>
        <v>Fin Derr (A) - Forward currency contracts - Forward currency contracts USD: Nominal value by maturity (net) - 2 to 5 years</v>
      </c>
    </row>
    <row r="77" spans="1:15">
      <c r="A77" t="s">
        <v>17333</v>
      </c>
      <c r="B77" t="str">
        <f>'4I'!$AH$82</f>
        <v>CR20016N2_FD_A</v>
      </c>
      <c r="D77" t="s">
        <v>15711</v>
      </c>
      <c r="E77" t="s">
        <v>4215</v>
      </c>
      <c r="F77" t="s">
        <v>17334</v>
      </c>
      <c r="G77">
        <v>3</v>
      </c>
      <c r="O77" t="str">
        <f t="shared" si="1"/>
        <v>Fin Derr (A) - Forward currency contracts - Forward currency contracts EUR: Nominal value by maturity (net) - 2 to 5 years</v>
      </c>
    </row>
    <row r="78" spans="1:15">
      <c r="A78" t="s">
        <v>17333</v>
      </c>
      <c r="B78" t="str">
        <f>'4I'!$AH$83</f>
        <v>CR20017N2_FD_A</v>
      </c>
      <c r="D78" t="s">
        <v>15712</v>
      </c>
      <c r="E78" t="s">
        <v>4215</v>
      </c>
      <c r="F78" t="s">
        <v>17334</v>
      </c>
      <c r="G78">
        <v>3</v>
      </c>
      <c r="O78" t="str">
        <f t="shared" si="1"/>
        <v>Fin Derr (A) - Forward currency contracts - Forward currency contracts YEN: Nominal value by maturity (net) - 2 to 5 years</v>
      </c>
    </row>
    <row r="79" spans="1:15">
      <c r="A79" t="s">
        <v>17333</v>
      </c>
      <c r="B79" t="str">
        <f>'4I'!$AH$84</f>
        <v>CR2029N2_FD_A</v>
      </c>
      <c r="D79" t="s">
        <v>15713</v>
      </c>
      <c r="E79" t="s">
        <v>4215</v>
      </c>
      <c r="F79" t="s">
        <v>17334</v>
      </c>
      <c r="G79">
        <v>3</v>
      </c>
      <c r="O79" t="str">
        <f t="shared" si="1"/>
        <v>Fin Derr (A) - Forward currency contracts CAD - Nominal value by maturity (net) - 2 to 5 years</v>
      </c>
    </row>
    <row r="80" spans="1:15">
      <c r="A80" t="s">
        <v>17333</v>
      </c>
      <c r="B80" t="str">
        <f>'4I'!$AH$85</f>
        <v>CR2030N2_FD_A</v>
      </c>
      <c r="D80" t="s">
        <v>15714</v>
      </c>
      <c r="E80" t="s">
        <v>4215</v>
      </c>
      <c r="F80" t="s">
        <v>17334</v>
      </c>
      <c r="G80">
        <v>3</v>
      </c>
      <c r="O80" t="str">
        <f t="shared" si="1"/>
        <v>Fin Derr (A) - Forward currency contracts AUD - Nominal value by maturity (net) - 2 to 5 years</v>
      </c>
    </row>
    <row r="81" spans="1:15">
      <c r="A81" t="s">
        <v>17333</v>
      </c>
      <c r="B81" t="str">
        <f>'4I'!$AH$86</f>
        <v>CR2031N2_FD_A</v>
      </c>
      <c r="D81" t="s">
        <v>15715</v>
      </c>
      <c r="E81" t="s">
        <v>4215</v>
      </c>
      <c r="F81" t="s">
        <v>17334</v>
      </c>
      <c r="G81">
        <v>3</v>
      </c>
      <c r="O81" t="str">
        <f t="shared" si="1"/>
        <v>Fin Derr (A) - Forward currency contracts HKD - Nominal value by maturity (net) - 2 to 5 years</v>
      </c>
    </row>
    <row r="82" spans="1:15">
      <c r="A82" t="s">
        <v>17333</v>
      </c>
      <c r="B82" t="str">
        <f>'4I'!$AH$87</f>
        <v>CR20018N2_FD_A</v>
      </c>
      <c r="D82" t="s">
        <v>15716</v>
      </c>
      <c r="E82" t="s">
        <v>4215</v>
      </c>
      <c r="F82" t="s">
        <v>17334</v>
      </c>
      <c r="G82">
        <v>3</v>
      </c>
      <c r="O82" t="str">
        <f t="shared" si="1"/>
        <v>Fin Derr (A) - Forward currency contracts - Forward currency contracts Other: Nominal value by maturity (net) - 2 to 5 years</v>
      </c>
    </row>
    <row r="83" spans="1:15">
      <c r="A83" t="s">
        <v>17333</v>
      </c>
      <c r="B83" t="str">
        <f>'4I'!$AH$88</f>
        <v>CR20019N2_FD_A</v>
      </c>
      <c r="D83" t="s">
        <v>15717</v>
      </c>
      <c r="E83" t="s">
        <v>4215</v>
      </c>
      <c r="F83" t="s">
        <v>17334</v>
      </c>
      <c r="G83">
        <v>3</v>
      </c>
      <c r="O83" t="str">
        <f t="shared" si="1"/>
        <v>Fin Derr (A) - Forward currency contracts - Total: Nominal value by maturity (net) - 2 to 5 years</v>
      </c>
    </row>
    <row r="84" spans="1:15">
      <c r="A84" t="s">
        <v>17333</v>
      </c>
      <c r="B84" t="str">
        <f>'4I'!$AH$91</f>
        <v>CR2028N2_FD_A</v>
      </c>
      <c r="D84" t="s">
        <v>15718</v>
      </c>
      <c r="E84" t="s">
        <v>4215</v>
      </c>
      <c r="F84" t="s">
        <v>17334</v>
      </c>
      <c r="G84">
        <v>3</v>
      </c>
      <c r="O84" t="str">
        <f t="shared" si="1"/>
        <v>Fin Derr (A) - Other financial derivatives: Nominal value by maturity (net) - 2 to 5 years</v>
      </c>
    </row>
    <row r="85" spans="1:15">
      <c r="A85" t="s">
        <v>17333</v>
      </c>
      <c r="B85" t="str">
        <f>'4I'!$AH$93</f>
        <v>CR20020N2_FD_A</v>
      </c>
      <c r="D85" t="s">
        <v>15719</v>
      </c>
      <c r="E85" t="s">
        <v>4215</v>
      </c>
      <c r="F85" t="s">
        <v>17334</v>
      </c>
      <c r="G85">
        <v>3</v>
      </c>
      <c r="O85" t="str">
        <f t="shared" si="1"/>
        <v>Fin Derr (A) - Total financial derivatives: Nominal value by maturity (net) - 2 to 5 years</v>
      </c>
    </row>
    <row r="86" spans="1:15">
      <c r="A86" t="s">
        <v>17333</v>
      </c>
      <c r="B86" t="str">
        <f>'4I'!$AI$57</f>
        <v>CR2021N5_FD_A</v>
      </c>
      <c r="D86" t="s">
        <v>15720</v>
      </c>
      <c r="E86" t="s">
        <v>4215</v>
      </c>
      <c r="F86" t="s">
        <v>17334</v>
      </c>
      <c r="G86">
        <v>3</v>
      </c>
      <c r="O86" t="str">
        <f t="shared" si="1"/>
        <v>Fin Derr (A) - Interest rate swap (sterling) - Floating to fixed rate: Nominal value by maturity (net) - Over 5 years</v>
      </c>
    </row>
    <row r="87" spans="1:15">
      <c r="A87" t="s">
        <v>17333</v>
      </c>
      <c r="B87" t="str">
        <f>'4I'!$AI$58</f>
        <v>CR2022N5_FD_A</v>
      </c>
      <c r="D87" t="s">
        <v>15721</v>
      </c>
      <c r="E87" t="s">
        <v>4215</v>
      </c>
      <c r="F87" t="s">
        <v>17334</v>
      </c>
      <c r="G87">
        <v>3</v>
      </c>
      <c r="O87" t="str">
        <f t="shared" si="1"/>
        <v>Fin Derr (A) - Interest rate swap (sterling) - Floating from fixed rate: Nominal value by maturity (net) - Over 5 years</v>
      </c>
    </row>
    <row r="88" spans="1:15">
      <c r="A88" t="s">
        <v>17333</v>
      </c>
      <c r="B88" t="str">
        <f>'4I'!$AI$59</f>
        <v>CR2023N5_FD_A</v>
      </c>
      <c r="D88" t="s">
        <v>15722</v>
      </c>
      <c r="E88" t="s">
        <v>4215</v>
      </c>
      <c r="F88" t="s">
        <v>17334</v>
      </c>
      <c r="G88">
        <v>3</v>
      </c>
      <c r="O88" t="str">
        <f t="shared" si="1"/>
        <v>Fin Derr (A) - Interest rate swap (sterling) - Floating to index linked: Nominal value by maturity (net) - Over 5 years</v>
      </c>
    </row>
    <row r="89" spans="1:15">
      <c r="A89" t="s">
        <v>17333</v>
      </c>
      <c r="B89" t="str">
        <f>'4I'!$AI$60</f>
        <v>CR2024N5_FD_A</v>
      </c>
      <c r="D89" t="s">
        <v>15723</v>
      </c>
      <c r="E89" t="s">
        <v>4215</v>
      </c>
      <c r="F89" t="s">
        <v>17334</v>
      </c>
      <c r="G89">
        <v>3</v>
      </c>
      <c r="O89" t="str">
        <f t="shared" si="1"/>
        <v>Fin Derr (A) - Interest rate swap (sterling) - Floating from index linked: Nominal value by maturity (net) - Over 5 years</v>
      </c>
    </row>
    <row r="90" spans="1:15">
      <c r="A90" t="s">
        <v>17333</v>
      </c>
      <c r="B90" t="str">
        <f>'4I'!$AI$61</f>
        <v>CR2025N5_FD_A</v>
      </c>
      <c r="D90" t="s">
        <v>15724</v>
      </c>
      <c r="E90" t="s">
        <v>4215</v>
      </c>
      <c r="F90" t="s">
        <v>17334</v>
      </c>
      <c r="G90">
        <v>3</v>
      </c>
      <c r="O90" t="str">
        <f t="shared" si="1"/>
        <v>Fin Derr (A) - Interest rate swap (sterling) - Fixed to index-linked: Nominal value by maturity (net) - Over 5 years</v>
      </c>
    </row>
    <row r="91" spans="1:15">
      <c r="A91" t="s">
        <v>17333</v>
      </c>
      <c r="B91" t="str">
        <f>'4I'!$AI$62</f>
        <v>CR2026N5_FD_A</v>
      </c>
      <c r="D91" t="s">
        <v>15725</v>
      </c>
      <c r="E91" t="s">
        <v>4215</v>
      </c>
      <c r="F91" t="s">
        <v>17334</v>
      </c>
      <c r="G91">
        <v>3</v>
      </c>
      <c r="O91" t="str">
        <f t="shared" si="1"/>
        <v>Fin Derr (A) - Interest rate swap (sterling) - Fixed from index-linked: Nominal value by maturity (net) - Over 5 years</v>
      </c>
    </row>
    <row r="92" spans="1:15">
      <c r="A92" t="s">
        <v>17333</v>
      </c>
      <c r="B92" t="str">
        <f>'4I'!$AI$63</f>
        <v>CR4029N5_FD_A</v>
      </c>
      <c r="D92" t="s">
        <v>15726</v>
      </c>
      <c r="E92" t="s">
        <v>4215</v>
      </c>
      <c r="F92" t="s">
        <v>17334</v>
      </c>
      <c r="G92">
        <v>3</v>
      </c>
      <c r="O92" t="str">
        <f t="shared" si="1"/>
        <v>Fin Derr (A) - Interest rate swap (sterling) - Index-linked to index-linked - Nominal value by maturity (net) at 31 March - over 5 years</v>
      </c>
    </row>
    <row r="93" spans="1:15">
      <c r="A93" t="s">
        <v>17333</v>
      </c>
      <c r="B93" t="str">
        <f>'4I'!$AI$64</f>
        <v>CR2027N5_FD_A</v>
      </c>
      <c r="D93" t="s">
        <v>15727</v>
      </c>
      <c r="E93" t="s">
        <v>4215</v>
      </c>
      <c r="F93" t="s">
        <v>17334</v>
      </c>
      <c r="G93">
        <v>3</v>
      </c>
      <c r="O93" t="str">
        <f t="shared" si="1"/>
        <v>Fin Derr (A) - Interest rate swap (sterling) - Total: Nominal value by maturity (net) - Over 5 years</v>
      </c>
    </row>
    <row r="94" spans="1:15">
      <c r="A94" t="s">
        <v>17333</v>
      </c>
      <c r="B94" t="str">
        <f>'4I'!$AI$67</f>
        <v>CR2005N5_FD_A</v>
      </c>
      <c r="D94" t="s">
        <v>15728</v>
      </c>
      <c r="E94" t="s">
        <v>4215</v>
      </c>
      <c r="F94" t="s">
        <v>17334</v>
      </c>
      <c r="G94">
        <v>3</v>
      </c>
      <c r="O94" t="str">
        <f t="shared" si="1"/>
        <v>Fin Derr (A) - Foreign Exchange - Cross currency swap USD: Nominal value by maturity (net) - Over 5 years</v>
      </c>
    </row>
    <row r="95" spans="1:15">
      <c r="A95" t="s">
        <v>17333</v>
      </c>
      <c r="B95" t="str">
        <f>'4I'!$AI$68</f>
        <v>CR2006N5_FD_A</v>
      </c>
      <c r="D95" t="s">
        <v>15729</v>
      </c>
      <c r="E95" t="s">
        <v>4215</v>
      </c>
      <c r="F95" t="s">
        <v>17334</v>
      </c>
      <c r="G95">
        <v>3</v>
      </c>
      <c r="O95" t="str">
        <f t="shared" si="1"/>
        <v>Fin Derr (A) - Foreign Exchange - Cross currency swap EUR: Nominal value by maturity (net) - Over 5 years</v>
      </c>
    </row>
    <row r="96" spans="1:15">
      <c r="A96" t="s">
        <v>17333</v>
      </c>
      <c r="B96" t="str">
        <f>'4I'!$AI$69</f>
        <v>CR2007N5_FD_A</v>
      </c>
      <c r="D96" t="s">
        <v>15730</v>
      </c>
      <c r="E96" t="s">
        <v>4215</v>
      </c>
      <c r="F96" t="s">
        <v>17334</v>
      </c>
      <c r="G96">
        <v>3</v>
      </c>
      <c r="O96" t="str">
        <f t="shared" si="1"/>
        <v>Fin Derr (A) - Foreign Exchange - Cross currency swap YEN: Nominal value by maturity (net) - Over 5 years</v>
      </c>
    </row>
    <row r="97" spans="1:15">
      <c r="A97" t="s">
        <v>17333</v>
      </c>
      <c r="B97" t="str">
        <f>'4I'!$AI$70</f>
        <v>CR2008N5_FD_A</v>
      </c>
      <c r="D97" t="s">
        <v>15731</v>
      </c>
      <c r="E97" t="s">
        <v>4215</v>
      </c>
      <c r="F97" t="s">
        <v>17334</v>
      </c>
      <c r="G97">
        <v>3</v>
      </c>
      <c r="O97" t="str">
        <f t="shared" si="1"/>
        <v>Fin Derr (A) - Foreign Exchange - Cross currency swap Other: Nominal value by maturity (net) - Over 5 years</v>
      </c>
    </row>
    <row r="98" spans="1:15">
      <c r="A98" t="s">
        <v>17333</v>
      </c>
      <c r="B98" t="str">
        <f>'4I'!$AI$71</f>
        <v>CR2009N5_FD_A</v>
      </c>
      <c r="D98" t="s">
        <v>15732</v>
      </c>
      <c r="E98" t="s">
        <v>4215</v>
      </c>
      <c r="F98" t="s">
        <v>17334</v>
      </c>
      <c r="G98">
        <v>3</v>
      </c>
      <c r="O98" t="str">
        <f t="shared" si="1"/>
        <v>Fin Derr (A) - Foreign Exchange - Total: Nominal value by maturity (net) - Over 5 years</v>
      </c>
    </row>
    <row r="99" spans="1:15">
      <c r="A99" t="s">
        <v>17333</v>
      </c>
      <c r="B99" t="str">
        <f>'4I'!$AI$74</f>
        <v>CR20010N5_FD_A</v>
      </c>
      <c r="D99" t="s">
        <v>15733</v>
      </c>
      <c r="E99" t="s">
        <v>4215</v>
      </c>
      <c r="F99" t="s">
        <v>17334</v>
      </c>
      <c r="G99">
        <v>3</v>
      </c>
      <c r="O99" t="str">
        <f t="shared" si="1"/>
        <v>Fin Derr (A) - Currency interest rate  - Currency interest rate swaps USD: Nominal value by maturity (net) - Over 5 years</v>
      </c>
    </row>
    <row r="100" spans="1:15">
      <c r="A100" t="s">
        <v>17333</v>
      </c>
      <c r="B100" t="str">
        <f>'4I'!$AI$75</f>
        <v>CR20011N5_FD_A</v>
      </c>
      <c r="D100" t="s">
        <v>15734</v>
      </c>
      <c r="E100" t="s">
        <v>4215</v>
      </c>
      <c r="F100" t="s">
        <v>17334</v>
      </c>
      <c r="G100">
        <v>3</v>
      </c>
      <c r="O100" t="str">
        <f t="shared" si="1"/>
        <v>Fin Derr (A) - Currency interest rate  - Currency interest rate swaps EUR: Nominal value by maturity (net) - Over 5 years</v>
      </c>
    </row>
    <row r="101" spans="1:15">
      <c r="A101" t="s">
        <v>17333</v>
      </c>
      <c r="B101" t="str">
        <f>'4I'!$AI$76</f>
        <v>CR20012N5_FD_A</v>
      </c>
      <c r="D101" t="s">
        <v>15735</v>
      </c>
      <c r="E101" t="s">
        <v>4215</v>
      </c>
      <c r="F101" t="s">
        <v>17334</v>
      </c>
      <c r="G101">
        <v>3</v>
      </c>
      <c r="O101" t="str">
        <f t="shared" si="1"/>
        <v>Fin Derr (A) - Currency interest rate  - Currency interest rate swaps YEN: Nominal value by maturity (net) - Over 5 years</v>
      </c>
    </row>
    <row r="102" spans="1:15">
      <c r="A102" t="s">
        <v>17333</v>
      </c>
      <c r="B102" t="str">
        <f>'4I'!$AI$77</f>
        <v>CR20013N5_FD_A</v>
      </c>
      <c r="D102" t="s">
        <v>15736</v>
      </c>
      <c r="E102" t="s">
        <v>4215</v>
      </c>
      <c r="F102" t="s">
        <v>17334</v>
      </c>
      <c r="G102">
        <v>3</v>
      </c>
      <c r="O102" t="str">
        <f t="shared" si="1"/>
        <v>Fin Derr (A) - Currency interest rate  - Currency interest rate swaps Other: Nominal value by maturity (net) - Over 5 years</v>
      </c>
    </row>
    <row r="103" spans="1:15">
      <c r="A103" t="s">
        <v>17333</v>
      </c>
      <c r="B103" t="str">
        <f>'4I'!$AI$78</f>
        <v>CR20014N5_FD_A</v>
      </c>
      <c r="D103" t="s">
        <v>15737</v>
      </c>
      <c r="E103" t="s">
        <v>4215</v>
      </c>
      <c r="F103" t="s">
        <v>17334</v>
      </c>
      <c r="G103">
        <v>3</v>
      </c>
      <c r="O103" t="str">
        <f t="shared" si="1"/>
        <v>Fin Derr (A) - Currency interest rate  - Total: Nominal value by maturity (net) - Over 5 years</v>
      </c>
    </row>
    <row r="104" spans="1:15">
      <c r="A104" t="s">
        <v>17333</v>
      </c>
      <c r="B104" t="str">
        <f>'4I'!$AI$81</f>
        <v>CR20015N5_FD_A</v>
      </c>
      <c r="D104" t="s">
        <v>15738</v>
      </c>
      <c r="E104" t="s">
        <v>4215</v>
      </c>
      <c r="F104" t="s">
        <v>17334</v>
      </c>
      <c r="G104">
        <v>3</v>
      </c>
      <c r="O104" t="str">
        <f t="shared" si="1"/>
        <v>Fin Derr (A) - Forward currency contracts - Forward currency contracts USD: Nominal value by maturity (net) - Over 5 years</v>
      </c>
    </row>
    <row r="105" spans="1:15">
      <c r="A105" t="s">
        <v>17333</v>
      </c>
      <c r="B105" t="str">
        <f>'4I'!$AI$82</f>
        <v>CR20016N5_FD_A</v>
      </c>
      <c r="D105" t="s">
        <v>15739</v>
      </c>
      <c r="E105" t="s">
        <v>4215</v>
      </c>
      <c r="F105" t="s">
        <v>17334</v>
      </c>
      <c r="G105">
        <v>3</v>
      </c>
      <c r="O105" t="str">
        <f t="shared" si="1"/>
        <v>Fin Derr (A) - Forward currency contracts - Forward currency contracts EUR: Nominal value by maturity (net) - Over 5 years</v>
      </c>
    </row>
    <row r="106" spans="1:15">
      <c r="A106" t="s">
        <v>17333</v>
      </c>
      <c r="B106" t="str">
        <f>'4I'!$AI$83</f>
        <v>CR20017N5_FD_A</v>
      </c>
      <c r="D106" t="s">
        <v>15740</v>
      </c>
      <c r="E106" t="s">
        <v>4215</v>
      </c>
      <c r="F106" t="s">
        <v>17334</v>
      </c>
      <c r="G106">
        <v>3</v>
      </c>
      <c r="O106" t="str">
        <f t="shared" si="1"/>
        <v>Fin Derr (A) - Forward currency contracts - Forward currency contracts YEN: Nominal value by maturity (net) - Over 5 years</v>
      </c>
    </row>
    <row r="107" spans="1:15">
      <c r="A107" t="s">
        <v>17333</v>
      </c>
      <c r="B107" t="str">
        <f>'4I'!$AI$84</f>
        <v>CR2029N5_FD_A</v>
      </c>
      <c r="D107" t="s">
        <v>15741</v>
      </c>
      <c r="E107" t="s">
        <v>4215</v>
      </c>
      <c r="F107" t="s">
        <v>17334</v>
      </c>
      <c r="G107">
        <v>3</v>
      </c>
      <c r="O107" t="str">
        <f t="shared" si="1"/>
        <v>Fin Derr (A) - Forward currency contracts CAD - Nominal value by maturity (net) - Over 5 years</v>
      </c>
    </row>
    <row r="108" spans="1:15">
      <c r="A108" t="s">
        <v>17333</v>
      </c>
      <c r="B108" t="str">
        <f>'4I'!$AI$85</f>
        <v>CR2030N5_FD_A</v>
      </c>
      <c r="D108" t="s">
        <v>15742</v>
      </c>
      <c r="E108" t="s">
        <v>4215</v>
      </c>
      <c r="F108" t="s">
        <v>17334</v>
      </c>
      <c r="G108">
        <v>3</v>
      </c>
      <c r="O108" t="str">
        <f t="shared" si="1"/>
        <v>Fin Derr (A) - Forward currency contracts AUD - Nominal value by maturity (net) - Over 5 years</v>
      </c>
    </row>
    <row r="109" spans="1:15">
      <c r="A109" t="s">
        <v>17333</v>
      </c>
      <c r="B109" t="str">
        <f>'4I'!$AI$86</f>
        <v>CR2031N5_FD_A</v>
      </c>
      <c r="D109" t="s">
        <v>15743</v>
      </c>
      <c r="E109" t="s">
        <v>4215</v>
      </c>
      <c r="F109" t="s">
        <v>17334</v>
      </c>
      <c r="G109">
        <v>3</v>
      </c>
      <c r="O109" t="str">
        <f t="shared" si="1"/>
        <v>Fin Derr (A) - Forward currency contracts HKD - Nominal value by maturity (net) - Over 5 years</v>
      </c>
    </row>
    <row r="110" spans="1:15">
      <c r="A110" t="s">
        <v>17333</v>
      </c>
      <c r="B110" t="str">
        <f>'4I'!$AI$87</f>
        <v>CR20018N5_FD_A</v>
      </c>
      <c r="D110" t="s">
        <v>15744</v>
      </c>
      <c r="E110" t="s">
        <v>4215</v>
      </c>
      <c r="F110" t="s">
        <v>17334</v>
      </c>
      <c r="G110">
        <v>3</v>
      </c>
      <c r="O110" t="str">
        <f t="shared" si="1"/>
        <v>Fin Derr (A) - Forward currency contracts - Forward currency contracts Other: Nominal value by maturity (net) - Over 5 years</v>
      </c>
    </row>
    <row r="111" spans="1:15">
      <c r="A111" t="s">
        <v>17333</v>
      </c>
      <c r="B111" t="str">
        <f>'4I'!$AI$88</f>
        <v>CR20019N5_FD_A</v>
      </c>
      <c r="D111" t="s">
        <v>15745</v>
      </c>
      <c r="E111" t="s">
        <v>4215</v>
      </c>
      <c r="F111" t="s">
        <v>17334</v>
      </c>
      <c r="G111">
        <v>3</v>
      </c>
      <c r="O111" t="str">
        <f t="shared" si="1"/>
        <v>Fin Derr (A) - Forward currency contracts - Total: Nominal value by maturity (net) - Over 5 years</v>
      </c>
    </row>
    <row r="112" spans="1:15">
      <c r="A112" t="s">
        <v>17333</v>
      </c>
      <c r="B112" t="str">
        <f>'4I'!$AI$91</f>
        <v>CR2028N5_FD_A</v>
      </c>
      <c r="D112" t="s">
        <v>15746</v>
      </c>
      <c r="E112" t="s">
        <v>4215</v>
      </c>
      <c r="F112" t="s">
        <v>17334</v>
      </c>
      <c r="G112">
        <v>3</v>
      </c>
      <c r="O112" t="str">
        <f t="shared" si="1"/>
        <v>Fin Derr (A) - Other financial derivatives: Nominal value by maturity (net) - Over 5 years</v>
      </c>
    </row>
    <row r="113" spans="1:15">
      <c r="A113" t="s">
        <v>17333</v>
      </c>
      <c r="B113" t="str">
        <f>'4I'!$AI$93</f>
        <v>CR20020N5_FD_A</v>
      </c>
      <c r="D113" t="s">
        <v>15747</v>
      </c>
      <c r="E113" t="s">
        <v>4215</v>
      </c>
      <c r="F113" t="s">
        <v>17334</v>
      </c>
      <c r="G113">
        <v>3</v>
      </c>
      <c r="O113" t="str">
        <f t="shared" si="1"/>
        <v>Fin Derr (A) - Total financial derivatives: Nominal value by maturity (net) - Over 5 years</v>
      </c>
    </row>
    <row r="114" spans="1:15">
      <c r="A114" t="s">
        <v>17333</v>
      </c>
      <c r="B114" t="str">
        <f>'4I'!$AJ$57</f>
        <v>CR2021N6_FD_A</v>
      </c>
      <c r="D114" t="s">
        <v>15748</v>
      </c>
      <c r="E114" t="s">
        <v>4215</v>
      </c>
      <c r="F114" t="s">
        <v>17334</v>
      </c>
      <c r="G114">
        <v>3</v>
      </c>
      <c r="O114" t="str">
        <f t="shared" si="1"/>
        <v>Fin Derr (A) - Interest rate swap (sterling) - Floating to fixed rate: Total value at 31 March 2018 - Nominal value (net)</v>
      </c>
    </row>
    <row r="115" spans="1:15">
      <c r="A115" t="s">
        <v>17333</v>
      </c>
      <c r="B115" t="str">
        <f>'4I'!$AJ$58</f>
        <v>CR2022N6_FD_A</v>
      </c>
      <c r="D115" t="s">
        <v>15749</v>
      </c>
      <c r="E115" t="s">
        <v>4215</v>
      </c>
      <c r="F115" t="s">
        <v>17334</v>
      </c>
      <c r="G115">
        <v>3</v>
      </c>
      <c r="O115" t="str">
        <f t="shared" si="1"/>
        <v>Fin Derr (A) - Interest rate swap (sterling) - Floating from fixed rate: Total value at 31 March 2018 - Nominal value (net)</v>
      </c>
    </row>
    <row r="116" spans="1:15">
      <c r="A116" t="s">
        <v>17333</v>
      </c>
      <c r="B116" t="str">
        <f>'4I'!$AJ$59</f>
        <v>CR2023N6_FD_A</v>
      </c>
      <c r="D116" t="s">
        <v>15750</v>
      </c>
      <c r="E116" t="s">
        <v>4215</v>
      </c>
      <c r="F116" t="s">
        <v>17334</v>
      </c>
      <c r="G116">
        <v>3</v>
      </c>
      <c r="O116" t="str">
        <f t="shared" si="1"/>
        <v>Fin Derr (A) - Interest rate swap (sterling) - Floating to index linked: Total value at 31 March 2018 - Nominal value (net)</v>
      </c>
    </row>
    <row r="117" spans="1:15">
      <c r="A117" t="s">
        <v>17333</v>
      </c>
      <c r="B117" t="str">
        <f>'4I'!$AJ$60</f>
        <v>CR2024N6_FD_A</v>
      </c>
      <c r="D117" t="s">
        <v>15751</v>
      </c>
      <c r="E117" t="s">
        <v>4215</v>
      </c>
      <c r="F117" t="s">
        <v>17334</v>
      </c>
      <c r="G117">
        <v>3</v>
      </c>
      <c r="O117" t="str">
        <f t="shared" si="1"/>
        <v>Fin Derr (A) - Interest rate swap (sterling) - Floating from index linked: Total value at 31 March 2018 - Nominal value (net)</v>
      </c>
    </row>
    <row r="118" spans="1:15">
      <c r="A118" t="s">
        <v>17333</v>
      </c>
      <c r="B118" t="str">
        <f>'4I'!$AJ$61</f>
        <v>CR2025N6_FD_A</v>
      </c>
      <c r="D118" t="s">
        <v>15752</v>
      </c>
      <c r="E118" t="s">
        <v>4215</v>
      </c>
      <c r="F118" t="s">
        <v>17334</v>
      </c>
      <c r="G118">
        <v>3</v>
      </c>
      <c r="O118" t="str">
        <f t="shared" si="1"/>
        <v>Fin Derr (A) - Interest rate swap (sterling) - Fixed to index-linked: Total value at 31 March 2018 - Nominal value (net)</v>
      </c>
    </row>
    <row r="119" spans="1:15">
      <c r="A119" t="s">
        <v>17333</v>
      </c>
      <c r="B119" t="str">
        <f>'4I'!$AJ$62</f>
        <v>CR2026N6_FD_A</v>
      </c>
      <c r="D119" t="s">
        <v>15753</v>
      </c>
      <c r="E119" t="s">
        <v>4215</v>
      </c>
      <c r="F119" t="s">
        <v>17334</v>
      </c>
      <c r="G119">
        <v>3</v>
      </c>
      <c r="O119" t="str">
        <f t="shared" si="1"/>
        <v>Fin Derr (A) - Interest rate swap (sterling) - Fixed from index-linked: Total value at 31 March 2018 - Nominal value (net)</v>
      </c>
    </row>
    <row r="120" spans="1:15">
      <c r="A120" t="s">
        <v>17333</v>
      </c>
      <c r="B120" t="str">
        <f>'4I'!$AJ$63</f>
        <v>CR4029N6_FD_A</v>
      </c>
      <c r="D120" t="s">
        <v>15754</v>
      </c>
      <c r="E120" t="s">
        <v>4215</v>
      </c>
      <c r="F120" t="s">
        <v>17334</v>
      </c>
      <c r="G120">
        <v>3</v>
      </c>
      <c r="O120" t="str">
        <f t="shared" si="1"/>
        <v>Fin Derr (A) - Interest rate swap (sterling) - Index-linked to index-linked - Total value at 31 March - Nominal value (net)</v>
      </c>
    </row>
    <row r="121" spans="1:15">
      <c r="A121" t="s">
        <v>17333</v>
      </c>
      <c r="B121" t="str">
        <f>'4I'!$AJ$64</f>
        <v>CR2027N6_FD_A</v>
      </c>
      <c r="D121" t="s">
        <v>15755</v>
      </c>
      <c r="E121" t="s">
        <v>4215</v>
      </c>
      <c r="F121" t="s">
        <v>17334</v>
      </c>
      <c r="G121">
        <v>3</v>
      </c>
      <c r="O121" t="str">
        <f t="shared" si="1"/>
        <v>Fin Derr (A) - Interest rate swap (sterling) - Total: Total value at 31 March 2018 - Nominal value (net)</v>
      </c>
    </row>
    <row r="122" spans="1:15">
      <c r="A122" t="s">
        <v>17333</v>
      </c>
      <c r="B122" t="str">
        <f>'4I'!$AJ$67</f>
        <v>CR2005N6_FD_A</v>
      </c>
      <c r="D122" t="s">
        <v>15756</v>
      </c>
      <c r="E122" t="s">
        <v>4215</v>
      </c>
      <c r="F122" t="s">
        <v>17334</v>
      </c>
      <c r="G122">
        <v>3</v>
      </c>
      <c r="O122" t="str">
        <f t="shared" si="1"/>
        <v>Fin Derr (A) - Foreign Exchange - Cross currency swap USD: Total value at 31 March 2018 - Nominal value (net)</v>
      </c>
    </row>
    <row r="123" spans="1:15">
      <c r="A123" t="s">
        <v>17333</v>
      </c>
      <c r="B123" t="str">
        <f>'4I'!$AJ$68</f>
        <v>CR2006N6_FD_A</v>
      </c>
      <c r="D123" t="s">
        <v>15757</v>
      </c>
      <c r="E123" t="s">
        <v>4215</v>
      </c>
      <c r="F123" t="s">
        <v>17334</v>
      </c>
      <c r="G123">
        <v>3</v>
      </c>
      <c r="O123" t="str">
        <f t="shared" si="1"/>
        <v>Fin Derr (A) - Foreign Exchange - Cross currency swap EUR: Total value at 31 March 2018 - Nominal value (net)</v>
      </c>
    </row>
    <row r="124" spans="1:15">
      <c r="A124" t="s">
        <v>17333</v>
      </c>
      <c r="B124" t="str">
        <f>'4I'!$AJ$69</f>
        <v>CR2007N6_FD_A</v>
      </c>
      <c r="D124" t="s">
        <v>15758</v>
      </c>
      <c r="E124" t="s">
        <v>4215</v>
      </c>
      <c r="F124" t="s">
        <v>17334</v>
      </c>
      <c r="G124">
        <v>3</v>
      </c>
      <c r="O124" t="str">
        <f t="shared" si="1"/>
        <v>Fin Derr (A) - Foreign Exchange - Cross currency swap YEN: Total value at 31 March 2018 - Nominal value (net)</v>
      </c>
    </row>
    <row r="125" spans="1:15">
      <c r="A125" t="s">
        <v>17333</v>
      </c>
      <c r="B125" t="str">
        <f>'4I'!$AJ$70</f>
        <v>CR2008N6_FD_A</v>
      </c>
      <c r="D125" t="s">
        <v>15759</v>
      </c>
      <c r="E125" t="s">
        <v>4215</v>
      </c>
      <c r="F125" t="s">
        <v>17334</v>
      </c>
      <c r="G125">
        <v>3</v>
      </c>
      <c r="O125" t="str">
        <f t="shared" si="1"/>
        <v>Fin Derr (A) - Foreign Exchange - Cross currency swap Other: Total value at 31 March 2018 - Nominal value (net)</v>
      </c>
    </row>
    <row r="126" spans="1:15">
      <c r="A126" t="s">
        <v>17333</v>
      </c>
      <c r="B126" t="str">
        <f>'4I'!$AJ$71</f>
        <v>CR2009N6_FD_A</v>
      </c>
      <c r="D126" t="s">
        <v>15760</v>
      </c>
      <c r="E126" t="s">
        <v>4215</v>
      </c>
      <c r="F126" t="s">
        <v>17334</v>
      </c>
      <c r="G126">
        <v>3</v>
      </c>
      <c r="O126" t="str">
        <f t="shared" si="1"/>
        <v>Fin Derr (A) - Foreign Exchange - Total: Total value at 31 March 2018 - Nominal value (net)</v>
      </c>
    </row>
    <row r="127" spans="1:15">
      <c r="A127" t="s">
        <v>17333</v>
      </c>
      <c r="B127" t="str">
        <f>'4I'!$AJ$74</f>
        <v>CR20010N6_FD_A</v>
      </c>
      <c r="D127" t="s">
        <v>15761</v>
      </c>
      <c r="E127" t="s">
        <v>4215</v>
      </c>
      <c r="F127" t="s">
        <v>17334</v>
      </c>
      <c r="G127">
        <v>3</v>
      </c>
      <c r="O127" t="str">
        <f t="shared" si="1"/>
        <v>Fin Derr (A) - Currency interest rate  - Currency interest rate swaps USD: Total value at 31 March 2018 - Nominal value (net)</v>
      </c>
    </row>
    <row r="128" spans="1:15">
      <c r="A128" t="s">
        <v>17333</v>
      </c>
      <c r="B128" t="str">
        <f>'4I'!$AJ$75</f>
        <v>CR20011N6_FD_A</v>
      </c>
      <c r="D128" t="s">
        <v>15762</v>
      </c>
      <c r="E128" t="s">
        <v>4215</v>
      </c>
      <c r="F128" t="s">
        <v>17334</v>
      </c>
      <c r="G128">
        <v>3</v>
      </c>
      <c r="O128" t="str">
        <f t="shared" si="1"/>
        <v>Fin Derr (A) - Currency interest rate  - Currency interest rate swaps EUR: Total value at 31 March 2018 - Nominal value (net)</v>
      </c>
    </row>
    <row r="129" spans="1:15">
      <c r="A129" t="s">
        <v>17333</v>
      </c>
      <c r="B129" t="str">
        <f>'4I'!$AJ$76</f>
        <v>CR20012N6_FD_A</v>
      </c>
      <c r="D129" t="s">
        <v>15763</v>
      </c>
      <c r="E129" t="s">
        <v>4215</v>
      </c>
      <c r="F129" t="s">
        <v>17334</v>
      </c>
      <c r="G129">
        <v>3</v>
      </c>
      <c r="O129" t="str">
        <f t="shared" si="1"/>
        <v>Fin Derr (A) - Currency interest rate  - Currency interest rate swaps YEN: Total value at 31 March 2018 - Nominal value (net)</v>
      </c>
    </row>
    <row r="130" spans="1:15">
      <c r="A130" t="s">
        <v>17333</v>
      </c>
      <c r="B130" t="str">
        <f>'4I'!$AJ$77</f>
        <v>CR20013N6_FD_A</v>
      </c>
      <c r="D130" t="s">
        <v>15764</v>
      </c>
      <c r="E130" t="s">
        <v>4215</v>
      </c>
      <c r="F130" t="s">
        <v>17334</v>
      </c>
      <c r="G130">
        <v>3</v>
      </c>
      <c r="O130" t="str">
        <f t="shared" ref="O130:O193" si="2">D130</f>
        <v>Fin Derr (A) - Currency interest rate  - Currency interest rate swaps Other: Total value at 31 March 2018 - Nominal value (net)</v>
      </c>
    </row>
    <row r="131" spans="1:15">
      <c r="A131" t="s">
        <v>17333</v>
      </c>
      <c r="B131" t="str">
        <f>'4I'!$AJ$78</f>
        <v>CR20014N6_FD_A</v>
      </c>
      <c r="D131" t="s">
        <v>15765</v>
      </c>
      <c r="E131" t="s">
        <v>4215</v>
      </c>
      <c r="F131" t="s">
        <v>17334</v>
      </c>
      <c r="G131">
        <v>3</v>
      </c>
      <c r="O131" t="str">
        <f t="shared" si="2"/>
        <v>Fin Derr (A) - Currency interest rate  - Total: Total value at 31 March 2018 - Nominal value (net)</v>
      </c>
    </row>
    <row r="132" spans="1:15">
      <c r="A132" t="s">
        <v>17333</v>
      </c>
      <c r="B132" t="str">
        <f>'4I'!$AJ$81</f>
        <v>CR20015N6_FD_A</v>
      </c>
      <c r="D132" t="s">
        <v>15766</v>
      </c>
      <c r="E132" t="s">
        <v>4215</v>
      </c>
      <c r="F132" t="s">
        <v>17334</v>
      </c>
      <c r="G132">
        <v>3</v>
      </c>
      <c r="O132" t="str">
        <f t="shared" si="2"/>
        <v>Fin Derr (A) - Forward currency contracts - Forward currency contracts USD: Total value at 31 March 2018 - Nominal value (net)</v>
      </c>
    </row>
    <row r="133" spans="1:15">
      <c r="A133" t="s">
        <v>17333</v>
      </c>
      <c r="B133" t="str">
        <f>'4I'!$AJ$82</f>
        <v>CR20016N6_FD_A</v>
      </c>
      <c r="D133" t="s">
        <v>15767</v>
      </c>
      <c r="E133" t="s">
        <v>4215</v>
      </c>
      <c r="F133" t="s">
        <v>17334</v>
      </c>
      <c r="G133">
        <v>3</v>
      </c>
      <c r="O133" t="str">
        <f t="shared" si="2"/>
        <v>Fin Derr (A) - Forward currency contracts - Forward currency contracts EUR: Total value at 31 March 2018 - Nominal value (net)</v>
      </c>
    </row>
    <row r="134" spans="1:15">
      <c r="A134" t="s">
        <v>17333</v>
      </c>
      <c r="B134" t="str">
        <f>'4I'!$AJ$83</f>
        <v>CR20017N6_FD_A</v>
      </c>
      <c r="D134" t="s">
        <v>15768</v>
      </c>
      <c r="E134" t="s">
        <v>4215</v>
      </c>
      <c r="F134" t="s">
        <v>17334</v>
      </c>
      <c r="G134">
        <v>3</v>
      </c>
      <c r="O134" t="str">
        <f t="shared" si="2"/>
        <v>Fin Derr (A) - Forward currency contracts - Forward currency contracts YEN: Total value at 31 March 2018 - Nominal value (net)</v>
      </c>
    </row>
    <row r="135" spans="1:15">
      <c r="A135" t="s">
        <v>17333</v>
      </c>
      <c r="B135" t="str">
        <f>'4I'!$AJ$84</f>
        <v>CR2029N6_FD_A</v>
      </c>
      <c r="D135" t="s">
        <v>15769</v>
      </c>
      <c r="E135" t="s">
        <v>4215</v>
      </c>
      <c r="F135" t="s">
        <v>17334</v>
      </c>
      <c r="G135">
        <v>3</v>
      </c>
      <c r="O135" t="str">
        <f t="shared" si="2"/>
        <v>Fin Derr (A) - Forward currency contracts CAD - Total value at 31 March 2018 - Nominal value (net)</v>
      </c>
    </row>
    <row r="136" spans="1:15">
      <c r="A136" t="s">
        <v>17333</v>
      </c>
      <c r="B136" t="str">
        <f>'4I'!$AJ$85</f>
        <v>CR2030N6_FD_A</v>
      </c>
      <c r="D136" t="s">
        <v>15770</v>
      </c>
      <c r="E136" t="s">
        <v>4215</v>
      </c>
      <c r="F136" t="s">
        <v>17334</v>
      </c>
      <c r="G136">
        <v>3</v>
      </c>
      <c r="O136" t="str">
        <f t="shared" si="2"/>
        <v>Fin Derr (A) - Forward currency contracts AUD - Total value at 31 March 2018 - Nominal value (net)</v>
      </c>
    </row>
    <row r="137" spans="1:15">
      <c r="A137" t="s">
        <v>17333</v>
      </c>
      <c r="B137" t="str">
        <f>'4I'!$AJ$86</f>
        <v>CR2031N6_FD_A</v>
      </c>
      <c r="D137" t="s">
        <v>15771</v>
      </c>
      <c r="E137" t="s">
        <v>4215</v>
      </c>
      <c r="F137" t="s">
        <v>17334</v>
      </c>
      <c r="G137">
        <v>3</v>
      </c>
      <c r="O137" t="str">
        <f t="shared" si="2"/>
        <v>Fin Derr (A) - Forward currency contracts HKD - Total value at 31 March 2018 - Nominal value (net)</v>
      </c>
    </row>
    <row r="138" spans="1:15">
      <c r="A138" t="s">
        <v>17333</v>
      </c>
      <c r="B138" t="str">
        <f>'4I'!$AJ$87</f>
        <v>CR20018N6_FD_A</v>
      </c>
      <c r="D138" t="s">
        <v>15772</v>
      </c>
      <c r="E138" t="s">
        <v>4215</v>
      </c>
      <c r="F138" t="s">
        <v>17334</v>
      </c>
      <c r="G138">
        <v>3</v>
      </c>
      <c r="O138" t="str">
        <f t="shared" si="2"/>
        <v>Fin Derr (A) - Forward currency contracts - Forward currency contracts Other: Total value at 31 March 2018 - Nominal value (net)</v>
      </c>
    </row>
    <row r="139" spans="1:15">
      <c r="A139" t="s">
        <v>17333</v>
      </c>
      <c r="B139" t="str">
        <f>'4I'!$AJ$88</f>
        <v>CR20019N6_FD_A</v>
      </c>
      <c r="D139" t="s">
        <v>15773</v>
      </c>
      <c r="E139" t="s">
        <v>4215</v>
      </c>
      <c r="F139" t="s">
        <v>17334</v>
      </c>
      <c r="G139">
        <v>3</v>
      </c>
      <c r="O139" t="str">
        <f t="shared" si="2"/>
        <v>Fin Derr (A) - Forward currency contracts - Total: Total value at 31 March 2018 - Nominal value (net)</v>
      </c>
    </row>
    <row r="140" spans="1:15">
      <c r="A140" t="s">
        <v>17333</v>
      </c>
      <c r="B140" t="str">
        <f>'4I'!$AJ$91</f>
        <v>CR2028N6_FD_A</v>
      </c>
      <c r="D140" t="s">
        <v>15774</v>
      </c>
      <c r="E140" t="s">
        <v>4215</v>
      </c>
      <c r="F140" t="s">
        <v>17334</v>
      </c>
      <c r="G140">
        <v>3</v>
      </c>
      <c r="O140" t="str">
        <f t="shared" si="2"/>
        <v>Fin Derr (A) - Other financial derivatives: Total value at 31 March 2018 - Nominal value (net)</v>
      </c>
    </row>
    <row r="141" spans="1:15">
      <c r="A141" t="s">
        <v>17333</v>
      </c>
      <c r="B141" t="str">
        <f>'4I'!$AJ$93</f>
        <v>CR20020N6_FD_A</v>
      </c>
      <c r="D141" t="s">
        <v>15775</v>
      </c>
      <c r="E141" t="s">
        <v>4215</v>
      </c>
      <c r="F141" t="s">
        <v>17334</v>
      </c>
      <c r="G141">
        <v>3</v>
      </c>
      <c r="O141" t="str">
        <f t="shared" si="2"/>
        <v>Fin Derr (A) - Total financial derivatives: Total value at 31 March 2018 - Nominal value (net)</v>
      </c>
    </row>
    <row r="142" spans="1:15">
      <c r="A142" t="s">
        <v>17333</v>
      </c>
      <c r="B142" t="str">
        <f>'4I'!$AK$57</f>
        <v>CR2021MM_FD_A</v>
      </c>
      <c r="D142" t="s">
        <v>15776</v>
      </c>
      <c r="E142" t="s">
        <v>4215</v>
      </c>
      <c r="F142" t="s">
        <v>17334</v>
      </c>
      <c r="G142">
        <v>3</v>
      </c>
      <c r="O142" t="str">
        <f t="shared" si="2"/>
        <v>Fin Derr (A) - Interest rate swap (sterling) - Floating to fixed rate: Total value at 31 March 2018 - Mark to Market</v>
      </c>
    </row>
    <row r="143" spans="1:15">
      <c r="A143" t="s">
        <v>17333</v>
      </c>
      <c r="B143" t="str">
        <f>'4I'!$AK$58</f>
        <v>CR2022MM_FD_A</v>
      </c>
      <c r="D143" t="s">
        <v>15777</v>
      </c>
      <c r="E143" t="s">
        <v>4215</v>
      </c>
      <c r="F143" t="s">
        <v>17334</v>
      </c>
      <c r="G143">
        <v>3</v>
      </c>
      <c r="O143" t="str">
        <f t="shared" si="2"/>
        <v>Fin Derr (A) - Interest rate swap (sterling) - Floating from fixed rate: Total value at 31 March 2018 - Mark to Market</v>
      </c>
    </row>
    <row r="144" spans="1:15">
      <c r="A144" t="s">
        <v>17333</v>
      </c>
      <c r="B144" t="str">
        <f>'4I'!$AK$59</f>
        <v>CR2023MM_FD_A</v>
      </c>
      <c r="D144" t="s">
        <v>15778</v>
      </c>
      <c r="E144" t="s">
        <v>4215</v>
      </c>
      <c r="F144" t="s">
        <v>17334</v>
      </c>
      <c r="G144">
        <v>3</v>
      </c>
      <c r="O144" t="str">
        <f t="shared" si="2"/>
        <v>Fin Derr (A) - Interest rate swap (sterling) - Floating to index linked: Total value at 31 March 2018 - Mark to Market</v>
      </c>
    </row>
    <row r="145" spans="1:15">
      <c r="A145" t="s">
        <v>17333</v>
      </c>
      <c r="B145" t="str">
        <f>'4I'!$AK$60</f>
        <v>CR2024MM_FD_A</v>
      </c>
      <c r="D145" t="s">
        <v>15779</v>
      </c>
      <c r="E145" t="s">
        <v>4215</v>
      </c>
      <c r="F145" t="s">
        <v>17334</v>
      </c>
      <c r="G145">
        <v>3</v>
      </c>
      <c r="O145" t="str">
        <f t="shared" si="2"/>
        <v>Fin Derr (A) - Interest rate swap (sterling) - Floating from index linked: Total value at 31 March 2018 - Mark to Market</v>
      </c>
    </row>
    <row r="146" spans="1:15">
      <c r="A146" t="s">
        <v>17333</v>
      </c>
      <c r="B146" t="str">
        <f>'4I'!$AK$61</f>
        <v>CR2025MM_FD_A</v>
      </c>
      <c r="D146" t="s">
        <v>15780</v>
      </c>
      <c r="E146" t="s">
        <v>4215</v>
      </c>
      <c r="F146" t="s">
        <v>17334</v>
      </c>
      <c r="G146">
        <v>3</v>
      </c>
      <c r="O146" t="str">
        <f t="shared" si="2"/>
        <v>Fin Derr (A) - Interest rate swap (sterling) - Fixed to index-linked: Total value at 31 March 2018 - Mark to Market</v>
      </c>
    </row>
    <row r="147" spans="1:15">
      <c r="A147" t="s">
        <v>17333</v>
      </c>
      <c r="B147" t="str">
        <f>'4I'!$AK$62</f>
        <v>CR2026MM_FD_A</v>
      </c>
      <c r="D147" t="s">
        <v>15781</v>
      </c>
      <c r="E147" t="s">
        <v>4215</v>
      </c>
      <c r="F147" t="s">
        <v>17334</v>
      </c>
      <c r="G147">
        <v>3</v>
      </c>
      <c r="O147" t="str">
        <f t="shared" si="2"/>
        <v>Fin Derr (A) - Interest rate swap (sterling) - Fixed from index-linked: Total value at 31 March 2018 - Mark to Market</v>
      </c>
    </row>
    <row r="148" spans="1:15">
      <c r="A148" t="s">
        <v>17333</v>
      </c>
      <c r="B148" t="str">
        <f>'4I'!$AK$63</f>
        <v>CR4029MM_FD_A</v>
      </c>
      <c r="D148" t="s">
        <v>15782</v>
      </c>
      <c r="E148" t="s">
        <v>4215</v>
      </c>
      <c r="F148" t="s">
        <v>17334</v>
      </c>
      <c r="G148">
        <v>3</v>
      </c>
      <c r="O148" t="str">
        <f t="shared" si="2"/>
        <v>Fin Derr (A) - Interest rate swap (sterling) - Index-linked to index-linked - Total value at 31 March - Mark to market</v>
      </c>
    </row>
    <row r="149" spans="1:15">
      <c r="A149" t="s">
        <v>17333</v>
      </c>
      <c r="B149" t="str">
        <f>'4I'!$AK$64</f>
        <v>CR2027MM_FD_A</v>
      </c>
      <c r="D149" t="s">
        <v>15783</v>
      </c>
      <c r="E149" t="s">
        <v>4215</v>
      </c>
      <c r="F149" t="s">
        <v>17334</v>
      </c>
      <c r="G149">
        <v>3</v>
      </c>
      <c r="O149" t="str">
        <f t="shared" si="2"/>
        <v>Fin Derr (A) - Interest rate swap (sterling) - Total: Total value at 31 March 2018 - Mark to Market</v>
      </c>
    </row>
    <row r="150" spans="1:15">
      <c r="A150" t="s">
        <v>17333</v>
      </c>
      <c r="B150" t="str">
        <f>'4I'!$AK$67</f>
        <v>CR2005MM_FD_A</v>
      </c>
      <c r="D150" t="s">
        <v>15784</v>
      </c>
      <c r="E150" t="s">
        <v>4215</v>
      </c>
      <c r="F150" t="s">
        <v>17334</v>
      </c>
      <c r="G150">
        <v>3</v>
      </c>
      <c r="O150" t="str">
        <f t="shared" si="2"/>
        <v>Fin Derr (A) - Foreign Exchange - Cross currency swap USD: Total value at 31 March 2018 - Mark to Market</v>
      </c>
    </row>
    <row r="151" spans="1:15">
      <c r="A151" t="s">
        <v>17333</v>
      </c>
      <c r="B151" t="str">
        <f>'4I'!$AK$68</f>
        <v>CR2006MM_FD_A</v>
      </c>
      <c r="D151" t="s">
        <v>15785</v>
      </c>
      <c r="E151" t="s">
        <v>4215</v>
      </c>
      <c r="F151" t="s">
        <v>17334</v>
      </c>
      <c r="G151">
        <v>3</v>
      </c>
      <c r="O151" t="str">
        <f t="shared" si="2"/>
        <v>Fin Derr (A) - Foreign Exchange - Cross currency swap EUR: Total value at 31 March 2018 - Mark to Market</v>
      </c>
    </row>
    <row r="152" spans="1:15">
      <c r="A152" t="s">
        <v>17333</v>
      </c>
      <c r="B152" t="str">
        <f>'4I'!$AK$69</f>
        <v>CR2007MM_FD_A</v>
      </c>
      <c r="D152" t="s">
        <v>15786</v>
      </c>
      <c r="E152" t="s">
        <v>4215</v>
      </c>
      <c r="F152" t="s">
        <v>17334</v>
      </c>
      <c r="G152">
        <v>3</v>
      </c>
      <c r="O152" t="str">
        <f t="shared" si="2"/>
        <v>Fin Derr (A) - Foreign Exchange - Cross currency swap YEN: Total value at 31 March 2018 - Mark to Market</v>
      </c>
    </row>
    <row r="153" spans="1:15">
      <c r="A153" t="s">
        <v>17333</v>
      </c>
      <c r="B153" t="str">
        <f>'4I'!$AK$70</f>
        <v>CR2008MM_FD_A</v>
      </c>
      <c r="D153" t="s">
        <v>15787</v>
      </c>
      <c r="E153" t="s">
        <v>4215</v>
      </c>
      <c r="F153" t="s">
        <v>17334</v>
      </c>
      <c r="G153">
        <v>3</v>
      </c>
      <c r="O153" t="str">
        <f t="shared" si="2"/>
        <v>Fin Derr (A) - Foreign Exchange - Cross currency swap Other: Total value at 31 March 2018 - Mark to Market</v>
      </c>
    </row>
    <row r="154" spans="1:15">
      <c r="A154" t="s">
        <v>17333</v>
      </c>
      <c r="B154" t="str">
        <f>'4I'!$AK$71</f>
        <v>CR2009MM_FD_A</v>
      </c>
      <c r="D154" t="s">
        <v>15788</v>
      </c>
      <c r="E154" t="s">
        <v>4215</v>
      </c>
      <c r="F154" t="s">
        <v>17334</v>
      </c>
      <c r="G154">
        <v>3</v>
      </c>
      <c r="O154" t="str">
        <f t="shared" si="2"/>
        <v>Fin Derr (A) - Foreign Exchange - Total: Total value at 31 March 2018 - Mark to Market</v>
      </c>
    </row>
    <row r="155" spans="1:15">
      <c r="A155" t="s">
        <v>17333</v>
      </c>
      <c r="B155" t="str">
        <f>'4I'!$AK$74</f>
        <v>CR20010MM_FD_A</v>
      </c>
      <c r="D155" t="s">
        <v>15789</v>
      </c>
      <c r="E155" t="s">
        <v>4215</v>
      </c>
      <c r="F155" t="s">
        <v>17334</v>
      </c>
      <c r="G155">
        <v>3</v>
      </c>
      <c r="O155" t="str">
        <f t="shared" si="2"/>
        <v>Fin Derr (A) - Currency interest rate  - Currency interest rate swaps USD: Total value at 31 March 2018 - Mark to Market</v>
      </c>
    </row>
    <row r="156" spans="1:15">
      <c r="A156" t="s">
        <v>17333</v>
      </c>
      <c r="B156" t="str">
        <f>'4I'!$AK$75</f>
        <v>CR20011MM_FD_A</v>
      </c>
      <c r="D156" t="s">
        <v>15790</v>
      </c>
      <c r="E156" t="s">
        <v>4215</v>
      </c>
      <c r="F156" t="s">
        <v>17334</v>
      </c>
      <c r="G156">
        <v>3</v>
      </c>
      <c r="O156" t="str">
        <f t="shared" si="2"/>
        <v>Fin Derr (A) - Currency interest rate  - Currency interest rate swaps EUR: Total value at 31 March 2018 - Mark to Market</v>
      </c>
    </row>
    <row r="157" spans="1:15">
      <c r="A157" t="s">
        <v>17333</v>
      </c>
      <c r="B157" t="str">
        <f>'4I'!$AK$76</f>
        <v>CR20012MM_FD_A</v>
      </c>
      <c r="D157" t="s">
        <v>15791</v>
      </c>
      <c r="E157" t="s">
        <v>4215</v>
      </c>
      <c r="F157" t="s">
        <v>17334</v>
      </c>
      <c r="G157">
        <v>3</v>
      </c>
      <c r="O157" t="str">
        <f t="shared" si="2"/>
        <v>Fin Derr (A) - Currency interest rate  - Currency interest rate swaps YEN: Total value at 31 March 2018 - Mark to Market</v>
      </c>
    </row>
    <row r="158" spans="1:15">
      <c r="A158" t="s">
        <v>17333</v>
      </c>
      <c r="B158" t="str">
        <f>'4I'!$AK$77</f>
        <v>CR20013MM_FD_A</v>
      </c>
      <c r="D158" t="s">
        <v>15792</v>
      </c>
      <c r="E158" t="s">
        <v>4215</v>
      </c>
      <c r="F158" t="s">
        <v>17334</v>
      </c>
      <c r="G158">
        <v>3</v>
      </c>
      <c r="O158" t="str">
        <f t="shared" si="2"/>
        <v>Fin Derr (A) - Currency interest rate  - Currency interest rate swaps Other: Total value at 31 March 2018 - Mark to Market</v>
      </c>
    </row>
    <row r="159" spans="1:15">
      <c r="A159" t="s">
        <v>17333</v>
      </c>
      <c r="B159" t="str">
        <f>'4I'!$AK$78</f>
        <v>CR20014MM_FD_A</v>
      </c>
      <c r="D159" t="s">
        <v>15793</v>
      </c>
      <c r="E159" t="s">
        <v>4215</v>
      </c>
      <c r="F159" t="s">
        <v>17334</v>
      </c>
      <c r="G159">
        <v>3</v>
      </c>
      <c r="O159" t="str">
        <f t="shared" si="2"/>
        <v>Fin Derr (A) - Currency interest rate  - Total: Total value at 31 March 2018 - Mark to Market</v>
      </c>
    </row>
    <row r="160" spans="1:15">
      <c r="A160" t="s">
        <v>17333</v>
      </c>
      <c r="B160" t="str">
        <f>'4I'!$AK$81</f>
        <v>CR20015MM_FD_A</v>
      </c>
      <c r="D160" t="s">
        <v>15794</v>
      </c>
      <c r="E160" t="s">
        <v>4215</v>
      </c>
      <c r="F160" t="s">
        <v>17334</v>
      </c>
      <c r="G160">
        <v>3</v>
      </c>
      <c r="O160" t="str">
        <f t="shared" si="2"/>
        <v>Fin Derr (A) - Forward currency contracts - Forward currency contracts USD: Total value at 31 March 2018 - Mark to Market</v>
      </c>
    </row>
    <row r="161" spans="1:15">
      <c r="A161" t="s">
        <v>17333</v>
      </c>
      <c r="B161" t="str">
        <f>'4I'!$AK$82</f>
        <v>CR20016MM_FD_A</v>
      </c>
      <c r="D161" t="s">
        <v>15795</v>
      </c>
      <c r="E161" t="s">
        <v>4215</v>
      </c>
      <c r="F161" t="s">
        <v>17334</v>
      </c>
      <c r="G161">
        <v>3</v>
      </c>
      <c r="O161" t="str">
        <f t="shared" si="2"/>
        <v>Fin Derr (A) - Forward currency contracts - Forward currency contracts EUR: Total value at 31 March 2018 - Mark to Market</v>
      </c>
    </row>
    <row r="162" spans="1:15">
      <c r="A162" t="s">
        <v>17333</v>
      </c>
      <c r="B162" t="str">
        <f>'4I'!$AK$83</f>
        <v>CR20017MM_FD_A</v>
      </c>
      <c r="D162" t="s">
        <v>15796</v>
      </c>
      <c r="E162" t="s">
        <v>4215</v>
      </c>
      <c r="F162" t="s">
        <v>17334</v>
      </c>
      <c r="G162">
        <v>3</v>
      </c>
      <c r="O162" t="str">
        <f t="shared" si="2"/>
        <v>Fin Derr (A) - Forward currency contracts - Forward currency contracts YEN: Total value at 31 March 2018 - Mark to Market</v>
      </c>
    </row>
    <row r="163" spans="1:15">
      <c r="A163" t="s">
        <v>17333</v>
      </c>
      <c r="B163" t="str">
        <f>'4I'!$AK$84</f>
        <v>CR2029MM_FD_A</v>
      </c>
      <c r="D163" t="s">
        <v>15797</v>
      </c>
      <c r="E163" t="s">
        <v>4215</v>
      </c>
      <c r="F163" t="s">
        <v>17334</v>
      </c>
      <c r="G163">
        <v>3</v>
      </c>
      <c r="O163" t="str">
        <f t="shared" si="2"/>
        <v>Fin Derr (A) - Forward currency contracts CAD - Total value at 31 March 2018 - Mark to Market</v>
      </c>
    </row>
    <row r="164" spans="1:15">
      <c r="A164" t="s">
        <v>17333</v>
      </c>
      <c r="B164" t="str">
        <f>'4I'!$AK$85</f>
        <v>CR2030MM_FD_A</v>
      </c>
      <c r="D164" t="s">
        <v>15798</v>
      </c>
      <c r="E164" t="s">
        <v>4215</v>
      </c>
      <c r="F164" t="s">
        <v>17334</v>
      </c>
      <c r="G164">
        <v>3</v>
      </c>
      <c r="O164" t="str">
        <f t="shared" si="2"/>
        <v>Fin Derr (A) - Forward currency contracts AUD - Total value at 31 March 2018 - Mark to Market</v>
      </c>
    </row>
    <row r="165" spans="1:15">
      <c r="A165" t="s">
        <v>17333</v>
      </c>
      <c r="B165" t="str">
        <f>'4I'!$AK$86</f>
        <v>CR2031MM_FD_A</v>
      </c>
      <c r="D165" t="s">
        <v>15799</v>
      </c>
      <c r="E165" t="s">
        <v>4215</v>
      </c>
      <c r="F165" t="s">
        <v>17334</v>
      </c>
      <c r="G165">
        <v>3</v>
      </c>
      <c r="O165" t="str">
        <f t="shared" si="2"/>
        <v>Fin Derr (A) - Forward currency contracts HKD - Total value at 31 March 2018 - Mark to Market</v>
      </c>
    </row>
    <row r="166" spans="1:15">
      <c r="A166" t="s">
        <v>17333</v>
      </c>
      <c r="B166" t="str">
        <f>'4I'!$AK$87</f>
        <v>CR20018MM_FD_A</v>
      </c>
      <c r="D166" t="s">
        <v>15800</v>
      </c>
      <c r="E166" t="s">
        <v>4215</v>
      </c>
      <c r="F166" t="s">
        <v>17334</v>
      </c>
      <c r="G166">
        <v>3</v>
      </c>
      <c r="O166" t="str">
        <f t="shared" si="2"/>
        <v>Fin Derr (A) - Forward currency contracts - Forward currency contracts Other: Total value at 31 March 2018 - Mark to Market</v>
      </c>
    </row>
    <row r="167" spans="1:15">
      <c r="A167" t="s">
        <v>17333</v>
      </c>
      <c r="B167" t="str">
        <f>'4I'!$AK$88</f>
        <v>CR20019MM_FD_A</v>
      </c>
      <c r="D167" t="s">
        <v>15801</v>
      </c>
      <c r="E167" t="s">
        <v>4215</v>
      </c>
      <c r="F167" t="s">
        <v>17334</v>
      </c>
      <c r="G167">
        <v>3</v>
      </c>
      <c r="O167" t="str">
        <f t="shared" si="2"/>
        <v>Fin Derr (A) - Forward currency contracts - Total: Total value at 31 March 2018 - Mark to Market</v>
      </c>
    </row>
    <row r="168" spans="1:15">
      <c r="A168" t="s">
        <v>17333</v>
      </c>
      <c r="B168" t="str">
        <f>'4I'!$AK$91</f>
        <v>CR2028MM_FD_A</v>
      </c>
      <c r="D168" t="s">
        <v>15802</v>
      </c>
      <c r="E168" t="s">
        <v>4215</v>
      </c>
      <c r="F168" t="s">
        <v>17334</v>
      </c>
      <c r="G168">
        <v>3</v>
      </c>
      <c r="O168" t="str">
        <f t="shared" si="2"/>
        <v>Fin Derr (A) - Other financial derivatives: Total value at 31 March 2018 - Mark to Market</v>
      </c>
    </row>
    <row r="169" spans="1:15">
      <c r="A169" t="s">
        <v>17333</v>
      </c>
      <c r="B169" t="str">
        <f>'4I'!$AK$93</f>
        <v>CR20020MM_FD_A</v>
      </c>
      <c r="D169" t="s">
        <v>15803</v>
      </c>
      <c r="E169" t="s">
        <v>4215</v>
      </c>
      <c r="F169" t="s">
        <v>17334</v>
      </c>
      <c r="G169">
        <v>3</v>
      </c>
      <c r="O169" t="str">
        <f t="shared" si="2"/>
        <v>Fin Derr (A) - Total financial derivatives: Total value at 31 March 2018 - Mark to Market</v>
      </c>
    </row>
    <row r="170" spans="1:15">
      <c r="A170" t="s">
        <v>17333</v>
      </c>
      <c r="B170" t="str">
        <f>'4I'!$AL$57</f>
        <v>CR2021TA_FD_A</v>
      </c>
      <c r="D170" t="s">
        <v>15804</v>
      </c>
      <c r="E170" t="s">
        <v>4215</v>
      </c>
      <c r="F170" t="s">
        <v>17334</v>
      </c>
      <c r="G170">
        <v>3</v>
      </c>
      <c r="O170" t="str">
        <f t="shared" si="2"/>
        <v>Fin Derr (A) - Interest rate swap (sterling) - Floating to fixed rate - Total accretion at 31 March 2018</v>
      </c>
    </row>
    <row r="171" spans="1:15">
      <c r="A171" t="s">
        <v>17333</v>
      </c>
      <c r="B171" t="str">
        <f>'4I'!$AL$58</f>
        <v>CR2022TA_FD_A</v>
      </c>
      <c r="D171" t="s">
        <v>15805</v>
      </c>
      <c r="E171" t="s">
        <v>4215</v>
      </c>
      <c r="F171" t="s">
        <v>17334</v>
      </c>
      <c r="G171">
        <v>3</v>
      </c>
      <c r="O171" t="str">
        <f t="shared" si="2"/>
        <v>Fin Derr (A) - Interest rate swap (sterling) - Floating from fixed rate - Total accretion at 31 March 2018</v>
      </c>
    </row>
    <row r="172" spans="1:15">
      <c r="A172" t="s">
        <v>17333</v>
      </c>
      <c r="B172" t="str">
        <f>'4I'!$AL$59</f>
        <v>CR2023TA_FD_A</v>
      </c>
      <c r="D172" t="s">
        <v>15806</v>
      </c>
      <c r="E172" t="s">
        <v>4215</v>
      </c>
      <c r="F172" t="s">
        <v>17334</v>
      </c>
      <c r="G172">
        <v>3</v>
      </c>
      <c r="O172" t="str">
        <f t="shared" si="2"/>
        <v>Fin Derr (A) - Interest rate swap (sterling) - Floating to index linked - Total accretion at 31 March 2018</v>
      </c>
    </row>
    <row r="173" spans="1:15">
      <c r="A173" t="s">
        <v>17333</v>
      </c>
      <c r="B173" t="str">
        <f>'4I'!$AL$60</f>
        <v>CR2024TA_FD_A</v>
      </c>
      <c r="D173" t="s">
        <v>15807</v>
      </c>
      <c r="E173" t="s">
        <v>4215</v>
      </c>
      <c r="F173" t="s">
        <v>17334</v>
      </c>
      <c r="G173">
        <v>3</v>
      </c>
      <c r="O173" t="str">
        <f t="shared" si="2"/>
        <v>Fin Derr (A) - Interest rate swap (sterling) - Floating from index linked - Total accretion at 31 March 2018</v>
      </c>
    </row>
    <row r="174" spans="1:15">
      <c r="A174" t="s">
        <v>17333</v>
      </c>
      <c r="B174" t="str">
        <f>'4I'!$AL$61</f>
        <v>CR2025TA_FD_A</v>
      </c>
      <c r="D174" t="s">
        <v>15808</v>
      </c>
      <c r="E174" t="s">
        <v>4215</v>
      </c>
      <c r="F174" t="s">
        <v>17334</v>
      </c>
      <c r="G174">
        <v>3</v>
      </c>
      <c r="O174" t="str">
        <f t="shared" si="2"/>
        <v>Fin Derr (A) - Interest rate swap (sterling) - Fixed to index-linked - Total accretion at 31 March 2018</v>
      </c>
    </row>
    <row r="175" spans="1:15">
      <c r="A175" t="s">
        <v>17333</v>
      </c>
      <c r="B175" t="str">
        <f>'4I'!$AL$62</f>
        <v>CR2026TA_FD_A</v>
      </c>
      <c r="D175" t="s">
        <v>15809</v>
      </c>
      <c r="E175" t="s">
        <v>4215</v>
      </c>
      <c r="F175" t="s">
        <v>17334</v>
      </c>
      <c r="G175">
        <v>3</v>
      </c>
      <c r="O175" t="str">
        <f t="shared" si="2"/>
        <v>Fin Derr (A) - Interest rate swap (sterling) - Fixed from index-linked - Total accretion at 31 March 2018</v>
      </c>
    </row>
    <row r="176" spans="1:15">
      <c r="A176" t="s">
        <v>17333</v>
      </c>
      <c r="B176" t="str">
        <f>'4I'!$AL$63</f>
        <v>CR4029TA_FD_A</v>
      </c>
      <c r="D176" t="s">
        <v>15810</v>
      </c>
      <c r="E176" t="s">
        <v>4215</v>
      </c>
      <c r="F176" t="s">
        <v>17334</v>
      </c>
      <c r="G176">
        <v>3</v>
      </c>
      <c r="O176" t="str">
        <f t="shared" si="2"/>
        <v>Fin Derr (A) - Interest rate swap (sterling) - Index-linked to index-linked - Total accretion at 31 March</v>
      </c>
    </row>
    <row r="177" spans="1:15">
      <c r="A177" t="s">
        <v>17333</v>
      </c>
      <c r="B177" t="str">
        <f>'4I'!$AL$64</f>
        <v>CR2027TA_FD_A</v>
      </c>
      <c r="D177" t="s">
        <v>15811</v>
      </c>
      <c r="E177" t="s">
        <v>4215</v>
      </c>
      <c r="F177" t="s">
        <v>17334</v>
      </c>
      <c r="G177">
        <v>3</v>
      </c>
      <c r="O177" t="str">
        <f t="shared" si="2"/>
        <v>Fin Derr (A) - Interest rate swap (sterling) - Total - Total accretion at 31 March 2018</v>
      </c>
    </row>
    <row r="178" spans="1:15">
      <c r="A178" t="s">
        <v>17333</v>
      </c>
      <c r="B178" t="str">
        <f>'4I'!$AL$67</f>
        <v>CR2005TA_FD_A</v>
      </c>
      <c r="D178" t="s">
        <v>15812</v>
      </c>
      <c r="E178" t="s">
        <v>4215</v>
      </c>
      <c r="F178" t="s">
        <v>17334</v>
      </c>
      <c r="G178">
        <v>3</v>
      </c>
      <c r="O178" t="str">
        <f t="shared" si="2"/>
        <v>Fin Derr (A) - Foreign Exchange - Cross currency swap USD - Total accretion at 31 March 2018</v>
      </c>
    </row>
    <row r="179" spans="1:15">
      <c r="A179" t="s">
        <v>17333</v>
      </c>
      <c r="B179" t="str">
        <f>'4I'!$AL$68</f>
        <v>CR2006TA_FD_A</v>
      </c>
      <c r="D179" t="s">
        <v>15813</v>
      </c>
      <c r="E179" t="s">
        <v>4215</v>
      </c>
      <c r="F179" t="s">
        <v>17334</v>
      </c>
      <c r="G179">
        <v>3</v>
      </c>
      <c r="O179" t="str">
        <f t="shared" si="2"/>
        <v>Fin Derr (A) - Foreign Exchange - Cross currency swap EUR - Total accretion at 31 March 2018</v>
      </c>
    </row>
    <row r="180" spans="1:15">
      <c r="A180" t="s">
        <v>17333</v>
      </c>
      <c r="B180" t="str">
        <f>'4I'!$AL$69</f>
        <v>CR2007TA_FD_A</v>
      </c>
      <c r="D180" t="s">
        <v>15814</v>
      </c>
      <c r="E180" t="s">
        <v>4215</v>
      </c>
      <c r="F180" t="s">
        <v>17334</v>
      </c>
      <c r="G180">
        <v>3</v>
      </c>
      <c r="O180" t="str">
        <f t="shared" si="2"/>
        <v>Fin Derr (A) - Foreign Exchange - Cross currency swap YEN - Total accretion at 31 March 2018</v>
      </c>
    </row>
    <row r="181" spans="1:15">
      <c r="A181" t="s">
        <v>17333</v>
      </c>
      <c r="B181" t="str">
        <f>'4I'!$AL$70</f>
        <v>CR2008TA_FD_A</v>
      </c>
      <c r="D181" t="s">
        <v>15815</v>
      </c>
      <c r="E181" t="s">
        <v>4215</v>
      </c>
      <c r="F181" t="s">
        <v>17334</v>
      </c>
      <c r="G181">
        <v>3</v>
      </c>
      <c r="O181" t="str">
        <f t="shared" si="2"/>
        <v>Fin Derr (A) - Foreign Exchange - Cross currency swap Other - Total accretion at 31 March 2018</v>
      </c>
    </row>
    <row r="182" spans="1:15">
      <c r="A182" t="s">
        <v>17333</v>
      </c>
      <c r="B182" t="str">
        <f>'4I'!$AL$71</f>
        <v>CR2009TA_FD_A</v>
      </c>
      <c r="D182" t="s">
        <v>15816</v>
      </c>
      <c r="E182" t="s">
        <v>4215</v>
      </c>
      <c r="F182" t="s">
        <v>17334</v>
      </c>
      <c r="G182">
        <v>3</v>
      </c>
      <c r="O182" t="str">
        <f t="shared" si="2"/>
        <v>Fin Derr (A) - Foreign Exchange - Total - Total accretion at 31 March 2018</v>
      </c>
    </row>
    <row r="183" spans="1:15">
      <c r="A183" t="s">
        <v>17333</v>
      </c>
      <c r="B183" t="str">
        <f>'4I'!$AL$74</f>
        <v>CR20010TA_FD_A</v>
      </c>
      <c r="D183" t="s">
        <v>15817</v>
      </c>
      <c r="E183" t="s">
        <v>4215</v>
      </c>
      <c r="F183" t="s">
        <v>17334</v>
      </c>
      <c r="G183">
        <v>3</v>
      </c>
      <c r="O183" t="str">
        <f t="shared" si="2"/>
        <v>Fin Derr (A) - Currency interest rate  - Currency interest rate swaps USD - Total accretion at 31 March 2018</v>
      </c>
    </row>
    <row r="184" spans="1:15">
      <c r="A184" t="s">
        <v>17333</v>
      </c>
      <c r="B184" t="str">
        <f>'4I'!$AL$75</f>
        <v>CR20011TA_FD_A</v>
      </c>
      <c r="D184" t="s">
        <v>15818</v>
      </c>
      <c r="E184" t="s">
        <v>4215</v>
      </c>
      <c r="F184" t="s">
        <v>17334</v>
      </c>
      <c r="G184">
        <v>3</v>
      </c>
      <c r="O184" t="str">
        <f t="shared" si="2"/>
        <v>Fin Derr (A) - Currency interest rate  - Currency interest rate swaps EUR - Total accretion at 31 March 2018</v>
      </c>
    </row>
    <row r="185" spans="1:15">
      <c r="A185" t="s">
        <v>17333</v>
      </c>
      <c r="B185" t="str">
        <f>'4I'!$AL$76</f>
        <v>CR20012TA_FD_A</v>
      </c>
      <c r="D185" t="s">
        <v>15819</v>
      </c>
      <c r="E185" t="s">
        <v>4215</v>
      </c>
      <c r="F185" t="s">
        <v>17334</v>
      </c>
      <c r="G185">
        <v>3</v>
      </c>
      <c r="O185" t="str">
        <f t="shared" si="2"/>
        <v>Fin Derr (A) - Currency interest rate  - Currency interest rate swaps YEN - Total accretion at 31 March 2018</v>
      </c>
    </row>
    <row r="186" spans="1:15">
      <c r="A186" t="s">
        <v>17333</v>
      </c>
      <c r="B186" t="str">
        <f>'4I'!$AL$77</f>
        <v>CR20013TA_FD_A</v>
      </c>
      <c r="D186" t="s">
        <v>15820</v>
      </c>
      <c r="E186" t="s">
        <v>4215</v>
      </c>
      <c r="F186" t="s">
        <v>17334</v>
      </c>
      <c r="G186">
        <v>3</v>
      </c>
      <c r="O186" t="str">
        <f t="shared" si="2"/>
        <v>Fin Derr (A) - Currency interest rate  - Currency interest rate swaps Other - Total accretion at 31 March 2018</v>
      </c>
    </row>
    <row r="187" spans="1:15">
      <c r="A187" t="s">
        <v>17333</v>
      </c>
      <c r="B187" t="str">
        <f>'4I'!$AL$78</f>
        <v>CR20014TA_FD_A</v>
      </c>
      <c r="D187" t="s">
        <v>15821</v>
      </c>
      <c r="E187" t="s">
        <v>4215</v>
      </c>
      <c r="F187" t="s">
        <v>17334</v>
      </c>
      <c r="G187">
        <v>3</v>
      </c>
      <c r="O187" t="str">
        <f t="shared" si="2"/>
        <v>Fin Derr (A) - Currency interest rate  - Total - Total accretion at 31 March 2018</v>
      </c>
    </row>
    <row r="188" spans="1:15">
      <c r="A188" t="s">
        <v>17333</v>
      </c>
      <c r="B188" t="str">
        <f>'4I'!$AL$81</f>
        <v>CR20015TA_FD_A</v>
      </c>
      <c r="D188" t="s">
        <v>15822</v>
      </c>
      <c r="E188" t="s">
        <v>4215</v>
      </c>
      <c r="F188" t="s">
        <v>17334</v>
      </c>
      <c r="G188">
        <v>3</v>
      </c>
      <c r="O188" t="str">
        <f t="shared" si="2"/>
        <v>Fin Derr (A) - Forward currency contracts - Forward currency contracts USD - Total accretion at 31 March 2018</v>
      </c>
    </row>
    <row r="189" spans="1:15">
      <c r="A189" t="s">
        <v>17333</v>
      </c>
      <c r="B189" t="str">
        <f>'4I'!$AL$82</f>
        <v>CR20016TA_FD_A</v>
      </c>
      <c r="D189" t="s">
        <v>15823</v>
      </c>
      <c r="E189" t="s">
        <v>4215</v>
      </c>
      <c r="F189" t="s">
        <v>17334</v>
      </c>
      <c r="G189">
        <v>3</v>
      </c>
      <c r="O189" t="str">
        <f t="shared" si="2"/>
        <v>Fin Derr (A) - Forward currency contracts - Forward currency contracts EUR - Total accretion at 31 March 2018</v>
      </c>
    </row>
    <row r="190" spans="1:15">
      <c r="A190" t="s">
        <v>17333</v>
      </c>
      <c r="B190" t="str">
        <f>'4I'!$AL$83</f>
        <v>CR20017TA_FD_A</v>
      </c>
      <c r="D190" t="s">
        <v>15824</v>
      </c>
      <c r="E190" t="s">
        <v>4215</v>
      </c>
      <c r="F190" t="s">
        <v>17334</v>
      </c>
      <c r="G190">
        <v>3</v>
      </c>
      <c r="O190" t="str">
        <f t="shared" si="2"/>
        <v>Fin Derr (A) - Forward currency contracts - Forward currency contracts YEN - Total accretion at 31 March 2018</v>
      </c>
    </row>
    <row r="191" spans="1:15">
      <c r="A191" t="s">
        <v>17333</v>
      </c>
      <c r="B191" t="str">
        <f>'4I'!$AL$84</f>
        <v>CR2029TA_FD_A</v>
      </c>
      <c r="D191" t="s">
        <v>15825</v>
      </c>
      <c r="E191" t="s">
        <v>4215</v>
      </c>
      <c r="F191" t="s">
        <v>17334</v>
      </c>
      <c r="G191">
        <v>3</v>
      </c>
      <c r="O191" t="str">
        <f t="shared" si="2"/>
        <v>Fin Derr (A) - Forward currency contracts CAD - Total accretion at 31 March 2018</v>
      </c>
    </row>
    <row r="192" spans="1:15">
      <c r="A192" t="s">
        <v>17333</v>
      </c>
      <c r="B192" t="str">
        <f>'4I'!$AL$85</f>
        <v>CR2030TA_FD_A</v>
      </c>
      <c r="D192" t="s">
        <v>15826</v>
      </c>
      <c r="E192" t="s">
        <v>4215</v>
      </c>
      <c r="F192" t="s">
        <v>17334</v>
      </c>
      <c r="G192">
        <v>3</v>
      </c>
      <c r="O192" t="str">
        <f t="shared" si="2"/>
        <v>Fin Derr (A) - Forward currency contracts AUD - Total accretion at 31 March 2018</v>
      </c>
    </row>
    <row r="193" spans="1:15">
      <c r="A193" t="s">
        <v>17333</v>
      </c>
      <c r="B193" t="str">
        <f>'4I'!$AL$86</f>
        <v>CR2031TA_FD_A</v>
      </c>
      <c r="D193" t="s">
        <v>15827</v>
      </c>
      <c r="E193" t="s">
        <v>4215</v>
      </c>
      <c r="F193" t="s">
        <v>17334</v>
      </c>
      <c r="G193">
        <v>3</v>
      </c>
      <c r="O193" t="str">
        <f t="shared" si="2"/>
        <v>Fin Derr (A) - Forward currency contracts HKD - Total accretion at 31 March 2018</v>
      </c>
    </row>
    <row r="194" spans="1:15">
      <c r="A194" t="s">
        <v>17333</v>
      </c>
      <c r="B194" t="str">
        <f>'4I'!$AL$87</f>
        <v>CR20018TA_FD_A</v>
      </c>
      <c r="D194" t="s">
        <v>15828</v>
      </c>
      <c r="E194" t="s">
        <v>4215</v>
      </c>
      <c r="F194" t="s">
        <v>17334</v>
      </c>
      <c r="G194">
        <v>3</v>
      </c>
      <c r="O194" t="str">
        <f t="shared" ref="O194:O257" si="3">D194</f>
        <v>Fin Derr (A) - Forward currency contracts - Forward currency contracts Other - Total accretion at 31 March 2018</v>
      </c>
    </row>
    <row r="195" spans="1:15">
      <c r="A195" t="s">
        <v>17333</v>
      </c>
      <c r="B195" t="str">
        <f>'4I'!$AL$88</f>
        <v>CR20019TA_FD_A</v>
      </c>
      <c r="D195" t="s">
        <v>15829</v>
      </c>
      <c r="E195" t="s">
        <v>4215</v>
      </c>
      <c r="F195" t="s">
        <v>17334</v>
      </c>
      <c r="G195">
        <v>3</v>
      </c>
      <c r="O195" t="str">
        <f t="shared" si="3"/>
        <v>Fin Derr (A) - Forward currency contracts - Total - Total accretion at 31 March 2018</v>
      </c>
    </row>
    <row r="196" spans="1:15">
      <c r="A196" t="s">
        <v>17333</v>
      </c>
      <c r="B196" t="str">
        <f>'4I'!$AL$91</f>
        <v>CR2028TA_FD_A</v>
      </c>
      <c r="D196" t="s">
        <v>15830</v>
      </c>
      <c r="E196" t="s">
        <v>4215</v>
      </c>
      <c r="F196" t="s">
        <v>17334</v>
      </c>
      <c r="G196">
        <v>3</v>
      </c>
      <c r="O196" t="str">
        <f t="shared" si="3"/>
        <v>Fin Derr (A) - Other financial derivatives - Total accretion at 31 March 2018</v>
      </c>
    </row>
    <row r="197" spans="1:15">
      <c r="A197" t="s">
        <v>17333</v>
      </c>
      <c r="B197" t="str">
        <f>'4I'!$AL$93</f>
        <v>CR20020TA_FD_A</v>
      </c>
      <c r="D197" t="s">
        <v>15831</v>
      </c>
      <c r="E197" t="s">
        <v>4215</v>
      </c>
      <c r="F197" t="s">
        <v>17334</v>
      </c>
      <c r="G197">
        <v>3</v>
      </c>
      <c r="O197" t="str">
        <f t="shared" si="3"/>
        <v>Fin Derr (A) - Total financial derivatives - Total accretion at 31 March 2018</v>
      </c>
    </row>
    <row r="198" spans="1:15">
      <c r="A198" t="s">
        <v>17333</v>
      </c>
      <c r="B198" t="str">
        <f>'4I'!$AM$57</f>
        <v>CR2021IRP_FD_A</v>
      </c>
      <c r="D198" t="s">
        <v>15832</v>
      </c>
      <c r="E198" t="s">
        <v>4215</v>
      </c>
      <c r="F198" t="s">
        <v>17334</v>
      </c>
      <c r="G198">
        <v>3</v>
      </c>
      <c r="O198" t="str">
        <f t="shared" si="3"/>
        <v>Fin Derr (A) - Interest rate swap (sterling) - Floating to fixed rate: Interest rate\n(weighted average for 12 months to 31 March 2018) - Payable</v>
      </c>
    </row>
    <row r="199" spans="1:15">
      <c r="A199" t="s">
        <v>17333</v>
      </c>
      <c r="B199" t="str">
        <f>'4I'!$AM$58</f>
        <v>CR2022IRP_FD_A</v>
      </c>
      <c r="D199" t="s">
        <v>15833</v>
      </c>
      <c r="E199" t="s">
        <v>4215</v>
      </c>
      <c r="F199" t="s">
        <v>17334</v>
      </c>
      <c r="G199">
        <v>3</v>
      </c>
      <c r="O199" t="str">
        <f t="shared" si="3"/>
        <v>Fin Derr (A) - Interest rate swap (sterling) - Floating from fixed rate: Interest rate\n(weighted average for 12 months to 31 March 2018) - Payable</v>
      </c>
    </row>
    <row r="200" spans="1:15">
      <c r="A200" t="s">
        <v>17333</v>
      </c>
      <c r="B200" t="str">
        <f>'4I'!$AM$59</f>
        <v>CR2023IRP_FD_A</v>
      </c>
      <c r="D200" t="s">
        <v>15834</v>
      </c>
      <c r="E200" t="s">
        <v>4215</v>
      </c>
      <c r="F200" t="s">
        <v>17334</v>
      </c>
      <c r="G200">
        <v>3</v>
      </c>
      <c r="O200" t="str">
        <f t="shared" si="3"/>
        <v>Fin Derr (A) - Interest rate swap (sterling) - Floating to index linked: Interest rate\n(weighted average for 12 months to 31 March 2018) - Payable</v>
      </c>
    </row>
    <row r="201" spans="1:15">
      <c r="A201" t="s">
        <v>17333</v>
      </c>
      <c r="B201" t="str">
        <f>'4I'!$AM$60</f>
        <v>CR2024IRP_FD_A</v>
      </c>
      <c r="D201" t="s">
        <v>15835</v>
      </c>
      <c r="E201" t="s">
        <v>4215</v>
      </c>
      <c r="F201" t="s">
        <v>17334</v>
      </c>
      <c r="G201">
        <v>3</v>
      </c>
      <c r="O201" t="str">
        <f t="shared" si="3"/>
        <v>Fin Derr (A) - Interest rate swap (sterling) - Floating from index linked: Interest rate\n(weighted average for 12 months to 31 March 2018) - Payable</v>
      </c>
    </row>
    <row r="202" spans="1:15">
      <c r="A202" t="s">
        <v>17333</v>
      </c>
      <c r="B202" t="str">
        <f>'4I'!$AM$61</f>
        <v>CR2025IRP_FD_A</v>
      </c>
      <c r="D202" t="s">
        <v>15836</v>
      </c>
      <c r="E202" t="s">
        <v>4215</v>
      </c>
      <c r="F202" t="s">
        <v>17334</v>
      </c>
      <c r="G202">
        <v>3</v>
      </c>
      <c r="O202" t="str">
        <f t="shared" si="3"/>
        <v>Fin Derr (A) - Interest rate swap (sterling) - Fixed to index-linked: Interest rate\n(weighted average for 12 months to 31 March 2018) - Payable</v>
      </c>
    </row>
    <row r="203" spans="1:15">
      <c r="A203" t="s">
        <v>17333</v>
      </c>
      <c r="B203" t="str">
        <f>'4I'!$AM$62</f>
        <v>CR2026IRP_FD_A</v>
      </c>
      <c r="D203" t="s">
        <v>15837</v>
      </c>
      <c r="E203" t="s">
        <v>4215</v>
      </c>
      <c r="F203" t="s">
        <v>17334</v>
      </c>
      <c r="G203">
        <v>3</v>
      </c>
      <c r="O203" t="str">
        <f t="shared" si="3"/>
        <v>Fin Derr (A) - Interest rate swap (sterling) - Fixed from index-linked: Interest rate\n(weighted average for 12 months to 31 March 2018) - Payable</v>
      </c>
    </row>
    <row r="204" spans="1:15">
      <c r="A204" t="s">
        <v>17333</v>
      </c>
      <c r="B204" t="str">
        <f>'4I'!$AM$63</f>
        <v>CR4029IRP_FD_A</v>
      </c>
      <c r="D204" t="s">
        <v>15838</v>
      </c>
      <c r="E204" t="s">
        <v>4215</v>
      </c>
      <c r="F204" t="s">
        <v>17334</v>
      </c>
      <c r="G204">
        <v>3</v>
      </c>
      <c r="O204" t="str">
        <f t="shared" si="3"/>
        <v>Fin Derr (A) - Interest rate swap (sterling) - Index-linked to index-linked - Interest rate\n(weighted average for 12 months to 31 March 2021) - Payable</v>
      </c>
    </row>
    <row r="205" spans="1:15">
      <c r="A205" t="s">
        <v>17333</v>
      </c>
      <c r="B205" t="str">
        <f>'4I'!$AN$57</f>
        <v>CR2021IRR_FD_A</v>
      </c>
      <c r="D205" t="s">
        <v>15839</v>
      </c>
      <c r="E205" t="s">
        <v>4215</v>
      </c>
      <c r="F205" t="s">
        <v>17334</v>
      </c>
      <c r="G205">
        <v>3</v>
      </c>
      <c r="O205" t="str">
        <f t="shared" si="3"/>
        <v>Fin Derr (A) - Interest rate swap (sterling) - Floating to fixed rate: Interest rate\n(weighted average for 12 months to 31 March 2018) - Receivable</v>
      </c>
    </row>
    <row r="206" spans="1:15">
      <c r="A206" t="s">
        <v>17333</v>
      </c>
      <c r="B206" t="str">
        <f>'4I'!$AN$58</f>
        <v>CR2022IRR_FD_A</v>
      </c>
      <c r="D206" t="s">
        <v>15840</v>
      </c>
      <c r="E206" t="s">
        <v>4215</v>
      </c>
      <c r="F206" t="s">
        <v>17334</v>
      </c>
      <c r="G206">
        <v>3</v>
      </c>
      <c r="O206" t="str">
        <f t="shared" si="3"/>
        <v>Fin Derr (A) - Interest rate swap (sterling) - Floating from fixed rate: Interest rate\n(weighted average for 12 months to 31 March 2018) - Receivable</v>
      </c>
    </row>
    <row r="207" spans="1:15">
      <c r="A207" t="s">
        <v>17333</v>
      </c>
      <c r="B207" t="str">
        <f>'4I'!$AN$59</f>
        <v>CR2023IRR_FD_A</v>
      </c>
      <c r="D207" t="s">
        <v>15841</v>
      </c>
      <c r="E207" t="s">
        <v>4215</v>
      </c>
      <c r="F207" t="s">
        <v>17334</v>
      </c>
      <c r="G207">
        <v>3</v>
      </c>
      <c r="O207" t="str">
        <f t="shared" si="3"/>
        <v>Fin Derr (A) - Interest rate swap (sterling) - Floating to index linked: Interest rate\n(weighted average for 12 months to 31 March 2018) - Receivable</v>
      </c>
    </row>
    <row r="208" spans="1:15">
      <c r="A208" t="s">
        <v>17333</v>
      </c>
      <c r="B208" t="str">
        <f>'4I'!$AN$60</f>
        <v>CR2024IRR_FD_A</v>
      </c>
      <c r="D208" t="s">
        <v>15842</v>
      </c>
      <c r="E208" t="s">
        <v>4215</v>
      </c>
      <c r="F208" t="s">
        <v>17334</v>
      </c>
      <c r="G208">
        <v>3</v>
      </c>
      <c r="O208" t="str">
        <f t="shared" si="3"/>
        <v>Fin Derr (A) - Interest rate swap (sterling) - Floating from index linked: Interest rate\n(weighted average for 12 months to 31 March 2018) - Receivable</v>
      </c>
    </row>
    <row r="209" spans="1:15">
      <c r="A209" t="s">
        <v>17333</v>
      </c>
      <c r="B209" t="str">
        <f>'4I'!$AN$61</f>
        <v>CR2025IRR_FD_A</v>
      </c>
      <c r="D209" t="s">
        <v>15843</v>
      </c>
      <c r="E209" t="s">
        <v>4215</v>
      </c>
      <c r="F209" t="s">
        <v>17334</v>
      </c>
      <c r="G209">
        <v>3</v>
      </c>
      <c r="O209" t="str">
        <f t="shared" si="3"/>
        <v>Fin Derr (A) - Interest rate swap (sterling) - Fixed to index-linked: Interest rate\n(weighted average for 12 months to 31 March 2018) - Receivable</v>
      </c>
    </row>
    <row r="210" spans="1:15">
      <c r="A210" t="s">
        <v>17333</v>
      </c>
      <c r="B210" t="str">
        <f>'4I'!$AN$62</f>
        <v>CR2026IRR_FD_A</v>
      </c>
      <c r="D210" t="s">
        <v>15844</v>
      </c>
      <c r="E210" t="s">
        <v>4215</v>
      </c>
      <c r="F210" t="s">
        <v>17334</v>
      </c>
      <c r="G210">
        <v>3</v>
      </c>
      <c r="O210" t="str">
        <f t="shared" si="3"/>
        <v>Fin Derr (A) - Interest rate swap (sterling) - Fixed from index-linked: Interest rate\n(weighted average for 12 months to 31 March 2018) - Receivable</v>
      </c>
    </row>
    <row r="211" spans="1:15">
      <c r="A211" t="s">
        <v>17333</v>
      </c>
      <c r="B211" t="str">
        <f>'4I'!$AN$63</f>
        <v>CR4029IRR_FD_A</v>
      </c>
      <c r="D211" t="s">
        <v>15845</v>
      </c>
      <c r="E211" t="s">
        <v>4215</v>
      </c>
      <c r="F211" t="s">
        <v>17334</v>
      </c>
      <c r="G211">
        <v>3</v>
      </c>
      <c r="O211" t="str">
        <f t="shared" si="3"/>
        <v>Fin Derr (A) - Interest rate swap (sterling) - Index-linked to index-linked - Interest rate\n(weighted average for 12 months to 31 March 2021) - Receivable</v>
      </c>
    </row>
    <row r="212" spans="1:15">
      <c r="A212" t="s">
        <v>17333</v>
      </c>
      <c r="B212" t="str">
        <f>'4I'!$AF$102</f>
        <v>CR2021N0_FD_B</v>
      </c>
      <c r="D212" t="s">
        <v>15846</v>
      </c>
      <c r="E212" t="s">
        <v>4215</v>
      </c>
      <c r="F212" t="s">
        <v>17334</v>
      </c>
      <c r="G212">
        <v>3</v>
      </c>
      <c r="O212" t="str">
        <f t="shared" si="3"/>
        <v>Fin Derr (B) - Interest rate swap (sterling) - Floating to fixed rate - Nominal value by maturity (net) at 31 March - 0 to 1 years</v>
      </c>
    </row>
    <row r="213" spans="1:15">
      <c r="A213" t="s">
        <v>17333</v>
      </c>
      <c r="B213" t="str">
        <f>'4I'!$AF$103</f>
        <v>CR2022N0_FD_B</v>
      </c>
      <c r="D213" t="s">
        <v>15847</v>
      </c>
      <c r="E213" t="s">
        <v>4215</v>
      </c>
      <c r="F213" t="s">
        <v>17334</v>
      </c>
      <c r="G213">
        <v>3</v>
      </c>
      <c r="O213" t="str">
        <f t="shared" si="3"/>
        <v>Fin Derr (B) - Interest rate swap (sterling) - Floating from fixed rate - Nominal value by maturity (net) at 31 March - 0 to 1 years</v>
      </c>
    </row>
    <row r="214" spans="1:15">
      <c r="A214" t="s">
        <v>17333</v>
      </c>
      <c r="B214" t="str">
        <f>'4I'!$AF$104</f>
        <v>CR2023N0_FD_B</v>
      </c>
      <c r="D214" t="s">
        <v>15848</v>
      </c>
      <c r="E214" t="s">
        <v>4215</v>
      </c>
      <c r="F214" t="s">
        <v>17334</v>
      </c>
      <c r="G214">
        <v>3</v>
      </c>
      <c r="O214" t="str">
        <f t="shared" si="3"/>
        <v>Fin Derr (B) - Interest rate swap (sterling) - Floating to index linked - Nominal value by maturity (net) at 31 March - 0 to 1 years</v>
      </c>
    </row>
    <row r="215" spans="1:15">
      <c r="A215" t="s">
        <v>17333</v>
      </c>
      <c r="B215" t="str">
        <f>'4I'!$AF$105</f>
        <v>CR2024N0_FD_B</v>
      </c>
      <c r="D215" t="s">
        <v>15849</v>
      </c>
      <c r="E215" t="s">
        <v>4215</v>
      </c>
      <c r="F215" t="s">
        <v>17334</v>
      </c>
      <c r="G215">
        <v>3</v>
      </c>
      <c r="O215" t="str">
        <f t="shared" si="3"/>
        <v>Fin Derr (B) - Interest rate swap (sterling) - Floating from index linked - Nominal value by maturity (net) at 31 March - 0 to 1 years</v>
      </c>
    </row>
    <row r="216" spans="1:15">
      <c r="A216" t="s">
        <v>17333</v>
      </c>
      <c r="B216" t="str">
        <f>'4I'!$AF$106</f>
        <v>CR2025N0_FD_B</v>
      </c>
      <c r="D216" t="s">
        <v>15850</v>
      </c>
      <c r="E216" t="s">
        <v>4215</v>
      </c>
      <c r="F216" t="s">
        <v>17334</v>
      </c>
      <c r="G216">
        <v>3</v>
      </c>
      <c r="O216" t="str">
        <f t="shared" si="3"/>
        <v>Fin Derr (B) - Interest rate swap (sterling) - Fixed to index linked - Nominal value by maturity (net) at 31 March - 0 to 1 years</v>
      </c>
    </row>
    <row r="217" spans="1:15">
      <c r="A217" t="s">
        <v>17333</v>
      </c>
      <c r="B217" t="str">
        <f>'4I'!$AF$107</f>
        <v>CR2026N0_FD_B</v>
      </c>
      <c r="D217" t="s">
        <v>15851</v>
      </c>
      <c r="E217" t="s">
        <v>4215</v>
      </c>
      <c r="F217" t="s">
        <v>17334</v>
      </c>
      <c r="G217">
        <v>3</v>
      </c>
      <c r="O217" t="str">
        <f t="shared" si="3"/>
        <v>Fin Derr (B) - Interest rate swap (sterling) - Fixed from index linked - Nominal value by maturity (net) at 31 March - 0 to 1 years</v>
      </c>
    </row>
    <row r="218" spans="1:15">
      <c r="A218" t="s">
        <v>17333</v>
      </c>
      <c r="B218" t="str">
        <f>'4I'!$AF$108</f>
        <v>CR4029N0_FD_B</v>
      </c>
      <c r="D218" t="s">
        <v>15852</v>
      </c>
      <c r="E218" t="s">
        <v>4215</v>
      </c>
      <c r="F218" t="s">
        <v>17334</v>
      </c>
      <c r="G218">
        <v>3</v>
      </c>
      <c r="O218" t="str">
        <f t="shared" si="3"/>
        <v>Fin Derr (B) - Interest rate swap (sterling) - Index-linked to index-linked - Nominal value by maturity (net) at 31 March - 0 to 1 years</v>
      </c>
    </row>
    <row r="219" spans="1:15">
      <c r="A219" t="s">
        <v>17333</v>
      </c>
      <c r="B219" t="str">
        <f>'4I'!$AF$109</f>
        <v>CR2027N0_FD_B</v>
      </c>
      <c r="D219" t="s">
        <v>15853</v>
      </c>
      <c r="E219" t="s">
        <v>4215</v>
      </c>
      <c r="F219" t="s">
        <v>17334</v>
      </c>
      <c r="G219">
        <v>3</v>
      </c>
      <c r="O219" t="str">
        <f t="shared" si="3"/>
        <v>Fin Derr (B) - Interest rate swap (sterling) - Total - Nominal value by maturity (net) at 31 March - 0 to 1 years</v>
      </c>
    </row>
    <row r="220" spans="1:15">
      <c r="A220" t="s">
        <v>17333</v>
      </c>
      <c r="B220" t="str">
        <f>'4I'!$AF$112</f>
        <v>CR2005N0_FD_B</v>
      </c>
      <c r="D220" t="s">
        <v>15854</v>
      </c>
      <c r="E220" t="s">
        <v>4215</v>
      </c>
      <c r="F220" t="s">
        <v>17334</v>
      </c>
      <c r="G220">
        <v>3</v>
      </c>
      <c r="O220" t="str">
        <f t="shared" si="3"/>
        <v>Fin Derr (B) - Foreign Exchange - Cross currency swap USD - Nominal value by maturity (net) at 31 March - 0 to 1 years</v>
      </c>
    </row>
    <row r="221" spans="1:15">
      <c r="A221" t="s">
        <v>17333</v>
      </c>
      <c r="B221" t="str">
        <f>'4I'!$AF$113</f>
        <v>CR2006N0_FD_B</v>
      </c>
      <c r="D221" t="s">
        <v>15855</v>
      </c>
      <c r="E221" t="s">
        <v>4215</v>
      </c>
      <c r="F221" t="s">
        <v>17334</v>
      </c>
      <c r="G221">
        <v>3</v>
      </c>
      <c r="O221" t="str">
        <f t="shared" si="3"/>
        <v>Fin Derr (B) - Foreign Exchange - Cross currency swap EUR - Nominal value by maturity (net) at 31 March - 0 to 1 years</v>
      </c>
    </row>
    <row r="222" spans="1:15">
      <c r="A222" t="s">
        <v>17333</v>
      </c>
      <c r="B222" t="str">
        <f>'4I'!$AF$114</f>
        <v>CR2007N0_FD_B</v>
      </c>
      <c r="D222" t="s">
        <v>15856</v>
      </c>
      <c r="E222" t="s">
        <v>4215</v>
      </c>
      <c r="F222" t="s">
        <v>17334</v>
      </c>
      <c r="G222">
        <v>3</v>
      </c>
      <c r="O222" t="str">
        <f t="shared" si="3"/>
        <v>Fin Derr (B) - Foreign Exchange - Cross currency swap YEN - Nominal value by maturity (net) at 31 March - 0 to 1 years</v>
      </c>
    </row>
    <row r="223" spans="1:15">
      <c r="A223" t="s">
        <v>17333</v>
      </c>
      <c r="B223" t="str">
        <f>'4I'!$AF$115</f>
        <v>CR2008N0_FD_B</v>
      </c>
      <c r="D223" t="s">
        <v>15857</v>
      </c>
      <c r="E223" t="s">
        <v>4215</v>
      </c>
      <c r="F223" t="s">
        <v>17334</v>
      </c>
      <c r="G223">
        <v>3</v>
      </c>
      <c r="O223" t="str">
        <f t="shared" si="3"/>
        <v>Fin Derr (B) - Foreign Exchange - Cross currency swap Other - Nominal value by maturity (net) at 31 March - 0 to 1 years</v>
      </c>
    </row>
    <row r="224" spans="1:15">
      <c r="A224" t="s">
        <v>17333</v>
      </c>
      <c r="B224" t="str">
        <f>'4I'!$AF$116</f>
        <v>CR2009N0_FD_B</v>
      </c>
      <c r="D224" t="s">
        <v>15858</v>
      </c>
      <c r="E224" t="s">
        <v>4215</v>
      </c>
      <c r="F224" t="s">
        <v>17334</v>
      </c>
      <c r="G224">
        <v>3</v>
      </c>
      <c r="O224" t="str">
        <f t="shared" si="3"/>
        <v>Fin Derr (B) - Foreign Exchange - Total - Nominal value by maturity (net) at 31 March - 0 to 1 years</v>
      </c>
    </row>
    <row r="225" spans="1:15">
      <c r="A225" t="s">
        <v>17333</v>
      </c>
      <c r="B225" t="str">
        <f>'4I'!$AF$119</f>
        <v>CR20010N0_FD_B</v>
      </c>
      <c r="D225" t="s">
        <v>15859</v>
      </c>
      <c r="E225" t="s">
        <v>4215</v>
      </c>
      <c r="F225" t="s">
        <v>17334</v>
      </c>
      <c r="G225">
        <v>3</v>
      </c>
      <c r="O225" t="str">
        <f t="shared" si="3"/>
        <v>Fin Derr (B) - Currency Interest Rate - Currency Interest Rate swaps USD - Nominal value by maturity (net) at 31 March - 0 to 1 years</v>
      </c>
    </row>
    <row r="226" spans="1:15">
      <c r="A226" t="s">
        <v>17333</v>
      </c>
      <c r="B226" t="str">
        <f>'4I'!$AF$120</f>
        <v>CR20011N0_FD_B</v>
      </c>
      <c r="D226" t="s">
        <v>15860</v>
      </c>
      <c r="E226" t="s">
        <v>4215</v>
      </c>
      <c r="F226" t="s">
        <v>17334</v>
      </c>
      <c r="G226">
        <v>3</v>
      </c>
      <c r="O226" t="str">
        <f t="shared" si="3"/>
        <v>Fin Derr (B) - Currency Interest Rate - Currency Interest Rate swaps EUR - Nominal value by maturity (net) at 31 March - 0 to 1 years</v>
      </c>
    </row>
    <row r="227" spans="1:15">
      <c r="A227" t="s">
        <v>17333</v>
      </c>
      <c r="B227" t="str">
        <f>'4I'!$AF$121</f>
        <v>CR20012N0_FD_B</v>
      </c>
      <c r="D227" t="s">
        <v>15861</v>
      </c>
      <c r="E227" t="s">
        <v>4215</v>
      </c>
      <c r="F227" t="s">
        <v>17334</v>
      </c>
      <c r="G227">
        <v>3</v>
      </c>
      <c r="O227" t="str">
        <f t="shared" si="3"/>
        <v>Fin Derr (B) - Currency Interest Rate - Currency Interest Rate swaps YEN - Nominal value by maturity (net) at 31 March - 0 to 1 years</v>
      </c>
    </row>
    <row r="228" spans="1:15">
      <c r="A228" t="s">
        <v>17333</v>
      </c>
      <c r="B228" t="str">
        <f>'4I'!$AF$122</f>
        <v>CR20013N0_FD_B</v>
      </c>
      <c r="D228" t="s">
        <v>15862</v>
      </c>
      <c r="E228" t="s">
        <v>4215</v>
      </c>
      <c r="F228" t="s">
        <v>17334</v>
      </c>
      <c r="G228">
        <v>3</v>
      </c>
      <c r="O228" t="str">
        <f t="shared" si="3"/>
        <v>Fin Derr (B) - Currency Interest Rate - Currency Interest Rate swaps Other - Nominal value by maturity (net) at 31 March - 0 to 1 years</v>
      </c>
    </row>
    <row r="229" spans="1:15">
      <c r="A229" t="s">
        <v>17333</v>
      </c>
      <c r="B229" t="str">
        <f>'4I'!$AF$123</f>
        <v>CR20014N0_FD_B</v>
      </c>
      <c r="D229" t="s">
        <v>15863</v>
      </c>
      <c r="E229" t="s">
        <v>4215</v>
      </c>
      <c r="F229" t="s">
        <v>17334</v>
      </c>
      <c r="G229">
        <v>3</v>
      </c>
      <c r="O229" t="str">
        <f t="shared" si="3"/>
        <v>Fin Derr (B) - Currency Interest Rate - Total - Nominal value by maturity (net) at 31 March - 0 to 1 years</v>
      </c>
    </row>
    <row r="230" spans="1:15">
      <c r="A230" t="s">
        <v>17333</v>
      </c>
      <c r="B230" t="str">
        <f>'4I'!$AF$126</f>
        <v>CR20015N0_FD_B</v>
      </c>
      <c r="D230" t="s">
        <v>15864</v>
      </c>
      <c r="E230" t="s">
        <v>4215</v>
      </c>
      <c r="F230" t="s">
        <v>17334</v>
      </c>
      <c r="G230">
        <v>3</v>
      </c>
      <c r="O230" t="str">
        <f t="shared" si="3"/>
        <v>Fin Derr (B) - Forward currency contracts - Forward currency contracts USD - Nominal value by maturity (net) at 31 March - 0 to 1 years</v>
      </c>
    </row>
    <row r="231" spans="1:15">
      <c r="A231" t="s">
        <v>17333</v>
      </c>
      <c r="B231" t="str">
        <f>'4I'!$AF$127</f>
        <v>CR20016N0_FD_B</v>
      </c>
      <c r="D231" t="s">
        <v>15865</v>
      </c>
      <c r="E231" t="s">
        <v>4215</v>
      </c>
      <c r="F231" t="s">
        <v>17334</v>
      </c>
      <c r="G231">
        <v>3</v>
      </c>
      <c r="O231" t="str">
        <f t="shared" si="3"/>
        <v>Fin Derr (B) - Forward currency contracts - Forward currency contracts EUR - Nominal value by maturity (net) at 31 March - 0 to 1 years</v>
      </c>
    </row>
    <row r="232" spans="1:15">
      <c r="A232" t="s">
        <v>17333</v>
      </c>
      <c r="B232" t="str">
        <f>'4I'!$AF$128</f>
        <v>CR20017N0_FD_B</v>
      </c>
      <c r="D232" t="s">
        <v>15866</v>
      </c>
      <c r="E232" t="s">
        <v>4215</v>
      </c>
      <c r="F232" t="s">
        <v>17334</v>
      </c>
      <c r="G232">
        <v>3</v>
      </c>
      <c r="O232" t="str">
        <f t="shared" si="3"/>
        <v>Fin Derr (B) - Forward currency contracts - Forward currency contracts YEN - Nominal value by maturity (net) at 31 March - 0 to 1 years</v>
      </c>
    </row>
    <row r="233" spans="1:15">
      <c r="A233" t="s">
        <v>17333</v>
      </c>
      <c r="B233" t="str">
        <f>'4I'!$AF$129</f>
        <v>CR2029N0_FD_B</v>
      </c>
      <c r="D233" t="s">
        <v>15867</v>
      </c>
      <c r="E233" t="s">
        <v>4215</v>
      </c>
      <c r="F233" t="s">
        <v>17334</v>
      </c>
      <c r="G233">
        <v>3</v>
      </c>
      <c r="O233" t="str">
        <f t="shared" si="3"/>
        <v>Fin Derr (B) - Forward currency contracts - Forward currency contracts CAD - Nominal value by maturity (net) at 31 March - 0 to 1 years</v>
      </c>
    </row>
    <row r="234" spans="1:15">
      <c r="A234" t="s">
        <v>17333</v>
      </c>
      <c r="B234" t="str">
        <f>'4I'!$AF$130</f>
        <v>CR2030N0_FD_B</v>
      </c>
      <c r="D234" t="s">
        <v>15868</v>
      </c>
      <c r="E234" t="s">
        <v>4215</v>
      </c>
      <c r="F234" t="s">
        <v>17334</v>
      </c>
      <c r="G234">
        <v>3</v>
      </c>
      <c r="O234" t="str">
        <f t="shared" si="3"/>
        <v>Fin Derr (B) - Forward currency contracts - Forward currency contracts AUD - Nominal value by maturity (net) at 31 March - 0 to 1 years</v>
      </c>
    </row>
    <row r="235" spans="1:15">
      <c r="A235" t="s">
        <v>17333</v>
      </c>
      <c r="B235" t="str">
        <f>'4I'!$AF$131</f>
        <v>CR2031N0_FD_B</v>
      </c>
      <c r="D235" t="s">
        <v>15869</v>
      </c>
      <c r="E235" t="s">
        <v>4215</v>
      </c>
      <c r="F235" t="s">
        <v>17334</v>
      </c>
      <c r="G235">
        <v>3</v>
      </c>
      <c r="O235" t="str">
        <f t="shared" si="3"/>
        <v>Fin Derr (B) - Forward currency contracts - Forward currency contracts HKD - Nominal value by maturity (net) at 31 March - 0 to 1 years</v>
      </c>
    </row>
    <row r="236" spans="1:15">
      <c r="A236" t="s">
        <v>17333</v>
      </c>
      <c r="B236" t="str">
        <f>'4I'!$AF$132</f>
        <v>CR20018N0_FD_B</v>
      </c>
      <c r="D236" t="s">
        <v>15870</v>
      </c>
      <c r="E236" t="s">
        <v>4215</v>
      </c>
      <c r="F236" t="s">
        <v>17334</v>
      </c>
      <c r="G236">
        <v>3</v>
      </c>
      <c r="O236" t="str">
        <f t="shared" si="3"/>
        <v>Fin Derr (B) - Forward currency contracts - Forward currency contracts Other - Nominal value by maturity (net) at 31 March - 0 to 1 years</v>
      </c>
    </row>
    <row r="237" spans="1:15">
      <c r="A237" t="s">
        <v>17333</v>
      </c>
      <c r="B237" t="str">
        <f>'4I'!$AF$133</f>
        <v>CR20019N0_FD_B</v>
      </c>
      <c r="D237" t="s">
        <v>15871</v>
      </c>
      <c r="E237" t="s">
        <v>4215</v>
      </c>
      <c r="F237" t="s">
        <v>17334</v>
      </c>
      <c r="G237">
        <v>3</v>
      </c>
      <c r="O237" t="str">
        <f t="shared" si="3"/>
        <v>Fin Derr (B) - Forward currency contracts - Total - Nominal value by maturity (net) at 31 March - 0 to 1 years</v>
      </c>
    </row>
    <row r="238" spans="1:15">
      <c r="A238" t="s">
        <v>17333</v>
      </c>
      <c r="B238" t="str">
        <f>'4I'!$AF$136</f>
        <v>CR2028N0_FD_B</v>
      </c>
      <c r="D238" t="s">
        <v>15872</v>
      </c>
      <c r="E238" t="s">
        <v>4215</v>
      </c>
      <c r="F238" t="s">
        <v>17334</v>
      </c>
      <c r="G238">
        <v>3</v>
      </c>
      <c r="O238" t="str">
        <f t="shared" si="3"/>
        <v>Fin Derr (B) - Other financial derivatives - Nominal value by maturity (net) at 31 March - 0 to 1 years</v>
      </c>
    </row>
    <row r="239" spans="1:15">
      <c r="A239" t="s">
        <v>17333</v>
      </c>
      <c r="B239" t="str">
        <f>'4I'!$AF$138</f>
        <v>CR20020N0_FD_B</v>
      </c>
      <c r="D239" t="s">
        <v>15873</v>
      </c>
      <c r="E239" t="s">
        <v>4215</v>
      </c>
      <c r="F239" t="s">
        <v>17334</v>
      </c>
      <c r="G239">
        <v>3</v>
      </c>
      <c r="O239" t="str">
        <f t="shared" si="3"/>
        <v>Fin Derr (B) - Total financial derivatives - Nominal value by maturity (net) at 31 March - 0 to 1 years</v>
      </c>
    </row>
    <row r="240" spans="1:15">
      <c r="A240" t="s">
        <v>17333</v>
      </c>
      <c r="B240" t="str">
        <f>'4I'!$AG$102</f>
        <v>CR2021N1_FD_B</v>
      </c>
      <c r="D240" t="s">
        <v>15874</v>
      </c>
      <c r="E240" t="s">
        <v>4215</v>
      </c>
      <c r="F240" t="s">
        <v>17334</v>
      </c>
      <c r="G240">
        <v>3</v>
      </c>
      <c r="O240" t="str">
        <f t="shared" si="3"/>
        <v>Fin Derr (B) - Interest rate swap (sterling) - Floating to fixed rate: Nominal value by maturity (net) - 1 to 2 years</v>
      </c>
    </row>
    <row r="241" spans="1:15">
      <c r="A241" t="s">
        <v>17333</v>
      </c>
      <c r="B241" t="str">
        <f>'4I'!$AG$103</f>
        <v>CR2022N1_FD_B</v>
      </c>
      <c r="D241" t="s">
        <v>15875</v>
      </c>
      <c r="E241" t="s">
        <v>4215</v>
      </c>
      <c r="F241" t="s">
        <v>17334</v>
      </c>
      <c r="G241">
        <v>3</v>
      </c>
      <c r="O241" t="str">
        <f t="shared" si="3"/>
        <v>Fin Derr (B) - Interest rate swap (sterling) - Floating from fixed rate: Nominal value by maturity (net) - 1 to 2 years</v>
      </c>
    </row>
    <row r="242" spans="1:15">
      <c r="A242" t="s">
        <v>17333</v>
      </c>
      <c r="B242" t="str">
        <f>'4I'!$AG$104</f>
        <v>CR2023N1_FD_B</v>
      </c>
      <c r="D242" t="s">
        <v>15876</v>
      </c>
      <c r="E242" t="s">
        <v>4215</v>
      </c>
      <c r="F242" t="s">
        <v>17334</v>
      </c>
      <c r="G242">
        <v>3</v>
      </c>
      <c r="O242" t="str">
        <f t="shared" si="3"/>
        <v>Fin Derr (B) - Interest rate swap (sterling) - Floating to index linked: Nominal value by maturity (net) - 1 to 2 years</v>
      </c>
    </row>
    <row r="243" spans="1:15">
      <c r="A243" t="s">
        <v>17333</v>
      </c>
      <c r="B243" t="str">
        <f>'4I'!$AG$105</f>
        <v>CR2024N1_FD_B</v>
      </c>
      <c r="D243" t="s">
        <v>15877</v>
      </c>
      <c r="E243" t="s">
        <v>4215</v>
      </c>
      <c r="F243" t="s">
        <v>17334</v>
      </c>
      <c r="G243">
        <v>3</v>
      </c>
      <c r="O243" t="str">
        <f t="shared" si="3"/>
        <v>Fin Derr (B) - Interest rate swap (sterling) - Floating from index linked: Nominal value by maturity (net) - 1 to 2 years</v>
      </c>
    </row>
    <row r="244" spans="1:15">
      <c r="A244" t="s">
        <v>17333</v>
      </c>
      <c r="B244" t="str">
        <f>'4I'!$AG$106</f>
        <v>CR2025N1_FD_B</v>
      </c>
      <c r="D244" t="s">
        <v>15878</v>
      </c>
      <c r="E244" t="s">
        <v>4215</v>
      </c>
      <c r="F244" t="s">
        <v>17334</v>
      </c>
      <c r="G244">
        <v>3</v>
      </c>
      <c r="O244" t="str">
        <f t="shared" si="3"/>
        <v>Fin Derr (B) - Interest rate swap (sterling) - Fixed to index-linked: Nominal value by maturity (net) - 1 to 2 years</v>
      </c>
    </row>
    <row r="245" spans="1:15">
      <c r="A245" t="s">
        <v>17333</v>
      </c>
      <c r="B245" t="str">
        <f>'4I'!$AG$107</f>
        <v>CR2026N1_FD_B</v>
      </c>
      <c r="D245" t="s">
        <v>15879</v>
      </c>
      <c r="E245" t="s">
        <v>4215</v>
      </c>
      <c r="F245" t="s">
        <v>17334</v>
      </c>
      <c r="G245">
        <v>3</v>
      </c>
      <c r="O245" t="str">
        <f t="shared" si="3"/>
        <v>Fin Derr (B) - Interest rate swap (sterling) - Fixed from index-linked: Nominal value by maturity (net) - 1 to 2 years</v>
      </c>
    </row>
    <row r="246" spans="1:15">
      <c r="A246" t="s">
        <v>17333</v>
      </c>
      <c r="B246" t="str">
        <f>'4I'!$AG$108</f>
        <v>CR4029N1_FD_B</v>
      </c>
      <c r="D246" t="s">
        <v>15880</v>
      </c>
      <c r="E246" t="s">
        <v>4215</v>
      </c>
      <c r="F246" t="s">
        <v>17334</v>
      </c>
      <c r="G246">
        <v>3</v>
      </c>
      <c r="O246" t="str">
        <f t="shared" si="3"/>
        <v>Fin Derr (B) - Interest rate swap (sterling) - Index-linked to index-linked - Nominal value by maturity (net) at 31 March - 1 to 2 years</v>
      </c>
    </row>
    <row r="247" spans="1:15">
      <c r="A247" t="s">
        <v>17333</v>
      </c>
      <c r="B247" t="str">
        <f>'4I'!$AG$109</f>
        <v>CR2027N1_FD_B</v>
      </c>
      <c r="D247" t="s">
        <v>15881</v>
      </c>
      <c r="E247" t="s">
        <v>4215</v>
      </c>
      <c r="F247" t="s">
        <v>17334</v>
      </c>
      <c r="G247">
        <v>3</v>
      </c>
      <c r="O247" t="str">
        <f t="shared" si="3"/>
        <v>Fin Derr (B) - Interest rate swap (sterling) - Total: Nominal value by maturity (net) - 1 to 2 years</v>
      </c>
    </row>
    <row r="248" spans="1:15">
      <c r="A248" t="s">
        <v>17333</v>
      </c>
      <c r="B248" t="str">
        <f>'4I'!$AG$112</f>
        <v>CR2005N1_FD_B</v>
      </c>
      <c r="D248" t="s">
        <v>15882</v>
      </c>
      <c r="E248" t="s">
        <v>4215</v>
      </c>
      <c r="F248" t="s">
        <v>17334</v>
      </c>
      <c r="G248">
        <v>3</v>
      </c>
      <c r="O248" t="str">
        <f t="shared" si="3"/>
        <v>Fin Derr (B) - Foreign Exchange - Cross currency swap USD: Nominal value by maturity (net) - 1 to 2 years</v>
      </c>
    </row>
    <row r="249" spans="1:15">
      <c r="A249" t="s">
        <v>17333</v>
      </c>
      <c r="B249" t="str">
        <f>'4I'!$AG$113</f>
        <v>CR2006N1_FD_B</v>
      </c>
      <c r="D249" t="s">
        <v>15883</v>
      </c>
      <c r="E249" t="s">
        <v>4215</v>
      </c>
      <c r="F249" t="s">
        <v>17334</v>
      </c>
      <c r="G249">
        <v>3</v>
      </c>
      <c r="O249" t="str">
        <f t="shared" si="3"/>
        <v>Fin Derr (B) - Foreign Exchange - Cross currency swap EUR: Nominal value by maturity (net) - 1 to 2 years</v>
      </c>
    </row>
    <row r="250" spans="1:15">
      <c r="A250" t="s">
        <v>17333</v>
      </c>
      <c r="B250" t="str">
        <f>'4I'!$AG$114</f>
        <v>CR2007N1_FD_B</v>
      </c>
      <c r="D250" t="s">
        <v>15884</v>
      </c>
      <c r="E250" t="s">
        <v>4215</v>
      </c>
      <c r="F250" t="s">
        <v>17334</v>
      </c>
      <c r="G250">
        <v>3</v>
      </c>
      <c r="O250" t="str">
        <f t="shared" si="3"/>
        <v>Fin Derr (B) - Foreign Exchange - Cross currency swap YEN: Nominal value by maturity (net) - 1 to 2 years</v>
      </c>
    </row>
    <row r="251" spans="1:15">
      <c r="A251" t="s">
        <v>17333</v>
      </c>
      <c r="B251" t="str">
        <f>'4I'!$AG$115</f>
        <v>CR2008N1_FD_B</v>
      </c>
      <c r="D251" t="s">
        <v>15885</v>
      </c>
      <c r="E251" t="s">
        <v>4215</v>
      </c>
      <c r="F251" t="s">
        <v>17334</v>
      </c>
      <c r="G251">
        <v>3</v>
      </c>
      <c r="O251" t="str">
        <f t="shared" si="3"/>
        <v>Fin Derr (B) - Foreign Exchange - Cross currency swap Other: Nominal value by maturity (net) - 1 to 2 years</v>
      </c>
    </row>
    <row r="252" spans="1:15">
      <c r="A252" t="s">
        <v>17333</v>
      </c>
      <c r="B252" t="str">
        <f>'4I'!$AG$116</f>
        <v>CR2009N1_FD_B</v>
      </c>
      <c r="D252" t="s">
        <v>15886</v>
      </c>
      <c r="E252" t="s">
        <v>4215</v>
      </c>
      <c r="F252" t="s">
        <v>17334</v>
      </c>
      <c r="G252">
        <v>3</v>
      </c>
      <c r="O252" t="str">
        <f t="shared" si="3"/>
        <v>Fin Derr (B) - Foreign Exchange - Total: Nominal value by maturity (net) - 1 to 2 years</v>
      </c>
    </row>
    <row r="253" spans="1:15">
      <c r="A253" t="s">
        <v>17333</v>
      </c>
      <c r="B253" t="str">
        <f>'4I'!$AG$119</f>
        <v>CR20010N1_FD_B</v>
      </c>
      <c r="D253" t="s">
        <v>15887</v>
      </c>
      <c r="E253" t="s">
        <v>4215</v>
      </c>
      <c r="F253" t="s">
        <v>17334</v>
      </c>
      <c r="G253">
        <v>3</v>
      </c>
      <c r="O253" t="str">
        <f t="shared" si="3"/>
        <v>Fin Derr (B) - Currency interest rate  - Currency interest rate swaps USD: Nominal value by maturity (net) - 1 to 2 years</v>
      </c>
    </row>
    <row r="254" spans="1:15">
      <c r="A254" t="s">
        <v>17333</v>
      </c>
      <c r="B254" t="str">
        <f>'4I'!$AG$120</f>
        <v>CR20011N1_FD_B</v>
      </c>
      <c r="D254" t="s">
        <v>15888</v>
      </c>
      <c r="E254" t="s">
        <v>4215</v>
      </c>
      <c r="F254" t="s">
        <v>17334</v>
      </c>
      <c r="G254">
        <v>3</v>
      </c>
      <c r="O254" t="str">
        <f t="shared" si="3"/>
        <v>Fin Derr (B) - Currency interest rate  - Currency interest rate swaps EUR: Nominal value by maturity (net) - 1 to 2 years</v>
      </c>
    </row>
    <row r="255" spans="1:15">
      <c r="A255" t="s">
        <v>17333</v>
      </c>
      <c r="B255" t="str">
        <f>'4I'!$AG$121</f>
        <v>CR20012N1_FD_B</v>
      </c>
      <c r="D255" t="s">
        <v>15889</v>
      </c>
      <c r="E255" t="s">
        <v>4215</v>
      </c>
      <c r="F255" t="s">
        <v>17334</v>
      </c>
      <c r="G255">
        <v>3</v>
      </c>
      <c r="O255" t="str">
        <f t="shared" si="3"/>
        <v>Fin Derr (B) - Currency interest rate  - Currency interest rate swaps YEN: Nominal value by maturity (net) - 1 to 2 years</v>
      </c>
    </row>
    <row r="256" spans="1:15">
      <c r="A256" t="s">
        <v>17333</v>
      </c>
      <c r="B256" t="str">
        <f>'4I'!$AG$122</f>
        <v>CR20013N1_FD_B</v>
      </c>
      <c r="D256" t="s">
        <v>15890</v>
      </c>
      <c r="E256" t="s">
        <v>4215</v>
      </c>
      <c r="F256" t="s">
        <v>17334</v>
      </c>
      <c r="G256">
        <v>3</v>
      </c>
      <c r="O256" t="str">
        <f t="shared" si="3"/>
        <v>Fin Derr (B) - Currency interest rate  - Currency interest rate swaps Other: Nominal value by maturity (net) - 1 to 2 years</v>
      </c>
    </row>
    <row r="257" spans="1:15">
      <c r="A257" t="s">
        <v>17333</v>
      </c>
      <c r="B257" t="str">
        <f>'4I'!$AG$123</f>
        <v>CR20014N1_FD_B</v>
      </c>
      <c r="D257" t="s">
        <v>15891</v>
      </c>
      <c r="E257" t="s">
        <v>4215</v>
      </c>
      <c r="F257" t="s">
        <v>17334</v>
      </c>
      <c r="G257">
        <v>3</v>
      </c>
      <c r="O257" t="str">
        <f t="shared" si="3"/>
        <v>Fin Derr (B) - Currency interest rate  - Total: Nominal value by maturity (net) - 1 to 2 years</v>
      </c>
    </row>
    <row r="258" spans="1:15">
      <c r="A258" t="s">
        <v>17333</v>
      </c>
      <c r="B258" t="str">
        <f>'4I'!$AG$126</f>
        <v>CR20015N1_FD_B</v>
      </c>
      <c r="D258" t="s">
        <v>15892</v>
      </c>
      <c r="E258" t="s">
        <v>4215</v>
      </c>
      <c r="F258" t="s">
        <v>17334</v>
      </c>
      <c r="G258">
        <v>3</v>
      </c>
      <c r="O258" t="str">
        <f t="shared" ref="O258:O321" si="4">D258</f>
        <v>Fin Derr (B) - Forward currency contracts - Forward currency contracts USD: Nominal value by maturity (net) - 1 to 2 years</v>
      </c>
    </row>
    <row r="259" spans="1:15">
      <c r="A259" t="s">
        <v>17333</v>
      </c>
      <c r="B259" t="str">
        <f>'4I'!$AG$127</f>
        <v>CR20016N1_FD_B</v>
      </c>
      <c r="D259" t="s">
        <v>15893</v>
      </c>
      <c r="E259" t="s">
        <v>4215</v>
      </c>
      <c r="F259" t="s">
        <v>17334</v>
      </c>
      <c r="G259">
        <v>3</v>
      </c>
      <c r="O259" t="str">
        <f t="shared" si="4"/>
        <v>Fin Derr (B) - Forward currency contracts - Forward currency contracts EUR: Nominal value by maturity (net) - 1 to 2 years</v>
      </c>
    </row>
    <row r="260" spans="1:15">
      <c r="A260" t="s">
        <v>17333</v>
      </c>
      <c r="B260" t="str">
        <f>'4I'!$AG$128</f>
        <v>CR20017N1_FD_B</v>
      </c>
      <c r="D260" t="s">
        <v>15894</v>
      </c>
      <c r="E260" t="s">
        <v>4215</v>
      </c>
      <c r="F260" t="s">
        <v>17334</v>
      </c>
      <c r="G260">
        <v>3</v>
      </c>
      <c r="O260" t="str">
        <f t="shared" si="4"/>
        <v>Fin Derr (B) - Forward currency contracts - Forward currency contracts YEN: Nominal value by maturity (net) - 1 to 2 years</v>
      </c>
    </row>
    <row r="261" spans="1:15">
      <c r="A261" t="s">
        <v>17333</v>
      </c>
      <c r="B261" t="str">
        <f>'4I'!$AG$129</f>
        <v>CR2029N1_FD_B</v>
      </c>
      <c r="D261" t="s">
        <v>15895</v>
      </c>
      <c r="E261" t="s">
        <v>4215</v>
      </c>
      <c r="F261" t="s">
        <v>17334</v>
      </c>
      <c r="G261">
        <v>3</v>
      </c>
      <c r="O261" t="str">
        <f t="shared" si="4"/>
        <v>Fin Derr (B) - Forward currency contracts CAD - Nominal value by maturity (net) - 1 to 2 years</v>
      </c>
    </row>
    <row r="262" spans="1:15">
      <c r="A262" t="s">
        <v>17333</v>
      </c>
      <c r="B262" t="str">
        <f>'4I'!$AG$130</f>
        <v>CR2030N1_FD_B</v>
      </c>
      <c r="D262" t="s">
        <v>15896</v>
      </c>
      <c r="E262" t="s">
        <v>4215</v>
      </c>
      <c r="F262" t="s">
        <v>17334</v>
      </c>
      <c r="G262">
        <v>3</v>
      </c>
      <c r="O262" t="str">
        <f t="shared" si="4"/>
        <v>Fin Derr (B) - Forward currency contracts AUD - Nominal value by maturity (net) - 1 to 2 years</v>
      </c>
    </row>
    <row r="263" spans="1:15">
      <c r="A263" t="s">
        <v>17333</v>
      </c>
      <c r="B263" t="str">
        <f>'4I'!$AG$131</f>
        <v>CR2031N1_FD_B</v>
      </c>
      <c r="D263" t="s">
        <v>15897</v>
      </c>
      <c r="E263" t="s">
        <v>4215</v>
      </c>
      <c r="F263" t="s">
        <v>17334</v>
      </c>
      <c r="G263">
        <v>3</v>
      </c>
      <c r="O263" t="str">
        <f t="shared" si="4"/>
        <v>Fin Derr (B) - Forward currency contracts HKD - Nominal value by maturity (net) - 1 to 2 years</v>
      </c>
    </row>
    <row r="264" spans="1:15">
      <c r="A264" t="s">
        <v>17333</v>
      </c>
      <c r="B264" t="str">
        <f>'4I'!$AG$132</f>
        <v>CR20018N1_FD_B</v>
      </c>
      <c r="D264" t="s">
        <v>15898</v>
      </c>
      <c r="E264" t="s">
        <v>4215</v>
      </c>
      <c r="F264" t="s">
        <v>17334</v>
      </c>
      <c r="G264">
        <v>3</v>
      </c>
      <c r="O264" t="str">
        <f t="shared" si="4"/>
        <v>Fin Derr (B) - Forward currency contracts - Forward currency contracts Other: Nominal value by maturity (net) - 1 to 2 years</v>
      </c>
    </row>
    <row r="265" spans="1:15">
      <c r="A265" t="s">
        <v>17333</v>
      </c>
      <c r="B265" t="str">
        <f>'4I'!$AG$133</f>
        <v>CR20019N1_FD_B</v>
      </c>
      <c r="D265" t="s">
        <v>15899</v>
      </c>
      <c r="E265" t="s">
        <v>4215</v>
      </c>
      <c r="F265" t="s">
        <v>17334</v>
      </c>
      <c r="G265">
        <v>3</v>
      </c>
      <c r="O265" t="str">
        <f t="shared" si="4"/>
        <v>Fin Derr (B) - Forward currency contracts - Total: Nominal value by maturity (net) - 1 to 2 years</v>
      </c>
    </row>
    <row r="266" spans="1:15">
      <c r="A266" t="s">
        <v>17333</v>
      </c>
      <c r="B266" t="str">
        <f>'4I'!$AG$136</f>
        <v>CR2028N1_FD_B</v>
      </c>
      <c r="D266" t="s">
        <v>15900</v>
      </c>
      <c r="E266" t="s">
        <v>4215</v>
      </c>
      <c r="F266" t="s">
        <v>17334</v>
      </c>
      <c r="G266">
        <v>3</v>
      </c>
      <c r="O266" t="str">
        <f t="shared" si="4"/>
        <v>Fin Derr (B) - Other financial derivatives: Nominal value by maturity (net) - 1 to 2 years</v>
      </c>
    </row>
    <row r="267" spans="1:15">
      <c r="A267" t="s">
        <v>17333</v>
      </c>
      <c r="B267" t="str">
        <f>'4I'!$AG$138</f>
        <v>CR20020N1_FD_B</v>
      </c>
      <c r="D267" t="s">
        <v>15901</v>
      </c>
      <c r="E267" t="s">
        <v>4215</v>
      </c>
      <c r="F267" t="s">
        <v>17334</v>
      </c>
      <c r="G267">
        <v>3</v>
      </c>
      <c r="O267" t="str">
        <f t="shared" si="4"/>
        <v>Fin Derr (B) - Total financial derivatives: Nominal value by maturity (net) - 1 to 2 years</v>
      </c>
    </row>
    <row r="268" spans="1:15">
      <c r="A268" t="s">
        <v>17333</v>
      </c>
      <c r="B268" t="str">
        <f>'4I'!$AH$102</f>
        <v>CR2021N2_FD_B</v>
      </c>
      <c r="D268" t="s">
        <v>15902</v>
      </c>
      <c r="E268" t="s">
        <v>4215</v>
      </c>
      <c r="F268" t="s">
        <v>17334</v>
      </c>
      <c r="G268">
        <v>3</v>
      </c>
      <c r="O268" t="str">
        <f t="shared" si="4"/>
        <v>Fin Derr (B) - Interest rate swap (sterling) - Floating to fixed rate: Nominal value by maturity (net) - 2 to 5 years</v>
      </c>
    </row>
    <row r="269" spans="1:15">
      <c r="A269" t="s">
        <v>17333</v>
      </c>
      <c r="B269" t="str">
        <f>'4I'!$AH$103</f>
        <v>CR2022N2_FD_B</v>
      </c>
      <c r="D269" t="s">
        <v>15903</v>
      </c>
      <c r="E269" t="s">
        <v>4215</v>
      </c>
      <c r="F269" t="s">
        <v>17334</v>
      </c>
      <c r="G269">
        <v>3</v>
      </c>
      <c r="O269" t="str">
        <f t="shared" si="4"/>
        <v>Fin Derr (B) - Interest rate swap (sterling) - Floating from fixed rate: Nominal value by maturity (net) - 2 to 5 years</v>
      </c>
    </row>
    <row r="270" spans="1:15">
      <c r="A270" t="s">
        <v>17333</v>
      </c>
      <c r="B270" t="str">
        <f>'4I'!$AH$104</f>
        <v>CR2023N2_FD_B</v>
      </c>
      <c r="D270" t="s">
        <v>15904</v>
      </c>
      <c r="E270" t="s">
        <v>4215</v>
      </c>
      <c r="F270" t="s">
        <v>17334</v>
      </c>
      <c r="G270">
        <v>3</v>
      </c>
      <c r="O270" t="str">
        <f t="shared" si="4"/>
        <v>Fin Derr (B) - Interest rate swap (sterling) - Floating to index linked: Nominal value by maturity (net) - 2 to 5 years</v>
      </c>
    </row>
    <row r="271" spans="1:15">
      <c r="A271" t="s">
        <v>17333</v>
      </c>
      <c r="B271" t="str">
        <f>'4I'!$AH$105</f>
        <v>CR2024N2_FD_B</v>
      </c>
      <c r="D271" t="s">
        <v>15905</v>
      </c>
      <c r="E271" t="s">
        <v>4215</v>
      </c>
      <c r="F271" t="s">
        <v>17334</v>
      </c>
      <c r="G271">
        <v>3</v>
      </c>
      <c r="O271" t="str">
        <f t="shared" si="4"/>
        <v>Fin Derr (B) - Interest rate swap (sterling) - Floating from index linked: Nominal value by maturity (net) - 2 to 5 years</v>
      </c>
    </row>
    <row r="272" spans="1:15">
      <c r="A272" t="s">
        <v>17333</v>
      </c>
      <c r="B272" t="str">
        <f>'4I'!$AH$106</f>
        <v>CR2025N2_FD_B</v>
      </c>
      <c r="D272" t="s">
        <v>15906</v>
      </c>
      <c r="E272" t="s">
        <v>4215</v>
      </c>
      <c r="F272" t="s">
        <v>17334</v>
      </c>
      <c r="G272">
        <v>3</v>
      </c>
      <c r="O272" t="str">
        <f t="shared" si="4"/>
        <v>Fin Derr (B) - Interest rate swap (sterling) - Fixed to index-linked: Nominal value by maturity (net) - 2 to 5 years</v>
      </c>
    </row>
    <row r="273" spans="1:15">
      <c r="A273" t="s">
        <v>17333</v>
      </c>
      <c r="B273" t="str">
        <f>'4I'!$AH$107</f>
        <v>CR2026N2_FD_B</v>
      </c>
      <c r="D273" t="s">
        <v>15907</v>
      </c>
      <c r="E273" t="s">
        <v>4215</v>
      </c>
      <c r="F273" t="s">
        <v>17334</v>
      </c>
      <c r="G273">
        <v>3</v>
      </c>
      <c r="O273" t="str">
        <f t="shared" si="4"/>
        <v>Fin Derr (B) - Interest rate swap (sterling) - Fixed from index-linked: Nominal value by maturity (net) - 2 to 5 years</v>
      </c>
    </row>
    <row r="274" spans="1:15">
      <c r="A274" t="s">
        <v>17333</v>
      </c>
      <c r="B274" t="str">
        <f>'4I'!$AH$108</f>
        <v>CR4029N2_FD_B</v>
      </c>
      <c r="D274" t="s">
        <v>15908</v>
      </c>
      <c r="E274" t="s">
        <v>4215</v>
      </c>
      <c r="F274" t="s">
        <v>17334</v>
      </c>
      <c r="G274">
        <v>3</v>
      </c>
      <c r="O274" t="str">
        <f t="shared" si="4"/>
        <v>Fin Derr (B) - Interest rate swap (sterling) - Index-linked to index-linked - Nominal value by maturity (net) at 31 March - 2 to 5 years</v>
      </c>
    </row>
    <row r="275" spans="1:15">
      <c r="A275" t="s">
        <v>17333</v>
      </c>
      <c r="B275" t="str">
        <f>'4I'!$AH$109</f>
        <v>CR2027N2_FD_B</v>
      </c>
      <c r="D275" t="s">
        <v>15909</v>
      </c>
      <c r="E275" t="s">
        <v>4215</v>
      </c>
      <c r="F275" t="s">
        <v>17334</v>
      </c>
      <c r="G275">
        <v>3</v>
      </c>
      <c r="O275" t="str">
        <f t="shared" si="4"/>
        <v>Fin Derr (B) - Interest rate swap (sterling) - Total: Nominal value by maturity (net) - 2 to 5 years</v>
      </c>
    </row>
    <row r="276" spans="1:15">
      <c r="A276" t="s">
        <v>17333</v>
      </c>
      <c r="B276" t="str">
        <f>'4I'!$AH$112</f>
        <v>CR2005N2_FD_B</v>
      </c>
      <c r="D276" t="s">
        <v>15910</v>
      </c>
      <c r="E276" t="s">
        <v>4215</v>
      </c>
      <c r="F276" t="s">
        <v>17334</v>
      </c>
      <c r="G276">
        <v>3</v>
      </c>
      <c r="O276" t="str">
        <f t="shared" si="4"/>
        <v>Fin Derr (B) - Foreign Exchange - Cross currency swap USD: Nominal value by maturity (net) - 2 to 5 years</v>
      </c>
    </row>
    <row r="277" spans="1:15">
      <c r="A277" t="s">
        <v>17333</v>
      </c>
      <c r="B277" t="str">
        <f>'4I'!$AH$113</f>
        <v>CR2006N2_FD_B</v>
      </c>
      <c r="D277" t="s">
        <v>15911</v>
      </c>
      <c r="E277" t="s">
        <v>4215</v>
      </c>
      <c r="F277" t="s">
        <v>17334</v>
      </c>
      <c r="G277">
        <v>3</v>
      </c>
      <c r="O277" t="str">
        <f t="shared" si="4"/>
        <v>Fin Derr (B) - Foreign Exchange - Cross currency swap EUR: Nominal value by maturity (net) - 2 to 5 years</v>
      </c>
    </row>
    <row r="278" spans="1:15">
      <c r="A278" t="s">
        <v>17333</v>
      </c>
      <c r="B278" t="str">
        <f>'4I'!$AH$114</f>
        <v>CR2007N2_FD_B</v>
      </c>
      <c r="D278" t="s">
        <v>15912</v>
      </c>
      <c r="E278" t="s">
        <v>4215</v>
      </c>
      <c r="F278" t="s">
        <v>17334</v>
      </c>
      <c r="G278">
        <v>3</v>
      </c>
      <c r="O278" t="str">
        <f t="shared" si="4"/>
        <v>Fin Derr (B) - Foreign Exchange - Cross currency swap YEN: Nominal value by maturity (net) - 2 to 5 years</v>
      </c>
    </row>
    <row r="279" spans="1:15">
      <c r="A279" t="s">
        <v>17333</v>
      </c>
      <c r="B279" t="str">
        <f>'4I'!$AH$115</f>
        <v>CR2008N2_FD_B</v>
      </c>
      <c r="D279" t="s">
        <v>15913</v>
      </c>
      <c r="E279" t="s">
        <v>4215</v>
      </c>
      <c r="F279" t="s">
        <v>17334</v>
      </c>
      <c r="G279">
        <v>3</v>
      </c>
      <c r="O279" t="str">
        <f t="shared" si="4"/>
        <v>Fin Derr (B) - Foreign Exchange - Cross currency swap Other: Nominal value by maturity (net) - 2 to 5 years</v>
      </c>
    </row>
    <row r="280" spans="1:15">
      <c r="A280" t="s">
        <v>17333</v>
      </c>
      <c r="B280" t="str">
        <f>'4I'!$AH$116</f>
        <v>CR2009N2_FD_B</v>
      </c>
      <c r="D280" t="s">
        <v>15914</v>
      </c>
      <c r="E280" t="s">
        <v>4215</v>
      </c>
      <c r="F280" t="s">
        <v>17334</v>
      </c>
      <c r="G280">
        <v>3</v>
      </c>
      <c r="O280" t="str">
        <f t="shared" si="4"/>
        <v>Fin Derr (B) - Foreign Exchange - Total: Nominal value by maturity (net) - 2 to 5 years</v>
      </c>
    </row>
    <row r="281" spans="1:15">
      <c r="A281" t="s">
        <v>17333</v>
      </c>
      <c r="B281" t="str">
        <f>'4I'!$AH$119</f>
        <v>CR20010N2_FD_B</v>
      </c>
      <c r="D281" t="s">
        <v>15915</v>
      </c>
      <c r="E281" t="s">
        <v>4215</v>
      </c>
      <c r="F281" t="s">
        <v>17334</v>
      </c>
      <c r="G281">
        <v>3</v>
      </c>
      <c r="O281" t="str">
        <f t="shared" si="4"/>
        <v>Fin Derr (B) - Currency interest rate  - Currency interest rate swaps USD: Nominal value by maturity (net) - 2 to 5 years</v>
      </c>
    </row>
    <row r="282" spans="1:15">
      <c r="A282" t="s">
        <v>17333</v>
      </c>
      <c r="B282" t="str">
        <f>'4I'!$AH$120</f>
        <v>CR20011N2_FD_B</v>
      </c>
      <c r="D282" t="s">
        <v>15916</v>
      </c>
      <c r="E282" t="s">
        <v>4215</v>
      </c>
      <c r="F282" t="s">
        <v>17334</v>
      </c>
      <c r="G282">
        <v>3</v>
      </c>
      <c r="O282" t="str">
        <f t="shared" si="4"/>
        <v>Fin Derr (B) - Currency interest rate  - Currency interest rate swaps EUR: Nominal value by maturity (net) - 2 to 5 years</v>
      </c>
    </row>
    <row r="283" spans="1:15">
      <c r="A283" t="s">
        <v>17333</v>
      </c>
      <c r="B283" t="str">
        <f>'4I'!$AH$121</f>
        <v>CR20012N2_FD_B</v>
      </c>
      <c r="D283" t="s">
        <v>15917</v>
      </c>
      <c r="E283" t="s">
        <v>4215</v>
      </c>
      <c r="F283" t="s">
        <v>17334</v>
      </c>
      <c r="G283">
        <v>3</v>
      </c>
      <c r="O283" t="str">
        <f t="shared" si="4"/>
        <v>Fin Derr (B) - Currency interest rate  - Currency interest rate swaps YEN: Nominal value by maturity (net) - 2 to 5 years</v>
      </c>
    </row>
    <row r="284" spans="1:15">
      <c r="A284" t="s">
        <v>17333</v>
      </c>
      <c r="B284" t="str">
        <f>'4I'!$AH$122</f>
        <v>CR20013N2_FD_B</v>
      </c>
      <c r="D284" t="s">
        <v>15918</v>
      </c>
      <c r="E284" t="s">
        <v>4215</v>
      </c>
      <c r="F284" t="s">
        <v>17334</v>
      </c>
      <c r="G284">
        <v>3</v>
      </c>
      <c r="O284" t="str">
        <f t="shared" si="4"/>
        <v>Fin Derr (B) - Currency interest rate  - Currency interest rate swaps Other: Nominal value by maturity (net) - 2 to 5 years</v>
      </c>
    </row>
    <row r="285" spans="1:15">
      <c r="A285" t="s">
        <v>17333</v>
      </c>
      <c r="B285" t="str">
        <f>'4I'!$AH$123</f>
        <v>CR20014N2_FD_B</v>
      </c>
      <c r="D285" t="s">
        <v>15919</v>
      </c>
      <c r="E285" t="s">
        <v>4215</v>
      </c>
      <c r="F285" t="s">
        <v>17334</v>
      </c>
      <c r="G285">
        <v>3</v>
      </c>
      <c r="O285" t="str">
        <f t="shared" si="4"/>
        <v>Fin Derr (B) - Currency interest rate  - Total: Nominal value by maturity (net) - 2 to 5 years</v>
      </c>
    </row>
    <row r="286" spans="1:15">
      <c r="A286" t="s">
        <v>17333</v>
      </c>
      <c r="B286" t="str">
        <f>'4I'!$AH$126</f>
        <v>CR20015N2_FD_B</v>
      </c>
      <c r="D286" t="s">
        <v>15920</v>
      </c>
      <c r="E286" t="s">
        <v>4215</v>
      </c>
      <c r="F286" t="s">
        <v>17334</v>
      </c>
      <c r="G286">
        <v>3</v>
      </c>
      <c r="O286" t="str">
        <f t="shared" si="4"/>
        <v>Fin Derr (B) - Forward currency contracts - Forward currency contracts USD: Nominal value by maturity (net) - 2 to 5 years</v>
      </c>
    </row>
    <row r="287" spans="1:15">
      <c r="A287" t="s">
        <v>17333</v>
      </c>
      <c r="B287" t="str">
        <f>'4I'!$AH$127</f>
        <v>CR20016N2_FD_B</v>
      </c>
      <c r="D287" t="s">
        <v>15921</v>
      </c>
      <c r="E287" t="s">
        <v>4215</v>
      </c>
      <c r="F287" t="s">
        <v>17334</v>
      </c>
      <c r="G287">
        <v>3</v>
      </c>
      <c r="O287" t="str">
        <f t="shared" si="4"/>
        <v>Fin Derr (B) - Forward currency contracts - Forward currency contracts EUR: Nominal value by maturity (net) - 2 to 5 years</v>
      </c>
    </row>
    <row r="288" spans="1:15">
      <c r="A288" t="s">
        <v>17333</v>
      </c>
      <c r="B288" t="str">
        <f>'4I'!$AH$128</f>
        <v>CR20017N2_FD_B</v>
      </c>
      <c r="D288" t="s">
        <v>15922</v>
      </c>
      <c r="E288" t="s">
        <v>4215</v>
      </c>
      <c r="F288" t="s">
        <v>17334</v>
      </c>
      <c r="G288">
        <v>3</v>
      </c>
      <c r="O288" t="str">
        <f t="shared" si="4"/>
        <v>Fin Derr (B) - Forward currency contracts - Forward currency contracts YEN: Nominal value by maturity (net) - 2 to 5 years</v>
      </c>
    </row>
    <row r="289" spans="1:15">
      <c r="A289" t="s">
        <v>17333</v>
      </c>
      <c r="B289" t="str">
        <f>'4I'!$AH$129</f>
        <v>CR2029N2_FD_B</v>
      </c>
      <c r="D289" t="s">
        <v>15923</v>
      </c>
      <c r="E289" t="s">
        <v>4215</v>
      </c>
      <c r="F289" t="s">
        <v>17334</v>
      </c>
      <c r="G289">
        <v>3</v>
      </c>
      <c r="O289" t="str">
        <f t="shared" si="4"/>
        <v>Fin Derr (B) - Forward currency contracts CAD - Nominal value by maturity (net) - 2 to 5 years</v>
      </c>
    </row>
    <row r="290" spans="1:15">
      <c r="A290" t="s">
        <v>17333</v>
      </c>
      <c r="B290" t="str">
        <f>'4I'!$AH$130</f>
        <v>CR2030N2_FD_B</v>
      </c>
      <c r="D290" t="s">
        <v>15924</v>
      </c>
      <c r="E290" t="s">
        <v>4215</v>
      </c>
      <c r="F290" t="s">
        <v>17334</v>
      </c>
      <c r="G290">
        <v>3</v>
      </c>
      <c r="O290" t="str">
        <f t="shared" si="4"/>
        <v>Fin Derr (B) - Forward currency contracts AUD - Nominal value by maturity (net) - 2 to 5 years</v>
      </c>
    </row>
    <row r="291" spans="1:15">
      <c r="A291" t="s">
        <v>17333</v>
      </c>
      <c r="B291" t="str">
        <f>'4I'!$AH$131</f>
        <v>CR2031N2_FD_B</v>
      </c>
      <c r="D291" t="s">
        <v>15925</v>
      </c>
      <c r="E291" t="s">
        <v>4215</v>
      </c>
      <c r="F291" t="s">
        <v>17334</v>
      </c>
      <c r="G291">
        <v>3</v>
      </c>
      <c r="O291" t="str">
        <f t="shared" si="4"/>
        <v>Fin Derr (B) - Forward currency contracts HKD - Nominal value by maturity (net) - 2 to 5 years</v>
      </c>
    </row>
    <row r="292" spans="1:15">
      <c r="A292" t="s">
        <v>17333</v>
      </c>
      <c r="B292" t="str">
        <f>'4I'!$AH$132</f>
        <v>CR20018N2_FD_B</v>
      </c>
      <c r="D292" t="s">
        <v>15926</v>
      </c>
      <c r="E292" t="s">
        <v>4215</v>
      </c>
      <c r="F292" t="s">
        <v>17334</v>
      </c>
      <c r="G292">
        <v>3</v>
      </c>
      <c r="O292" t="str">
        <f t="shared" si="4"/>
        <v>Fin Derr (B) - Forward currency contracts - Forward currency contracts Other: Nominal value by maturity (net) - 2 to 5 years</v>
      </c>
    </row>
    <row r="293" spans="1:15">
      <c r="A293" t="s">
        <v>17333</v>
      </c>
      <c r="B293" t="str">
        <f>'4I'!$AH$133</f>
        <v>CR20019N2_FD_B</v>
      </c>
      <c r="D293" t="s">
        <v>15927</v>
      </c>
      <c r="E293" t="s">
        <v>4215</v>
      </c>
      <c r="F293" t="s">
        <v>17334</v>
      </c>
      <c r="G293">
        <v>3</v>
      </c>
      <c r="O293" t="str">
        <f t="shared" si="4"/>
        <v>Fin Derr (B) - Forward currency contracts - Total: Nominal value by maturity (net) - 2 to 5 years</v>
      </c>
    </row>
    <row r="294" spans="1:15">
      <c r="A294" t="s">
        <v>17333</v>
      </c>
      <c r="B294" t="str">
        <f>'4I'!$AH$136</f>
        <v>CR2028N2_FD_B</v>
      </c>
      <c r="D294" t="s">
        <v>15928</v>
      </c>
      <c r="E294" t="s">
        <v>4215</v>
      </c>
      <c r="F294" t="s">
        <v>17334</v>
      </c>
      <c r="G294">
        <v>3</v>
      </c>
      <c r="O294" t="str">
        <f t="shared" si="4"/>
        <v>Fin Derr (B) - Other financial derivatives: Nominal value by maturity (net) - 2 to 5 years</v>
      </c>
    </row>
    <row r="295" spans="1:15">
      <c r="A295" t="s">
        <v>17333</v>
      </c>
      <c r="B295" t="str">
        <f>'4I'!$AH$138</f>
        <v>CR20020N2_FD_B</v>
      </c>
      <c r="D295" t="s">
        <v>15929</v>
      </c>
      <c r="E295" t="s">
        <v>4215</v>
      </c>
      <c r="F295" t="s">
        <v>17334</v>
      </c>
      <c r="G295">
        <v>3</v>
      </c>
      <c r="O295" t="str">
        <f t="shared" si="4"/>
        <v>Fin Derr (B) - Total financial derivatives: Nominal value by maturity (net) - 2 to 5 years</v>
      </c>
    </row>
    <row r="296" spans="1:15">
      <c r="A296" t="s">
        <v>17333</v>
      </c>
      <c r="B296" t="str">
        <f>'4I'!$AI$102</f>
        <v>CR2021N5_FD_B</v>
      </c>
      <c r="D296" t="s">
        <v>15930</v>
      </c>
      <c r="E296" t="s">
        <v>4215</v>
      </c>
      <c r="F296" t="s">
        <v>17334</v>
      </c>
      <c r="G296">
        <v>3</v>
      </c>
      <c r="O296" t="str">
        <f t="shared" si="4"/>
        <v>Fin Derr (B) - Interest rate swap (sterling) - Floating to fixed rate: Nominal value by maturity (net) - Over 5 years</v>
      </c>
    </row>
    <row r="297" spans="1:15">
      <c r="A297" t="s">
        <v>17333</v>
      </c>
      <c r="B297" t="str">
        <f>'4I'!$AI$103</f>
        <v>CR2022N5_FD_B</v>
      </c>
      <c r="D297" t="s">
        <v>15931</v>
      </c>
      <c r="E297" t="s">
        <v>4215</v>
      </c>
      <c r="F297" t="s">
        <v>17334</v>
      </c>
      <c r="G297">
        <v>3</v>
      </c>
      <c r="O297" t="str">
        <f t="shared" si="4"/>
        <v>Fin Derr (B) - Interest rate swap (sterling) - Floating from fixed rate: Nominal value by maturity (net) - Over 5 years</v>
      </c>
    </row>
    <row r="298" spans="1:15">
      <c r="A298" t="s">
        <v>17333</v>
      </c>
      <c r="B298" t="str">
        <f>'4I'!$AI$104</f>
        <v>CR2023N5_FD_B</v>
      </c>
      <c r="D298" t="s">
        <v>15932</v>
      </c>
      <c r="E298" t="s">
        <v>4215</v>
      </c>
      <c r="F298" t="s">
        <v>17334</v>
      </c>
      <c r="G298">
        <v>3</v>
      </c>
      <c r="O298" t="str">
        <f t="shared" si="4"/>
        <v>Fin Derr (B) - Interest rate swap (sterling) - Floating to index linked: Nominal value by maturity (net) - Over 5 years</v>
      </c>
    </row>
    <row r="299" spans="1:15">
      <c r="A299" t="s">
        <v>17333</v>
      </c>
      <c r="B299" t="str">
        <f>'4I'!$AI$105</f>
        <v>CR2024N5_FD_B</v>
      </c>
      <c r="D299" t="s">
        <v>15933</v>
      </c>
      <c r="E299" t="s">
        <v>4215</v>
      </c>
      <c r="F299" t="s">
        <v>17334</v>
      </c>
      <c r="G299">
        <v>3</v>
      </c>
      <c r="O299" t="str">
        <f t="shared" si="4"/>
        <v>Fin Derr (B) - Interest rate swap (sterling) - Floating from index linked: Nominal value by maturity (net) - Over 5 years</v>
      </c>
    </row>
    <row r="300" spans="1:15">
      <c r="A300" t="s">
        <v>17333</v>
      </c>
      <c r="B300" t="str">
        <f>'4I'!$AI$106</f>
        <v>CR2025N5_FD_B</v>
      </c>
      <c r="D300" t="s">
        <v>15934</v>
      </c>
      <c r="E300" t="s">
        <v>4215</v>
      </c>
      <c r="F300" t="s">
        <v>17334</v>
      </c>
      <c r="G300">
        <v>3</v>
      </c>
      <c r="O300" t="str">
        <f t="shared" si="4"/>
        <v>Fin Derr (B) - Interest rate swap (sterling) - Fixed to index-linked: Nominal value by maturity (net) - Over 5 years</v>
      </c>
    </row>
    <row r="301" spans="1:15">
      <c r="A301" t="s">
        <v>17333</v>
      </c>
      <c r="B301" t="str">
        <f>'4I'!$AI$107</f>
        <v>CR2026N5_FD_B</v>
      </c>
      <c r="D301" t="s">
        <v>15935</v>
      </c>
      <c r="E301" t="s">
        <v>4215</v>
      </c>
      <c r="F301" t="s">
        <v>17334</v>
      </c>
      <c r="G301">
        <v>3</v>
      </c>
      <c r="O301" t="str">
        <f t="shared" si="4"/>
        <v>Fin Derr (B) - Interest rate swap (sterling) - Fixed from index-linked: Nominal value by maturity (net) - Over 5 years</v>
      </c>
    </row>
    <row r="302" spans="1:15">
      <c r="A302" t="s">
        <v>17333</v>
      </c>
      <c r="B302" t="str">
        <f>'4I'!$AI$108</f>
        <v>CR4029N5_FD_B</v>
      </c>
      <c r="D302" t="s">
        <v>15936</v>
      </c>
      <c r="E302" t="s">
        <v>4215</v>
      </c>
      <c r="F302" t="s">
        <v>17334</v>
      </c>
      <c r="G302">
        <v>3</v>
      </c>
      <c r="O302" t="str">
        <f t="shared" si="4"/>
        <v>Fin Derr (B) - Interest rate swap (sterling) - Index-linked to index-linked - Nominal value by maturity (net) at 31 March - over 5 years</v>
      </c>
    </row>
    <row r="303" spans="1:15">
      <c r="A303" t="s">
        <v>17333</v>
      </c>
      <c r="B303" t="str">
        <f>'4I'!$AI$109</f>
        <v>CR2027N5_FD_B</v>
      </c>
      <c r="D303" t="s">
        <v>15937</v>
      </c>
      <c r="E303" t="s">
        <v>4215</v>
      </c>
      <c r="F303" t="s">
        <v>17334</v>
      </c>
      <c r="G303">
        <v>3</v>
      </c>
      <c r="O303" t="str">
        <f t="shared" si="4"/>
        <v>Fin Derr (B) - Interest rate swap (sterling) - Total: Nominal value by maturity (net) - Over 5 years</v>
      </c>
    </row>
    <row r="304" spans="1:15">
      <c r="A304" t="s">
        <v>17333</v>
      </c>
      <c r="B304" t="str">
        <f>'4I'!$AI$112</f>
        <v>CR2005N5_FD_B</v>
      </c>
      <c r="D304" t="s">
        <v>15938</v>
      </c>
      <c r="E304" t="s">
        <v>4215</v>
      </c>
      <c r="F304" t="s">
        <v>17334</v>
      </c>
      <c r="G304">
        <v>3</v>
      </c>
      <c r="O304" t="str">
        <f t="shared" si="4"/>
        <v>Fin Derr (B) - Foreign Exchange - Cross currency swap USD: Nominal value by maturity (net) - Over 5 years</v>
      </c>
    </row>
    <row r="305" spans="1:15">
      <c r="A305" t="s">
        <v>17333</v>
      </c>
      <c r="B305" t="str">
        <f>'4I'!$AI$113</f>
        <v>CR2006N5_FD_B</v>
      </c>
      <c r="D305" t="s">
        <v>15939</v>
      </c>
      <c r="E305" t="s">
        <v>4215</v>
      </c>
      <c r="F305" t="s">
        <v>17334</v>
      </c>
      <c r="G305">
        <v>3</v>
      </c>
      <c r="O305" t="str">
        <f t="shared" si="4"/>
        <v>Fin Derr (B) - Foreign Exchange - Cross currency swap EUR: Nominal value by maturity (net) - Over 5 years</v>
      </c>
    </row>
    <row r="306" spans="1:15">
      <c r="A306" t="s">
        <v>17333</v>
      </c>
      <c r="B306" t="str">
        <f>'4I'!$AI$114</f>
        <v>CR2007N5_FD_B</v>
      </c>
      <c r="D306" t="s">
        <v>15940</v>
      </c>
      <c r="E306" t="s">
        <v>4215</v>
      </c>
      <c r="F306" t="s">
        <v>17334</v>
      </c>
      <c r="G306">
        <v>3</v>
      </c>
      <c r="O306" t="str">
        <f t="shared" si="4"/>
        <v>Fin Derr (B) - Foreign Exchange - Cross currency swap YEN: Nominal value by maturity (net) - Over 5 years</v>
      </c>
    </row>
    <row r="307" spans="1:15">
      <c r="A307" t="s">
        <v>17333</v>
      </c>
      <c r="B307" t="str">
        <f>'4I'!$AI$115</f>
        <v>CR2008N5_FD_B</v>
      </c>
      <c r="D307" t="s">
        <v>15941</v>
      </c>
      <c r="E307" t="s">
        <v>4215</v>
      </c>
      <c r="F307" t="s">
        <v>17334</v>
      </c>
      <c r="G307">
        <v>3</v>
      </c>
      <c r="O307" t="str">
        <f t="shared" si="4"/>
        <v>Fin Derr (B) - Foreign Exchange - Cross currency swap Other: Nominal value by maturity (net) - Over 5 years</v>
      </c>
    </row>
    <row r="308" spans="1:15">
      <c r="A308" t="s">
        <v>17333</v>
      </c>
      <c r="B308" t="str">
        <f>'4I'!$AI$116</f>
        <v>CR2009N5_FD_B</v>
      </c>
      <c r="D308" t="s">
        <v>15942</v>
      </c>
      <c r="E308" t="s">
        <v>4215</v>
      </c>
      <c r="F308" t="s">
        <v>17334</v>
      </c>
      <c r="G308">
        <v>3</v>
      </c>
      <c r="O308" t="str">
        <f t="shared" si="4"/>
        <v>Fin Derr (B) - Foreign Exchange - Total: Nominal value by maturity (net) - Over 5 years</v>
      </c>
    </row>
    <row r="309" spans="1:15">
      <c r="A309" t="s">
        <v>17333</v>
      </c>
      <c r="B309" t="str">
        <f>'4I'!$AI$119</f>
        <v>CR20010N5_FD_B</v>
      </c>
      <c r="D309" t="s">
        <v>15943</v>
      </c>
      <c r="E309" t="s">
        <v>4215</v>
      </c>
      <c r="F309" t="s">
        <v>17334</v>
      </c>
      <c r="G309">
        <v>3</v>
      </c>
      <c r="O309" t="str">
        <f t="shared" si="4"/>
        <v>Fin Derr (B) - Currency interest rate  - Currency interest rate swaps USD: Nominal value by maturity (net) - Over 5 years</v>
      </c>
    </row>
    <row r="310" spans="1:15">
      <c r="A310" t="s">
        <v>17333</v>
      </c>
      <c r="B310" t="str">
        <f>'4I'!$AI$120</f>
        <v>CR20011N5_FD_B</v>
      </c>
      <c r="D310" t="s">
        <v>15944</v>
      </c>
      <c r="E310" t="s">
        <v>4215</v>
      </c>
      <c r="F310" t="s">
        <v>17334</v>
      </c>
      <c r="G310">
        <v>3</v>
      </c>
      <c r="O310" t="str">
        <f t="shared" si="4"/>
        <v>Fin Derr (B) - Currency interest rate  - Currency interest rate swaps EUR: Nominal value by maturity (net) - Over 5 years</v>
      </c>
    </row>
    <row r="311" spans="1:15">
      <c r="A311" t="s">
        <v>17333</v>
      </c>
      <c r="B311" t="str">
        <f>'4I'!$AI$121</f>
        <v>CR20012N5_FD_B</v>
      </c>
      <c r="D311" t="s">
        <v>15945</v>
      </c>
      <c r="E311" t="s">
        <v>4215</v>
      </c>
      <c r="F311" t="s">
        <v>17334</v>
      </c>
      <c r="G311">
        <v>3</v>
      </c>
      <c r="O311" t="str">
        <f t="shared" si="4"/>
        <v>Fin Derr (B) - Currency interest rate  - Currency interest rate swaps YEN: Nominal value by maturity (net) - Over 5 years</v>
      </c>
    </row>
    <row r="312" spans="1:15">
      <c r="A312" t="s">
        <v>17333</v>
      </c>
      <c r="B312" t="str">
        <f>'4I'!$AI$122</f>
        <v>CR20013N5_FD_B</v>
      </c>
      <c r="D312" t="s">
        <v>15946</v>
      </c>
      <c r="E312" t="s">
        <v>4215</v>
      </c>
      <c r="F312" t="s">
        <v>17334</v>
      </c>
      <c r="G312">
        <v>3</v>
      </c>
      <c r="O312" t="str">
        <f t="shared" si="4"/>
        <v>Fin Derr (B) - Currency interest rate  - Currency interest rate swaps Other: Nominal value by maturity (net) - Over 5 years</v>
      </c>
    </row>
    <row r="313" spans="1:15">
      <c r="A313" t="s">
        <v>17333</v>
      </c>
      <c r="B313" t="str">
        <f>'4I'!$AI$123</f>
        <v>CR20014N5_FD_B</v>
      </c>
      <c r="D313" t="s">
        <v>15947</v>
      </c>
      <c r="E313" t="s">
        <v>4215</v>
      </c>
      <c r="F313" t="s">
        <v>17334</v>
      </c>
      <c r="G313">
        <v>3</v>
      </c>
      <c r="O313" t="str">
        <f t="shared" si="4"/>
        <v>Fin Derr (B) - Currency interest rate  - Total: Nominal value by maturity (net) - Over 5 years</v>
      </c>
    </row>
    <row r="314" spans="1:15">
      <c r="A314" t="s">
        <v>17333</v>
      </c>
      <c r="B314" t="str">
        <f>'4I'!$AI$126</f>
        <v>CR20015N5_FD_B</v>
      </c>
      <c r="D314" t="s">
        <v>15948</v>
      </c>
      <c r="E314" t="s">
        <v>4215</v>
      </c>
      <c r="F314" t="s">
        <v>17334</v>
      </c>
      <c r="G314">
        <v>3</v>
      </c>
      <c r="O314" t="str">
        <f t="shared" si="4"/>
        <v>Fin Derr (B) - Forward currency contracts - Forward currency contracts USD: Nominal value by maturity (net) - Over 5 years</v>
      </c>
    </row>
    <row r="315" spans="1:15">
      <c r="A315" t="s">
        <v>17333</v>
      </c>
      <c r="B315" t="str">
        <f>'4I'!$AI$127</f>
        <v>CR20016N5_FD_B</v>
      </c>
      <c r="D315" t="s">
        <v>15949</v>
      </c>
      <c r="E315" t="s">
        <v>4215</v>
      </c>
      <c r="F315" t="s">
        <v>17334</v>
      </c>
      <c r="G315">
        <v>3</v>
      </c>
      <c r="O315" t="str">
        <f t="shared" si="4"/>
        <v>Fin Derr (B) - Forward currency contracts - Forward currency contracts EUR: Nominal value by maturity (net) - Over 5 years</v>
      </c>
    </row>
    <row r="316" spans="1:15">
      <c r="A316" t="s">
        <v>17333</v>
      </c>
      <c r="B316" t="str">
        <f>'4I'!$AI$128</f>
        <v>CR20017N5_FD_B</v>
      </c>
      <c r="D316" t="s">
        <v>15950</v>
      </c>
      <c r="E316" t="s">
        <v>4215</v>
      </c>
      <c r="F316" t="s">
        <v>17334</v>
      </c>
      <c r="G316">
        <v>3</v>
      </c>
      <c r="O316" t="str">
        <f t="shared" si="4"/>
        <v>Fin Derr (B) - Forward currency contracts - Forward currency contracts YEN: Nominal value by maturity (net) - Over 5 years</v>
      </c>
    </row>
    <row r="317" spans="1:15">
      <c r="A317" t="s">
        <v>17333</v>
      </c>
      <c r="B317" t="str">
        <f>'4I'!$AI$129</f>
        <v>CR2029N5_FD_B</v>
      </c>
      <c r="D317" t="s">
        <v>15951</v>
      </c>
      <c r="E317" t="s">
        <v>4215</v>
      </c>
      <c r="F317" t="s">
        <v>17334</v>
      </c>
      <c r="G317">
        <v>3</v>
      </c>
      <c r="O317" t="str">
        <f t="shared" si="4"/>
        <v>Fin Derr (B) - Forward currency contracts CAD - Nominal value by maturity (net) - Over 5 years</v>
      </c>
    </row>
    <row r="318" spans="1:15">
      <c r="A318" t="s">
        <v>17333</v>
      </c>
      <c r="B318" t="str">
        <f>'4I'!$AI$130</f>
        <v>CR2030N5_FD_B</v>
      </c>
      <c r="D318" t="s">
        <v>15952</v>
      </c>
      <c r="E318" t="s">
        <v>4215</v>
      </c>
      <c r="F318" t="s">
        <v>17334</v>
      </c>
      <c r="G318">
        <v>3</v>
      </c>
      <c r="O318" t="str">
        <f t="shared" si="4"/>
        <v>Fin Derr (B) - Forward currency contracts AUD - Nominal value by maturity (net) - Over 5 years</v>
      </c>
    </row>
    <row r="319" spans="1:15">
      <c r="A319" t="s">
        <v>17333</v>
      </c>
      <c r="B319" t="str">
        <f>'4I'!$AI$131</f>
        <v>CR2031N5_FD_B</v>
      </c>
      <c r="D319" t="s">
        <v>15953</v>
      </c>
      <c r="E319" t="s">
        <v>4215</v>
      </c>
      <c r="F319" t="s">
        <v>17334</v>
      </c>
      <c r="G319">
        <v>3</v>
      </c>
      <c r="O319" t="str">
        <f t="shared" si="4"/>
        <v>Fin Derr (B) - Forward currency contracts HKD - Nominal value by maturity (net) - Over 5 years</v>
      </c>
    </row>
    <row r="320" spans="1:15">
      <c r="A320" t="s">
        <v>17333</v>
      </c>
      <c r="B320" t="str">
        <f>'4I'!$AI$132</f>
        <v>CR20018N5_FD_B</v>
      </c>
      <c r="D320" t="s">
        <v>15954</v>
      </c>
      <c r="E320" t="s">
        <v>4215</v>
      </c>
      <c r="F320" t="s">
        <v>17334</v>
      </c>
      <c r="G320">
        <v>3</v>
      </c>
      <c r="O320" t="str">
        <f t="shared" si="4"/>
        <v>Fin Derr (B) - Forward currency contracts - Forward currency contracts Other: Nominal value by maturity (net) - Over 5 years</v>
      </c>
    </row>
    <row r="321" spans="1:15">
      <c r="A321" t="s">
        <v>17333</v>
      </c>
      <c r="B321" t="str">
        <f>'4I'!$AI$133</f>
        <v>CR20019N5_FD_B</v>
      </c>
      <c r="D321" t="s">
        <v>15955</v>
      </c>
      <c r="E321" t="s">
        <v>4215</v>
      </c>
      <c r="F321" t="s">
        <v>17334</v>
      </c>
      <c r="G321">
        <v>3</v>
      </c>
      <c r="O321" t="str">
        <f t="shared" si="4"/>
        <v>Fin Derr (B) - Forward currency contracts - Total: Nominal value by maturity (net) - Over 5 years</v>
      </c>
    </row>
    <row r="322" spans="1:15">
      <c r="A322" t="s">
        <v>17333</v>
      </c>
      <c r="B322" t="str">
        <f>'4I'!$AI$136</f>
        <v>CR2028N5_FD_B</v>
      </c>
      <c r="D322" t="s">
        <v>15956</v>
      </c>
      <c r="E322" t="s">
        <v>4215</v>
      </c>
      <c r="F322" t="s">
        <v>17334</v>
      </c>
      <c r="G322">
        <v>3</v>
      </c>
      <c r="O322" t="str">
        <f t="shared" ref="O322:O385" si="5">D322</f>
        <v>Fin Derr (B) - Other financial derivatives: Nominal value by maturity (net) - Over 5 years</v>
      </c>
    </row>
    <row r="323" spans="1:15">
      <c r="A323" t="s">
        <v>17333</v>
      </c>
      <c r="B323" t="str">
        <f>'4I'!$AI$138</f>
        <v>CR20020N5_FD_B</v>
      </c>
      <c r="D323" t="s">
        <v>15957</v>
      </c>
      <c r="E323" t="s">
        <v>4215</v>
      </c>
      <c r="F323" t="s">
        <v>17334</v>
      </c>
      <c r="G323">
        <v>3</v>
      </c>
      <c r="O323" t="str">
        <f t="shared" si="5"/>
        <v>Fin Derr (B) - Total financial derivatives: Nominal value by maturity (net) - Over 5 years</v>
      </c>
    </row>
    <row r="324" spans="1:15">
      <c r="A324" t="s">
        <v>17333</v>
      </c>
      <c r="B324" t="str">
        <f>'4I'!$AJ$102</f>
        <v>CR2021N6_FD_B</v>
      </c>
      <c r="D324" t="s">
        <v>15958</v>
      </c>
      <c r="E324" t="s">
        <v>4215</v>
      </c>
      <c r="F324" t="s">
        <v>17334</v>
      </c>
      <c r="G324">
        <v>3</v>
      </c>
      <c r="O324" t="str">
        <f t="shared" si="5"/>
        <v>Fin Derr (B) - Interest rate swap (sterling) - Floating to fixed rate: Total value at 31 March 2018 - Nominal value (net)</v>
      </c>
    </row>
    <row r="325" spans="1:15">
      <c r="A325" t="s">
        <v>17333</v>
      </c>
      <c r="B325" t="str">
        <f>'4I'!$AJ$103</f>
        <v>CR2022N6_FD_B</v>
      </c>
      <c r="D325" t="s">
        <v>15959</v>
      </c>
      <c r="E325" t="s">
        <v>4215</v>
      </c>
      <c r="F325" t="s">
        <v>17334</v>
      </c>
      <c r="G325">
        <v>3</v>
      </c>
      <c r="O325" t="str">
        <f t="shared" si="5"/>
        <v>Fin Derr (B) - Interest rate swap (sterling) - Floating from fixed rate: Total value at 31 March 2018 - Nominal value (net)</v>
      </c>
    </row>
    <row r="326" spans="1:15">
      <c r="A326" t="s">
        <v>17333</v>
      </c>
      <c r="B326" t="str">
        <f>'4I'!$AJ$104</f>
        <v>CR2023N6_FD_B</v>
      </c>
      <c r="D326" t="s">
        <v>15960</v>
      </c>
      <c r="E326" t="s">
        <v>4215</v>
      </c>
      <c r="F326" t="s">
        <v>17334</v>
      </c>
      <c r="G326">
        <v>3</v>
      </c>
      <c r="O326" t="str">
        <f t="shared" si="5"/>
        <v>Fin Derr (B) - Interest rate swap (sterling) - Floating to index linked: Total value at 31 March 2018 - Nominal value (net)</v>
      </c>
    </row>
    <row r="327" spans="1:15">
      <c r="A327" t="s">
        <v>17333</v>
      </c>
      <c r="B327" t="str">
        <f>'4I'!$AJ$105</f>
        <v>CR2024N6_FD_B</v>
      </c>
      <c r="D327" t="s">
        <v>15961</v>
      </c>
      <c r="E327" t="s">
        <v>4215</v>
      </c>
      <c r="F327" t="s">
        <v>17334</v>
      </c>
      <c r="G327">
        <v>3</v>
      </c>
      <c r="O327" t="str">
        <f t="shared" si="5"/>
        <v>Fin Derr (B) - Interest rate swap (sterling) - Floating from index linked: Total value at 31 March 2018 - Nominal value (net)</v>
      </c>
    </row>
    <row r="328" spans="1:15">
      <c r="A328" t="s">
        <v>17333</v>
      </c>
      <c r="B328" t="str">
        <f>'4I'!$AJ$106</f>
        <v>CR2025N6_FD_B</v>
      </c>
      <c r="D328" t="s">
        <v>15962</v>
      </c>
      <c r="E328" t="s">
        <v>4215</v>
      </c>
      <c r="F328" t="s">
        <v>17334</v>
      </c>
      <c r="G328">
        <v>3</v>
      </c>
      <c r="O328" t="str">
        <f t="shared" si="5"/>
        <v>Fin Derr (B) - Interest rate swap (sterling) - Fixed to index-linked: Total value at 31 March 2018 - Nominal value (net)</v>
      </c>
    </row>
    <row r="329" spans="1:15">
      <c r="A329" t="s">
        <v>17333</v>
      </c>
      <c r="B329" t="str">
        <f>'4I'!$AJ$107</f>
        <v>CR2026N6_FD_B</v>
      </c>
      <c r="D329" t="s">
        <v>15963</v>
      </c>
      <c r="E329" t="s">
        <v>4215</v>
      </c>
      <c r="F329" t="s">
        <v>17334</v>
      </c>
      <c r="G329">
        <v>3</v>
      </c>
      <c r="O329" t="str">
        <f t="shared" si="5"/>
        <v>Fin Derr (B) - Interest rate swap (sterling) - Fixed from index-linked: Total value at 31 March 2018 - Nominal value (net)</v>
      </c>
    </row>
    <row r="330" spans="1:15">
      <c r="A330" t="s">
        <v>17333</v>
      </c>
      <c r="B330" t="str">
        <f>'4I'!$AJ$108</f>
        <v>CR4029N6_FD_B</v>
      </c>
      <c r="D330" t="s">
        <v>15964</v>
      </c>
      <c r="E330" t="s">
        <v>4215</v>
      </c>
      <c r="F330" t="s">
        <v>17334</v>
      </c>
      <c r="G330">
        <v>3</v>
      </c>
      <c r="O330" t="str">
        <f t="shared" si="5"/>
        <v>Fin Derr (B) - Interest rate swap (sterling) - Index-linked to index-linked - Total value at 31 March - Nominal value (net)</v>
      </c>
    </row>
    <row r="331" spans="1:15">
      <c r="A331" t="s">
        <v>17333</v>
      </c>
      <c r="B331" t="str">
        <f>'4I'!$AJ$109</f>
        <v>CR2027N6_FD_B</v>
      </c>
      <c r="D331" t="s">
        <v>15965</v>
      </c>
      <c r="E331" t="s">
        <v>4215</v>
      </c>
      <c r="F331" t="s">
        <v>17334</v>
      </c>
      <c r="G331">
        <v>3</v>
      </c>
      <c r="O331" t="str">
        <f t="shared" si="5"/>
        <v>Fin Derr (B) - Interest rate swap (sterling) - Total: Total value at 31 March 2018 - Nominal value (net)</v>
      </c>
    </row>
    <row r="332" spans="1:15">
      <c r="A332" t="s">
        <v>17333</v>
      </c>
      <c r="B332" t="str">
        <f>'4I'!$AJ$112</f>
        <v>CR2005N6_FD_B</v>
      </c>
      <c r="D332" t="s">
        <v>15966</v>
      </c>
      <c r="E332" t="s">
        <v>4215</v>
      </c>
      <c r="F332" t="s">
        <v>17334</v>
      </c>
      <c r="G332">
        <v>3</v>
      </c>
      <c r="O332" t="str">
        <f t="shared" si="5"/>
        <v>Fin Derr (B) - Foreign Exchange - Cross currency swap USD: Total value at 31 March 2018 - Nominal value (net)</v>
      </c>
    </row>
    <row r="333" spans="1:15">
      <c r="A333" t="s">
        <v>17333</v>
      </c>
      <c r="B333" t="str">
        <f>'4I'!$AJ$113</f>
        <v>CR2006N6_FD_B</v>
      </c>
      <c r="D333" t="s">
        <v>15967</v>
      </c>
      <c r="E333" t="s">
        <v>4215</v>
      </c>
      <c r="F333" t="s">
        <v>17334</v>
      </c>
      <c r="G333">
        <v>3</v>
      </c>
      <c r="O333" t="str">
        <f t="shared" si="5"/>
        <v>Fin Derr (B) - Foreign Exchange - Cross currency swap EUR: Total value at 31 March 2018 - Nominal value (net)</v>
      </c>
    </row>
    <row r="334" spans="1:15">
      <c r="A334" t="s">
        <v>17333</v>
      </c>
      <c r="B334" t="str">
        <f>'4I'!$AJ$114</f>
        <v>CR2007N6_FD_B</v>
      </c>
      <c r="D334" t="s">
        <v>15968</v>
      </c>
      <c r="E334" t="s">
        <v>4215</v>
      </c>
      <c r="F334" t="s">
        <v>17334</v>
      </c>
      <c r="G334">
        <v>3</v>
      </c>
      <c r="O334" t="str">
        <f t="shared" si="5"/>
        <v>Fin Derr (B) - Foreign Exchange - Cross currency swap YEN: Total value at 31 March 2018 - Nominal value (net)</v>
      </c>
    </row>
    <row r="335" spans="1:15">
      <c r="A335" t="s">
        <v>17333</v>
      </c>
      <c r="B335" t="str">
        <f>'4I'!$AJ$115</f>
        <v>CR2008N6_FD_B</v>
      </c>
      <c r="D335" t="s">
        <v>15969</v>
      </c>
      <c r="E335" t="s">
        <v>4215</v>
      </c>
      <c r="F335" t="s">
        <v>17334</v>
      </c>
      <c r="G335">
        <v>3</v>
      </c>
      <c r="O335" t="str">
        <f t="shared" si="5"/>
        <v>Fin Derr (B) - Foreign Exchange - Cross currency swap Other: Total value at 31 March 2018 - Nominal value (net)</v>
      </c>
    </row>
    <row r="336" spans="1:15">
      <c r="A336" t="s">
        <v>17333</v>
      </c>
      <c r="B336" t="str">
        <f>'4I'!$AJ$116</f>
        <v>CR2009N6_FD_B</v>
      </c>
      <c r="D336" t="s">
        <v>15970</v>
      </c>
      <c r="E336" t="s">
        <v>4215</v>
      </c>
      <c r="F336" t="s">
        <v>17334</v>
      </c>
      <c r="G336">
        <v>3</v>
      </c>
      <c r="O336" t="str">
        <f t="shared" si="5"/>
        <v>Fin Derr (B) - Foreign Exchange - Total: Total value at 31 March 2018 - Nominal value (net)</v>
      </c>
    </row>
    <row r="337" spans="1:15">
      <c r="A337" t="s">
        <v>17333</v>
      </c>
      <c r="B337" t="str">
        <f>'4I'!$AJ$119</f>
        <v>CR20010N6_FD_B</v>
      </c>
      <c r="D337" t="s">
        <v>15971</v>
      </c>
      <c r="E337" t="s">
        <v>4215</v>
      </c>
      <c r="F337" t="s">
        <v>17334</v>
      </c>
      <c r="G337">
        <v>3</v>
      </c>
      <c r="O337" t="str">
        <f t="shared" si="5"/>
        <v>Fin Derr (B) - Currency interest rate  - Currency interest rate swaps USD: Total value at 31 March 2018 - Nominal value (net)</v>
      </c>
    </row>
    <row r="338" spans="1:15">
      <c r="A338" t="s">
        <v>17333</v>
      </c>
      <c r="B338" t="str">
        <f>'4I'!$AJ$120</f>
        <v>CR20011N6_FD_B</v>
      </c>
      <c r="D338" t="s">
        <v>15972</v>
      </c>
      <c r="E338" t="s">
        <v>4215</v>
      </c>
      <c r="F338" t="s">
        <v>17334</v>
      </c>
      <c r="G338">
        <v>3</v>
      </c>
      <c r="O338" t="str">
        <f t="shared" si="5"/>
        <v>Fin Derr (B) - Currency interest rate  - Currency interest rate swaps EUR: Total value at 31 March 2018 - Nominal value (net)</v>
      </c>
    </row>
    <row r="339" spans="1:15">
      <c r="A339" t="s">
        <v>17333</v>
      </c>
      <c r="B339" t="str">
        <f>'4I'!$AJ$121</f>
        <v>CR20012N6_FD_B</v>
      </c>
      <c r="D339" t="s">
        <v>15973</v>
      </c>
      <c r="E339" t="s">
        <v>4215</v>
      </c>
      <c r="F339" t="s">
        <v>17334</v>
      </c>
      <c r="G339">
        <v>3</v>
      </c>
      <c r="O339" t="str">
        <f t="shared" si="5"/>
        <v>Fin Derr (B) - Currency interest rate  - Currency interest rate swaps YEN: Total value at 31 March 2018 - Nominal value (net)</v>
      </c>
    </row>
    <row r="340" spans="1:15">
      <c r="A340" t="s">
        <v>17333</v>
      </c>
      <c r="B340" t="str">
        <f>'4I'!$AJ$122</f>
        <v>CR20013N6_FD_B</v>
      </c>
      <c r="D340" t="s">
        <v>15974</v>
      </c>
      <c r="E340" t="s">
        <v>4215</v>
      </c>
      <c r="F340" t="s">
        <v>17334</v>
      </c>
      <c r="G340">
        <v>3</v>
      </c>
      <c r="O340" t="str">
        <f t="shared" si="5"/>
        <v>Fin Derr (B) - Currency interest rate  - Currency interest rate swaps Other: Total value at 31 March 2018 - Nominal value (net)</v>
      </c>
    </row>
    <row r="341" spans="1:15">
      <c r="A341" t="s">
        <v>17333</v>
      </c>
      <c r="B341" t="str">
        <f>'4I'!$AJ$123</f>
        <v>CR20014N6_FD_B</v>
      </c>
      <c r="D341" t="s">
        <v>15975</v>
      </c>
      <c r="E341" t="s">
        <v>4215</v>
      </c>
      <c r="F341" t="s">
        <v>17334</v>
      </c>
      <c r="G341">
        <v>3</v>
      </c>
      <c r="O341" t="str">
        <f t="shared" si="5"/>
        <v>Fin Derr (B) - Currency interest rate  - Total: Total value at 31 March 2018 - Nominal value (net)</v>
      </c>
    </row>
    <row r="342" spans="1:15">
      <c r="A342" t="s">
        <v>17333</v>
      </c>
      <c r="B342" t="str">
        <f>'4I'!$AJ$126</f>
        <v>CR20015N6_FD_B</v>
      </c>
      <c r="D342" t="s">
        <v>15976</v>
      </c>
      <c r="E342" t="s">
        <v>4215</v>
      </c>
      <c r="F342" t="s">
        <v>17334</v>
      </c>
      <c r="G342">
        <v>3</v>
      </c>
      <c r="O342" t="str">
        <f t="shared" si="5"/>
        <v>Fin Derr (B) - Forward currency contracts - Forward currency contracts USD: Total value at 31 March 2018 - Nominal value (net)</v>
      </c>
    </row>
    <row r="343" spans="1:15">
      <c r="A343" t="s">
        <v>17333</v>
      </c>
      <c r="B343" t="str">
        <f>'4I'!$AJ$127</f>
        <v>CR20016N6_FD_B</v>
      </c>
      <c r="D343" t="s">
        <v>15977</v>
      </c>
      <c r="E343" t="s">
        <v>4215</v>
      </c>
      <c r="F343" t="s">
        <v>17334</v>
      </c>
      <c r="G343">
        <v>3</v>
      </c>
      <c r="O343" t="str">
        <f t="shared" si="5"/>
        <v>Fin Derr (B) - Forward currency contracts - Forward currency contracts EUR: Total value at 31 March 2018 - Nominal value (net)</v>
      </c>
    </row>
    <row r="344" spans="1:15">
      <c r="A344" t="s">
        <v>17333</v>
      </c>
      <c r="B344" t="str">
        <f>'4I'!$AJ$128</f>
        <v>CR20017N6_FD_B</v>
      </c>
      <c r="D344" t="s">
        <v>15978</v>
      </c>
      <c r="E344" t="s">
        <v>4215</v>
      </c>
      <c r="F344" t="s">
        <v>17334</v>
      </c>
      <c r="G344">
        <v>3</v>
      </c>
      <c r="O344" t="str">
        <f t="shared" si="5"/>
        <v>Fin Derr (B) - Forward currency contracts - Forward currency contracts YEN: Total value at 31 March 2018 - Nominal value (net)</v>
      </c>
    </row>
    <row r="345" spans="1:15">
      <c r="A345" t="s">
        <v>17333</v>
      </c>
      <c r="B345" t="str">
        <f>'4I'!$AJ$129</f>
        <v>CR2029N6_FD_B</v>
      </c>
      <c r="D345" t="s">
        <v>15979</v>
      </c>
      <c r="E345" t="s">
        <v>4215</v>
      </c>
      <c r="F345" t="s">
        <v>17334</v>
      </c>
      <c r="G345">
        <v>3</v>
      </c>
      <c r="O345" t="str">
        <f t="shared" si="5"/>
        <v>Fin Derr (B) - Forward currency contracts CAD - Total value at 31 March 2018 - Nominal value (net)</v>
      </c>
    </row>
    <row r="346" spans="1:15">
      <c r="A346" t="s">
        <v>17333</v>
      </c>
      <c r="B346" t="str">
        <f>'4I'!$AJ$130</f>
        <v>CR2030N6_FD_B</v>
      </c>
      <c r="D346" t="s">
        <v>15980</v>
      </c>
      <c r="E346" t="s">
        <v>4215</v>
      </c>
      <c r="F346" t="s">
        <v>17334</v>
      </c>
      <c r="G346">
        <v>3</v>
      </c>
      <c r="O346" t="str">
        <f t="shared" si="5"/>
        <v>Fin Derr (B) - Forward currency contracts AUD - Total value at 31 March 2018 - Nominal value (net)</v>
      </c>
    </row>
    <row r="347" spans="1:15">
      <c r="A347" t="s">
        <v>17333</v>
      </c>
      <c r="B347" t="str">
        <f>'4I'!$AJ$131</f>
        <v>CR2031N6_FD_B</v>
      </c>
      <c r="D347" t="s">
        <v>15981</v>
      </c>
      <c r="E347" t="s">
        <v>4215</v>
      </c>
      <c r="F347" t="s">
        <v>17334</v>
      </c>
      <c r="G347">
        <v>3</v>
      </c>
      <c r="O347" t="str">
        <f t="shared" si="5"/>
        <v>Fin Derr (B) - Forward currency contracts HKD - Total value at 31 March 2018 - Nominal value (net)</v>
      </c>
    </row>
    <row r="348" spans="1:15">
      <c r="A348" t="s">
        <v>17333</v>
      </c>
      <c r="B348" t="str">
        <f>'4I'!$AJ$132</f>
        <v>CR20018N6_FD_B</v>
      </c>
      <c r="D348" t="s">
        <v>15982</v>
      </c>
      <c r="E348" t="s">
        <v>4215</v>
      </c>
      <c r="F348" t="s">
        <v>17334</v>
      </c>
      <c r="G348">
        <v>3</v>
      </c>
      <c r="O348" t="str">
        <f t="shared" si="5"/>
        <v>Fin Derr (B) - Forward currency contracts - Forward currency contracts Other: Total value at 31 March 2018 - Nominal value (net)</v>
      </c>
    </row>
    <row r="349" spans="1:15">
      <c r="A349" t="s">
        <v>17333</v>
      </c>
      <c r="B349" t="str">
        <f>'4I'!$AJ$133</f>
        <v>CR20019N6_FD_B</v>
      </c>
      <c r="D349" t="s">
        <v>15983</v>
      </c>
      <c r="E349" t="s">
        <v>4215</v>
      </c>
      <c r="F349" t="s">
        <v>17334</v>
      </c>
      <c r="G349">
        <v>3</v>
      </c>
      <c r="O349" t="str">
        <f t="shared" si="5"/>
        <v>Fin Derr (B) - Forward currency contracts - Total: Total value at 31 March 2018 - Nominal value (net)</v>
      </c>
    </row>
    <row r="350" spans="1:15">
      <c r="A350" t="s">
        <v>17333</v>
      </c>
      <c r="B350" t="str">
        <f>'4I'!$AJ$136</f>
        <v>CR2028N6_FD_B</v>
      </c>
      <c r="D350" t="s">
        <v>15984</v>
      </c>
      <c r="E350" t="s">
        <v>4215</v>
      </c>
      <c r="F350" t="s">
        <v>17334</v>
      </c>
      <c r="G350">
        <v>3</v>
      </c>
      <c r="O350" t="str">
        <f t="shared" si="5"/>
        <v>Fin Derr (B) - Other financial derivatives: Total value at 31 March 2018 - Nominal value (net)</v>
      </c>
    </row>
    <row r="351" spans="1:15">
      <c r="A351" t="s">
        <v>17333</v>
      </c>
      <c r="B351" t="str">
        <f>'4I'!$AJ$138</f>
        <v>CR20020N6_FD_B</v>
      </c>
      <c r="D351" t="s">
        <v>15985</v>
      </c>
      <c r="E351" t="s">
        <v>4215</v>
      </c>
      <c r="F351" t="s">
        <v>17334</v>
      </c>
      <c r="G351">
        <v>3</v>
      </c>
      <c r="O351" t="str">
        <f t="shared" si="5"/>
        <v>Fin Derr (B) - Total financial derivatives: Total value at 31 March 2018 - Nominal value (net)</v>
      </c>
    </row>
    <row r="352" spans="1:15">
      <c r="A352" t="s">
        <v>17333</v>
      </c>
      <c r="B352" t="str">
        <f>'4I'!$AK$102</f>
        <v>CR2021MM_FD_B</v>
      </c>
      <c r="D352" t="s">
        <v>15986</v>
      </c>
      <c r="E352" t="s">
        <v>4215</v>
      </c>
      <c r="F352" t="s">
        <v>17334</v>
      </c>
      <c r="G352">
        <v>3</v>
      </c>
      <c r="O352" t="str">
        <f t="shared" si="5"/>
        <v>Fin Derr (B) - Interest rate swap (sterling) - Floating to fixed rate: Total value at 31 March 2018 - Mark to Market</v>
      </c>
    </row>
    <row r="353" spans="1:15">
      <c r="A353" t="s">
        <v>17333</v>
      </c>
      <c r="B353" t="str">
        <f>'4I'!$AK$103</f>
        <v>CR2022MM_FD_B</v>
      </c>
      <c r="D353" t="s">
        <v>15987</v>
      </c>
      <c r="E353" t="s">
        <v>4215</v>
      </c>
      <c r="F353" t="s">
        <v>17334</v>
      </c>
      <c r="G353">
        <v>3</v>
      </c>
      <c r="O353" t="str">
        <f t="shared" si="5"/>
        <v>Fin Derr (B) - Interest rate swap (sterling) - Floating from fixed rate: Total value at 31 March 2018 - Mark to Market</v>
      </c>
    </row>
    <row r="354" spans="1:15">
      <c r="A354" t="s">
        <v>17333</v>
      </c>
      <c r="B354" t="str">
        <f>'4I'!$AK$104</f>
        <v>CR2023MM_FD_B</v>
      </c>
      <c r="D354" t="s">
        <v>15988</v>
      </c>
      <c r="E354" t="s">
        <v>4215</v>
      </c>
      <c r="F354" t="s">
        <v>17334</v>
      </c>
      <c r="G354">
        <v>3</v>
      </c>
      <c r="O354" t="str">
        <f t="shared" si="5"/>
        <v>Fin Derr (B) - Interest rate swap (sterling) - Floating to index linked: Total value at 31 March 2018 - Mark to Market</v>
      </c>
    </row>
    <row r="355" spans="1:15">
      <c r="A355" t="s">
        <v>17333</v>
      </c>
      <c r="B355" t="str">
        <f>'4I'!$AK$105</f>
        <v>CR2024MM_FD_B</v>
      </c>
      <c r="D355" t="s">
        <v>15989</v>
      </c>
      <c r="E355" t="s">
        <v>4215</v>
      </c>
      <c r="F355" t="s">
        <v>17334</v>
      </c>
      <c r="G355">
        <v>3</v>
      </c>
      <c r="O355" t="str">
        <f t="shared" si="5"/>
        <v>Fin Derr (B) - Interest rate swap (sterling) - Floating from index linked: Total value at 31 March 2018 - Mark to Market</v>
      </c>
    </row>
    <row r="356" spans="1:15">
      <c r="A356" t="s">
        <v>17333</v>
      </c>
      <c r="B356" t="str">
        <f>'4I'!$AK$106</f>
        <v>CR2025MM_FD_B</v>
      </c>
      <c r="D356" t="s">
        <v>15990</v>
      </c>
      <c r="E356" t="s">
        <v>4215</v>
      </c>
      <c r="F356" t="s">
        <v>17334</v>
      </c>
      <c r="G356">
        <v>3</v>
      </c>
      <c r="O356" t="str">
        <f t="shared" si="5"/>
        <v>Fin Derr (B) - Interest rate swap (sterling) - Fixed to index-linked: Total value at 31 March 2018 - Mark to Market</v>
      </c>
    </row>
    <row r="357" spans="1:15">
      <c r="A357" t="s">
        <v>17333</v>
      </c>
      <c r="B357" t="str">
        <f>'4I'!$AK$107</f>
        <v>CR2026MM_FD_B</v>
      </c>
      <c r="D357" t="s">
        <v>15991</v>
      </c>
      <c r="E357" t="s">
        <v>4215</v>
      </c>
      <c r="F357" t="s">
        <v>17334</v>
      </c>
      <c r="G357">
        <v>3</v>
      </c>
      <c r="O357" t="str">
        <f t="shared" si="5"/>
        <v>Fin Derr (B) - Interest rate swap (sterling) - Fixed from index-linked: Total value at 31 March 2018 - Mark to Market</v>
      </c>
    </row>
    <row r="358" spans="1:15">
      <c r="A358" t="s">
        <v>17333</v>
      </c>
      <c r="B358" t="str">
        <f>'4I'!$AK$108</f>
        <v>CR4029MM_FD_B</v>
      </c>
      <c r="D358" t="s">
        <v>15992</v>
      </c>
      <c r="E358" t="s">
        <v>4215</v>
      </c>
      <c r="F358" t="s">
        <v>17334</v>
      </c>
      <c r="G358">
        <v>3</v>
      </c>
      <c r="O358" t="str">
        <f t="shared" si="5"/>
        <v>Fin Derr (B) - Interest rate swap (sterling) - Index-linked to index-linked - Total value at 31 March - Mark to market</v>
      </c>
    </row>
    <row r="359" spans="1:15">
      <c r="A359" t="s">
        <v>17333</v>
      </c>
      <c r="B359" t="str">
        <f>'4I'!$AK$109</f>
        <v>CR2027MM_FD_B</v>
      </c>
      <c r="D359" t="s">
        <v>15993</v>
      </c>
      <c r="E359" t="s">
        <v>4215</v>
      </c>
      <c r="F359" t="s">
        <v>17334</v>
      </c>
      <c r="G359">
        <v>3</v>
      </c>
      <c r="O359" t="str">
        <f t="shared" si="5"/>
        <v>Fin Derr (B) - Interest rate swap (sterling) - Total: Total value at 31 March 2018 - Mark to Market</v>
      </c>
    </row>
    <row r="360" spans="1:15">
      <c r="A360" t="s">
        <v>17333</v>
      </c>
      <c r="B360" t="str">
        <f>'4I'!$AK$112</f>
        <v>CR2005MM_FD_B</v>
      </c>
      <c r="D360" t="s">
        <v>15994</v>
      </c>
      <c r="E360" t="s">
        <v>4215</v>
      </c>
      <c r="F360" t="s">
        <v>17334</v>
      </c>
      <c r="G360">
        <v>3</v>
      </c>
      <c r="O360" t="str">
        <f t="shared" si="5"/>
        <v>Fin Derr (B) - Foreign Exchange - Cross currency swap USD: Total value at 31 March 2018 - Mark to Market</v>
      </c>
    </row>
    <row r="361" spans="1:15">
      <c r="A361" t="s">
        <v>17333</v>
      </c>
      <c r="B361" t="str">
        <f>'4I'!$AK$113</f>
        <v>CR2006MM_FD_B</v>
      </c>
      <c r="D361" t="s">
        <v>15995</v>
      </c>
      <c r="E361" t="s">
        <v>4215</v>
      </c>
      <c r="F361" t="s">
        <v>17334</v>
      </c>
      <c r="G361">
        <v>3</v>
      </c>
      <c r="O361" t="str">
        <f t="shared" si="5"/>
        <v>Fin Derr (B) - Foreign Exchange - Cross currency swap EUR: Total value at 31 March 2018 - Mark to Market</v>
      </c>
    </row>
    <row r="362" spans="1:15">
      <c r="A362" t="s">
        <v>17333</v>
      </c>
      <c r="B362" t="str">
        <f>'4I'!$AK$114</f>
        <v>CR2007MM_FD_B</v>
      </c>
      <c r="D362" t="s">
        <v>15996</v>
      </c>
      <c r="E362" t="s">
        <v>4215</v>
      </c>
      <c r="F362" t="s">
        <v>17334</v>
      </c>
      <c r="G362">
        <v>3</v>
      </c>
      <c r="O362" t="str">
        <f t="shared" si="5"/>
        <v>Fin Derr (B) - Foreign Exchange - Cross currency swap YEN: Total value at 31 March 2018 - Mark to Market</v>
      </c>
    </row>
    <row r="363" spans="1:15">
      <c r="A363" t="s">
        <v>17333</v>
      </c>
      <c r="B363" t="str">
        <f>'4I'!$AK$115</f>
        <v>CR2008MM_FD_B</v>
      </c>
      <c r="D363" t="s">
        <v>15997</v>
      </c>
      <c r="E363" t="s">
        <v>4215</v>
      </c>
      <c r="F363" t="s">
        <v>17334</v>
      </c>
      <c r="G363">
        <v>3</v>
      </c>
      <c r="O363" t="str">
        <f t="shared" si="5"/>
        <v>Fin Derr (B) - Foreign Exchange - Cross currency swap Other: Total value at 31 March 2018 - Mark to Market</v>
      </c>
    </row>
    <row r="364" spans="1:15">
      <c r="A364" t="s">
        <v>17333</v>
      </c>
      <c r="B364" t="str">
        <f>'4I'!$AK$116</f>
        <v>CR2009MM_FD_B</v>
      </c>
      <c r="D364" t="s">
        <v>15998</v>
      </c>
      <c r="E364" t="s">
        <v>4215</v>
      </c>
      <c r="F364" t="s">
        <v>17334</v>
      </c>
      <c r="G364">
        <v>3</v>
      </c>
      <c r="O364" t="str">
        <f t="shared" si="5"/>
        <v>Fin Derr (B) - Foreign Exchange - Total: Total value at 31 March 2018 - Mark to Market</v>
      </c>
    </row>
    <row r="365" spans="1:15">
      <c r="A365" t="s">
        <v>17333</v>
      </c>
      <c r="B365" t="str">
        <f>'4I'!$AK$119</f>
        <v>CR20010MM_FD_B</v>
      </c>
      <c r="D365" t="s">
        <v>15999</v>
      </c>
      <c r="E365" t="s">
        <v>4215</v>
      </c>
      <c r="F365" t="s">
        <v>17334</v>
      </c>
      <c r="G365">
        <v>3</v>
      </c>
      <c r="O365" t="str">
        <f t="shared" si="5"/>
        <v>Fin Derr (B) - Currency interest rate  - Currency interest rate swaps USD: Total value at 31 March 2018 - Mark to Market</v>
      </c>
    </row>
    <row r="366" spans="1:15">
      <c r="A366" t="s">
        <v>17333</v>
      </c>
      <c r="B366" t="str">
        <f>'4I'!$AK$120</f>
        <v>CR20011MM_FD_B</v>
      </c>
      <c r="D366" t="s">
        <v>16000</v>
      </c>
      <c r="E366" t="s">
        <v>4215</v>
      </c>
      <c r="F366" t="s">
        <v>17334</v>
      </c>
      <c r="G366">
        <v>3</v>
      </c>
      <c r="O366" t="str">
        <f t="shared" si="5"/>
        <v>Fin Derr (B) - Currency interest rate  - Currency interest rate swaps EUR: Total value at 31 March 2018 - Mark to Market</v>
      </c>
    </row>
    <row r="367" spans="1:15">
      <c r="A367" t="s">
        <v>17333</v>
      </c>
      <c r="B367" t="str">
        <f>'4I'!$AK$121</f>
        <v>CR20012MM_FD_B</v>
      </c>
      <c r="D367" t="s">
        <v>16001</v>
      </c>
      <c r="E367" t="s">
        <v>4215</v>
      </c>
      <c r="F367" t="s">
        <v>17334</v>
      </c>
      <c r="G367">
        <v>3</v>
      </c>
      <c r="O367" t="str">
        <f t="shared" si="5"/>
        <v>Fin Derr (B) - Currency interest rate  - Currency interest rate swaps YEN: Total value at 31 March 2018 - Mark to Market</v>
      </c>
    </row>
    <row r="368" spans="1:15">
      <c r="A368" t="s">
        <v>17333</v>
      </c>
      <c r="B368" t="str">
        <f>'4I'!$AK$122</f>
        <v>CR20013MM_FD_B</v>
      </c>
      <c r="D368" t="s">
        <v>16002</v>
      </c>
      <c r="E368" t="s">
        <v>4215</v>
      </c>
      <c r="F368" t="s">
        <v>17334</v>
      </c>
      <c r="G368">
        <v>3</v>
      </c>
      <c r="O368" t="str">
        <f t="shared" si="5"/>
        <v>Fin Derr (B) - Currency interest rate  - Currency interest rate swaps Other: Total value at 31 March 2018 - Mark to Market</v>
      </c>
    </row>
    <row r="369" spans="1:15">
      <c r="A369" t="s">
        <v>17333</v>
      </c>
      <c r="B369" t="str">
        <f>'4I'!$AK$123</f>
        <v>CR20014MM_FD_B</v>
      </c>
      <c r="D369" t="s">
        <v>16003</v>
      </c>
      <c r="E369" t="s">
        <v>4215</v>
      </c>
      <c r="F369" t="s">
        <v>17334</v>
      </c>
      <c r="G369">
        <v>3</v>
      </c>
      <c r="O369" t="str">
        <f t="shared" si="5"/>
        <v>Fin Derr (B) - Currency interest rate  - Total: Total value at 31 March 2018 - Mark to Market</v>
      </c>
    </row>
    <row r="370" spans="1:15">
      <c r="A370" t="s">
        <v>17333</v>
      </c>
      <c r="B370" t="str">
        <f>'4I'!$AK$126</f>
        <v>CR20015MM_FD_B</v>
      </c>
      <c r="D370" t="s">
        <v>16004</v>
      </c>
      <c r="E370" t="s">
        <v>4215</v>
      </c>
      <c r="F370" t="s">
        <v>17334</v>
      </c>
      <c r="G370">
        <v>3</v>
      </c>
      <c r="O370" t="str">
        <f t="shared" si="5"/>
        <v>Fin Derr (B) - Forward currency contracts - Forward currency contracts USD: Total value at 31 March 2018 - Mark to Market</v>
      </c>
    </row>
    <row r="371" spans="1:15">
      <c r="A371" t="s">
        <v>17333</v>
      </c>
      <c r="B371" t="str">
        <f>'4I'!$AK$127</f>
        <v>CR20016MM_FD_B</v>
      </c>
      <c r="D371" t="s">
        <v>16005</v>
      </c>
      <c r="E371" t="s">
        <v>4215</v>
      </c>
      <c r="F371" t="s">
        <v>17334</v>
      </c>
      <c r="G371">
        <v>3</v>
      </c>
      <c r="O371" t="str">
        <f t="shared" si="5"/>
        <v>Fin Derr (B) - Forward currency contracts - Forward currency contracts EUR: Total value at 31 March 2018 - Mark to Market</v>
      </c>
    </row>
    <row r="372" spans="1:15">
      <c r="A372" t="s">
        <v>17333</v>
      </c>
      <c r="B372" t="str">
        <f>'4I'!$AK$128</f>
        <v>CR20017MM_FD_B</v>
      </c>
      <c r="D372" t="s">
        <v>16006</v>
      </c>
      <c r="E372" t="s">
        <v>4215</v>
      </c>
      <c r="F372" t="s">
        <v>17334</v>
      </c>
      <c r="G372">
        <v>3</v>
      </c>
      <c r="O372" t="str">
        <f t="shared" si="5"/>
        <v>Fin Derr (B) - Forward currency contracts - Forward currency contracts YEN: Total value at 31 March 2018 - Mark to Market</v>
      </c>
    </row>
    <row r="373" spans="1:15">
      <c r="A373" t="s">
        <v>17333</v>
      </c>
      <c r="B373" t="str">
        <f>'4I'!$AK$129</f>
        <v>CR2029MM_FD_B</v>
      </c>
      <c r="D373" t="s">
        <v>16007</v>
      </c>
      <c r="E373" t="s">
        <v>4215</v>
      </c>
      <c r="F373" t="s">
        <v>17334</v>
      </c>
      <c r="G373">
        <v>3</v>
      </c>
      <c r="O373" t="str">
        <f t="shared" si="5"/>
        <v>Fin Derr (B) - Forward currency contracts CAD - Total value at 31 March 2018 - Mark to Market</v>
      </c>
    </row>
    <row r="374" spans="1:15">
      <c r="A374" t="s">
        <v>17333</v>
      </c>
      <c r="B374" t="str">
        <f>'4I'!$AK$130</f>
        <v>CR2030MM_FD_B</v>
      </c>
      <c r="D374" t="s">
        <v>16008</v>
      </c>
      <c r="E374" t="s">
        <v>4215</v>
      </c>
      <c r="F374" t="s">
        <v>17334</v>
      </c>
      <c r="G374">
        <v>3</v>
      </c>
      <c r="O374" t="str">
        <f t="shared" si="5"/>
        <v>Fin Derr (B) - Forward currency contracts AUD - Total value at 31 March 2018 - Mark to Market</v>
      </c>
    </row>
    <row r="375" spans="1:15">
      <c r="A375" t="s">
        <v>17333</v>
      </c>
      <c r="B375" t="str">
        <f>'4I'!$AK$131</f>
        <v>CR2031MM_FD_B</v>
      </c>
      <c r="D375" t="s">
        <v>16009</v>
      </c>
      <c r="E375" t="s">
        <v>4215</v>
      </c>
      <c r="F375" t="s">
        <v>17334</v>
      </c>
      <c r="G375">
        <v>3</v>
      </c>
      <c r="O375" t="str">
        <f t="shared" si="5"/>
        <v>Fin Derr (B) - Forward currency contracts HKD - Total value at 31 March 2018 - Mark to Market</v>
      </c>
    </row>
    <row r="376" spans="1:15">
      <c r="A376" t="s">
        <v>17333</v>
      </c>
      <c r="B376" t="str">
        <f>'4I'!$AK$132</f>
        <v>CR20018MM_FD_B</v>
      </c>
      <c r="D376" t="s">
        <v>16010</v>
      </c>
      <c r="E376" t="s">
        <v>4215</v>
      </c>
      <c r="F376" t="s">
        <v>17334</v>
      </c>
      <c r="G376">
        <v>3</v>
      </c>
      <c r="O376" t="str">
        <f t="shared" si="5"/>
        <v>Fin Derr (B) - Forward currency contracts - Forward currency contracts Other: Total value at 31 March 2018 - Mark to Market</v>
      </c>
    </row>
    <row r="377" spans="1:15">
      <c r="A377" t="s">
        <v>17333</v>
      </c>
      <c r="B377" t="str">
        <f>'4I'!$AK$133</f>
        <v>CR20019MM_FD_B</v>
      </c>
      <c r="D377" t="s">
        <v>16011</v>
      </c>
      <c r="E377" t="s">
        <v>4215</v>
      </c>
      <c r="F377" t="s">
        <v>17334</v>
      </c>
      <c r="G377">
        <v>3</v>
      </c>
      <c r="O377" t="str">
        <f t="shared" si="5"/>
        <v>Fin Derr (B) - Forward currency contracts - Total: Total value at 31 March 2018 - Mark to Market</v>
      </c>
    </row>
    <row r="378" spans="1:15">
      <c r="A378" t="s">
        <v>17333</v>
      </c>
      <c r="B378" t="str">
        <f>'4I'!$AK$136</f>
        <v>CR2028MM_FD_B</v>
      </c>
      <c r="D378" t="s">
        <v>16012</v>
      </c>
      <c r="E378" t="s">
        <v>4215</v>
      </c>
      <c r="F378" t="s">
        <v>17334</v>
      </c>
      <c r="G378">
        <v>3</v>
      </c>
      <c r="O378" t="str">
        <f t="shared" si="5"/>
        <v>Fin Derr (B) - Other financial derivatives: Total value at 31 March 2018 - Mark to Market</v>
      </c>
    </row>
    <row r="379" spans="1:15">
      <c r="A379" t="s">
        <v>17333</v>
      </c>
      <c r="B379" t="str">
        <f>'4I'!$AK$138</f>
        <v>CR20020MM_FD_B</v>
      </c>
      <c r="D379" t="s">
        <v>16013</v>
      </c>
      <c r="E379" t="s">
        <v>4215</v>
      </c>
      <c r="F379" t="s">
        <v>17334</v>
      </c>
      <c r="G379">
        <v>3</v>
      </c>
      <c r="O379" t="str">
        <f t="shared" si="5"/>
        <v>Fin Derr (B) - Total financial derivatives: Total value at 31 March 2018 - Mark to Market</v>
      </c>
    </row>
    <row r="380" spans="1:15">
      <c r="A380" t="s">
        <v>17333</v>
      </c>
      <c r="B380" t="str">
        <f>'4I'!$AL$102</f>
        <v>CR2021TA_FD_B</v>
      </c>
      <c r="D380" t="s">
        <v>16014</v>
      </c>
      <c r="E380" t="s">
        <v>4215</v>
      </c>
      <c r="F380" t="s">
        <v>17334</v>
      </c>
      <c r="G380">
        <v>3</v>
      </c>
      <c r="O380" t="str">
        <f t="shared" si="5"/>
        <v>Fin Derr (B) - Interest rate swap (sterling) - Floating to fixed rate - Total accretion at 31 March 2018</v>
      </c>
    </row>
    <row r="381" spans="1:15">
      <c r="A381" t="s">
        <v>17333</v>
      </c>
      <c r="B381" t="str">
        <f>'4I'!$AL$103</f>
        <v>CR2022TA_FD_B</v>
      </c>
      <c r="D381" t="s">
        <v>16015</v>
      </c>
      <c r="E381" t="s">
        <v>4215</v>
      </c>
      <c r="F381" t="s">
        <v>17334</v>
      </c>
      <c r="G381">
        <v>3</v>
      </c>
      <c r="O381" t="str">
        <f t="shared" si="5"/>
        <v>Fin Derr (B) - Interest rate swap (sterling) - Floating from fixed rate - Total accretion at 31 March 2018</v>
      </c>
    </row>
    <row r="382" spans="1:15">
      <c r="A382" t="s">
        <v>17333</v>
      </c>
      <c r="B382" t="str">
        <f>'4I'!$AL$104</f>
        <v>CR2023TA_FD_B</v>
      </c>
      <c r="D382" t="s">
        <v>16016</v>
      </c>
      <c r="E382" t="s">
        <v>4215</v>
      </c>
      <c r="F382" t="s">
        <v>17334</v>
      </c>
      <c r="G382">
        <v>3</v>
      </c>
      <c r="O382" t="str">
        <f t="shared" si="5"/>
        <v>Fin Derr (B) - Interest rate swap (sterling) - Floating to index linked - Total accretion at 31 March 2018</v>
      </c>
    </row>
    <row r="383" spans="1:15">
      <c r="A383" t="s">
        <v>17333</v>
      </c>
      <c r="B383" t="str">
        <f>'4I'!$AL$105</f>
        <v>CR2024TA_FD_B</v>
      </c>
      <c r="D383" t="s">
        <v>16017</v>
      </c>
      <c r="E383" t="s">
        <v>4215</v>
      </c>
      <c r="F383" t="s">
        <v>17334</v>
      </c>
      <c r="G383">
        <v>3</v>
      </c>
      <c r="O383" t="str">
        <f t="shared" si="5"/>
        <v>Fin Derr (B) - Interest rate swap (sterling) - Floating from index linked - Total accretion at 31 March 2018</v>
      </c>
    </row>
    <row r="384" spans="1:15">
      <c r="A384" t="s">
        <v>17333</v>
      </c>
      <c r="B384" t="str">
        <f>'4I'!$AL$106</f>
        <v>CR2025TA_FD_B</v>
      </c>
      <c r="D384" t="s">
        <v>16018</v>
      </c>
      <c r="E384" t="s">
        <v>4215</v>
      </c>
      <c r="F384" t="s">
        <v>17334</v>
      </c>
      <c r="G384">
        <v>3</v>
      </c>
      <c r="O384" t="str">
        <f t="shared" si="5"/>
        <v>Fin Derr (B) - Interest rate swap (sterling) - Fixed to index-linked - Total accretion at 31 March 2018</v>
      </c>
    </row>
    <row r="385" spans="1:15">
      <c r="A385" t="s">
        <v>17333</v>
      </c>
      <c r="B385" t="str">
        <f>'4I'!$AL$107</f>
        <v>CR2026TA_FD_B</v>
      </c>
      <c r="D385" t="s">
        <v>16019</v>
      </c>
      <c r="E385" t="s">
        <v>4215</v>
      </c>
      <c r="F385" t="s">
        <v>17334</v>
      </c>
      <c r="G385">
        <v>3</v>
      </c>
      <c r="O385" t="str">
        <f t="shared" si="5"/>
        <v>Fin Derr (B) - Interest rate swap (sterling) - Fixed from index-linked - Total accretion at 31 March 2018</v>
      </c>
    </row>
    <row r="386" spans="1:15">
      <c r="A386" t="s">
        <v>17333</v>
      </c>
      <c r="B386" t="str">
        <f>'4I'!$AL$108</f>
        <v>CR4029TA_FD_B</v>
      </c>
      <c r="D386" t="s">
        <v>16020</v>
      </c>
      <c r="E386" t="s">
        <v>4215</v>
      </c>
      <c r="F386" t="s">
        <v>17334</v>
      </c>
      <c r="G386">
        <v>3</v>
      </c>
      <c r="O386" t="str">
        <f t="shared" ref="O386:O449" si="6">D386</f>
        <v>Fin Derr (B) - Interest rate swap (sterling) - Index-linked to index-linked - Total accretion at 31 March</v>
      </c>
    </row>
    <row r="387" spans="1:15">
      <c r="A387" t="s">
        <v>17333</v>
      </c>
      <c r="B387" t="str">
        <f>'4I'!$AL$109</f>
        <v>CR2027TA_FD_B</v>
      </c>
      <c r="D387" t="s">
        <v>16021</v>
      </c>
      <c r="E387" t="s">
        <v>4215</v>
      </c>
      <c r="F387" t="s">
        <v>17334</v>
      </c>
      <c r="G387">
        <v>3</v>
      </c>
      <c r="O387" t="str">
        <f t="shared" si="6"/>
        <v>Fin Derr (B) - Interest rate swap (sterling) - Total - Total accretion at 31 March 2018</v>
      </c>
    </row>
    <row r="388" spans="1:15">
      <c r="A388" t="s">
        <v>17333</v>
      </c>
      <c r="B388" t="str">
        <f>'4I'!$AL$112</f>
        <v>CR2005TA_FD_B</v>
      </c>
      <c r="D388" t="s">
        <v>16022</v>
      </c>
      <c r="E388" t="s">
        <v>4215</v>
      </c>
      <c r="F388" t="s">
        <v>17334</v>
      </c>
      <c r="G388">
        <v>3</v>
      </c>
      <c r="O388" t="str">
        <f t="shared" si="6"/>
        <v>Fin Derr (B) - Foreign Exchange - Cross currency swap USD - Total accretion at 31 March 2018</v>
      </c>
    </row>
    <row r="389" spans="1:15">
      <c r="A389" t="s">
        <v>17333</v>
      </c>
      <c r="B389" t="str">
        <f>'4I'!$AL$113</f>
        <v>CR2006TA_FD_B</v>
      </c>
      <c r="D389" t="s">
        <v>16023</v>
      </c>
      <c r="E389" t="s">
        <v>4215</v>
      </c>
      <c r="F389" t="s">
        <v>17334</v>
      </c>
      <c r="G389">
        <v>3</v>
      </c>
      <c r="O389" t="str">
        <f t="shared" si="6"/>
        <v>Fin Derr (B) - Foreign Exchange - Cross currency swap EUR - Total accretion at 31 March 2018</v>
      </c>
    </row>
    <row r="390" spans="1:15">
      <c r="A390" t="s">
        <v>17333</v>
      </c>
      <c r="B390" t="str">
        <f>'4I'!$AL$114</f>
        <v>CR2007TA_FD_B</v>
      </c>
      <c r="D390" t="s">
        <v>16024</v>
      </c>
      <c r="E390" t="s">
        <v>4215</v>
      </c>
      <c r="F390" t="s">
        <v>17334</v>
      </c>
      <c r="G390">
        <v>3</v>
      </c>
      <c r="O390" t="str">
        <f t="shared" si="6"/>
        <v>Fin Derr (B) - Foreign Exchange - Cross currency swap YEN - Total accretion at 31 March 2018</v>
      </c>
    </row>
    <row r="391" spans="1:15">
      <c r="A391" t="s">
        <v>17333</v>
      </c>
      <c r="B391" t="str">
        <f>'4I'!$AL$115</f>
        <v>CR2008TA_FD_B</v>
      </c>
      <c r="D391" t="s">
        <v>16025</v>
      </c>
      <c r="E391" t="s">
        <v>4215</v>
      </c>
      <c r="F391" t="s">
        <v>17334</v>
      </c>
      <c r="G391">
        <v>3</v>
      </c>
      <c r="O391" t="str">
        <f t="shared" si="6"/>
        <v>Fin Derr (B) - Foreign Exchange - Cross currency swap Other - Total accretion at 31 March 2018</v>
      </c>
    </row>
    <row r="392" spans="1:15">
      <c r="A392" t="s">
        <v>17333</v>
      </c>
      <c r="B392" t="str">
        <f>'4I'!$AL$116</f>
        <v>CR2009TA_FD_B</v>
      </c>
      <c r="D392" t="s">
        <v>16026</v>
      </c>
      <c r="E392" t="s">
        <v>4215</v>
      </c>
      <c r="F392" t="s">
        <v>17334</v>
      </c>
      <c r="G392">
        <v>3</v>
      </c>
      <c r="O392" t="str">
        <f t="shared" si="6"/>
        <v>Fin Derr (B) - Foreign Exchange - Total - Total accretion at 31 March 2018</v>
      </c>
    </row>
    <row r="393" spans="1:15">
      <c r="A393" t="s">
        <v>17333</v>
      </c>
      <c r="B393" t="str">
        <f>'4I'!$AL$119</f>
        <v>CR20010TA_FD_B</v>
      </c>
      <c r="D393" t="s">
        <v>16027</v>
      </c>
      <c r="E393" t="s">
        <v>4215</v>
      </c>
      <c r="F393" t="s">
        <v>17334</v>
      </c>
      <c r="G393">
        <v>3</v>
      </c>
      <c r="O393" t="str">
        <f t="shared" si="6"/>
        <v>Fin Derr (B) - Currency interest rate  - Currency interest rate swaps USD - Total accretion at 31 March 2018</v>
      </c>
    </row>
    <row r="394" spans="1:15">
      <c r="A394" t="s">
        <v>17333</v>
      </c>
      <c r="B394" t="str">
        <f>'4I'!$AL$120</f>
        <v>CR20011TA_FD_B</v>
      </c>
      <c r="D394" t="s">
        <v>16028</v>
      </c>
      <c r="E394" t="s">
        <v>4215</v>
      </c>
      <c r="F394" t="s">
        <v>17334</v>
      </c>
      <c r="G394">
        <v>3</v>
      </c>
      <c r="O394" t="str">
        <f t="shared" si="6"/>
        <v>Fin Derr (B) - Currency interest rate  - Currency interest rate swaps EUR - Total accretion at 31 March 2018</v>
      </c>
    </row>
    <row r="395" spans="1:15">
      <c r="A395" t="s">
        <v>17333</v>
      </c>
      <c r="B395" t="str">
        <f>'4I'!$AL$121</f>
        <v>CR20012TA_FD_B</v>
      </c>
      <c r="D395" t="s">
        <v>16029</v>
      </c>
      <c r="E395" t="s">
        <v>4215</v>
      </c>
      <c r="F395" t="s">
        <v>17334</v>
      </c>
      <c r="G395">
        <v>3</v>
      </c>
      <c r="O395" t="str">
        <f t="shared" si="6"/>
        <v>Fin Derr (B) - Currency interest rate  - Currency interest rate swaps YEN - Total accretion at 31 March 2018</v>
      </c>
    </row>
    <row r="396" spans="1:15">
      <c r="A396" t="s">
        <v>17333</v>
      </c>
      <c r="B396" t="str">
        <f>'4I'!$AL$122</f>
        <v>CR20013TA_FD_B</v>
      </c>
      <c r="D396" t="s">
        <v>16030</v>
      </c>
      <c r="E396" t="s">
        <v>4215</v>
      </c>
      <c r="F396" t="s">
        <v>17334</v>
      </c>
      <c r="G396">
        <v>3</v>
      </c>
      <c r="O396" t="str">
        <f t="shared" si="6"/>
        <v>Fin Derr (B) - Currency interest rate  - Currency interest rate swaps Other - Total accretion at 31 March 2018</v>
      </c>
    </row>
    <row r="397" spans="1:15">
      <c r="A397" t="s">
        <v>17333</v>
      </c>
      <c r="B397" t="str">
        <f>'4I'!$AL$123</f>
        <v>CR20014TA_FD_B</v>
      </c>
      <c r="D397" t="s">
        <v>16031</v>
      </c>
      <c r="E397" t="s">
        <v>4215</v>
      </c>
      <c r="F397" t="s">
        <v>17334</v>
      </c>
      <c r="G397">
        <v>3</v>
      </c>
      <c r="O397" t="str">
        <f t="shared" si="6"/>
        <v>Fin Derr (B) - Currency interest rate  - Total - Total accretion at 31 March 2018</v>
      </c>
    </row>
    <row r="398" spans="1:15">
      <c r="A398" t="s">
        <v>17333</v>
      </c>
      <c r="B398" t="str">
        <f>'4I'!$AL$126</f>
        <v>CR20015TA_FD_B</v>
      </c>
      <c r="D398" t="s">
        <v>16032</v>
      </c>
      <c r="E398" t="s">
        <v>4215</v>
      </c>
      <c r="F398" t="s">
        <v>17334</v>
      </c>
      <c r="G398">
        <v>3</v>
      </c>
      <c r="O398" t="str">
        <f t="shared" si="6"/>
        <v>Fin Derr (B) - Forward currency contracts - Forward currency contracts USD - Total accretion at 31 March 2018</v>
      </c>
    </row>
    <row r="399" spans="1:15">
      <c r="A399" t="s">
        <v>17333</v>
      </c>
      <c r="B399" t="str">
        <f>'4I'!$AL$127</f>
        <v>CR20016TA_FD_B</v>
      </c>
      <c r="D399" t="s">
        <v>16033</v>
      </c>
      <c r="E399" t="s">
        <v>4215</v>
      </c>
      <c r="F399" t="s">
        <v>17334</v>
      </c>
      <c r="G399">
        <v>3</v>
      </c>
      <c r="O399" t="str">
        <f t="shared" si="6"/>
        <v>Fin Derr (B) - Forward currency contracts - Forward currency contracts EUR - Total accretion at 31 March 2018</v>
      </c>
    </row>
    <row r="400" spans="1:15">
      <c r="A400" t="s">
        <v>17333</v>
      </c>
      <c r="B400" t="str">
        <f>'4I'!$AL$128</f>
        <v>CR20017TA_FD_B</v>
      </c>
      <c r="D400" t="s">
        <v>16034</v>
      </c>
      <c r="E400" t="s">
        <v>4215</v>
      </c>
      <c r="F400" t="s">
        <v>17334</v>
      </c>
      <c r="G400">
        <v>3</v>
      </c>
      <c r="O400" t="str">
        <f t="shared" si="6"/>
        <v>Fin Derr (B) - Forward currency contracts - Forward currency contracts YEN - Total accretion at 31 March 2018</v>
      </c>
    </row>
    <row r="401" spans="1:15">
      <c r="A401" t="s">
        <v>17333</v>
      </c>
      <c r="B401" t="str">
        <f>'4I'!$AL$129</f>
        <v>CR2029TA_FD_B</v>
      </c>
      <c r="D401" t="s">
        <v>16035</v>
      </c>
      <c r="E401" t="s">
        <v>4215</v>
      </c>
      <c r="F401" t="s">
        <v>17334</v>
      </c>
      <c r="G401">
        <v>3</v>
      </c>
      <c r="O401" t="str">
        <f t="shared" si="6"/>
        <v>Fin Derr (B) - Forward currency contracts CAD - Total accretion at 31 March 2018</v>
      </c>
    </row>
    <row r="402" spans="1:15">
      <c r="A402" t="s">
        <v>17333</v>
      </c>
      <c r="B402" t="str">
        <f>'4I'!$AL$130</f>
        <v>CR2030TA_FD_B</v>
      </c>
      <c r="D402" t="s">
        <v>16036</v>
      </c>
      <c r="E402" t="s">
        <v>4215</v>
      </c>
      <c r="F402" t="s">
        <v>17334</v>
      </c>
      <c r="G402">
        <v>3</v>
      </c>
      <c r="O402" t="str">
        <f t="shared" si="6"/>
        <v>Fin Derr (B) - Forward currency contracts AUD - Total accretion at 31 March 2018</v>
      </c>
    </row>
    <row r="403" spans="1:15">
      <c r="A403" t="s">
        <v>17333</v>
      </c>
      <c r="B403" t="str">
        <f>'4I'!$AL$131</f>
        <v>CR2031TA_FD_B</v>
      </c>
      <c r="D403" t="s">
        <v>16037</v>
      </c>
      <c r="E403" t="s">
        <v>4215</v>
      </c>
      <c r="F403" t="s">
        <v>17334</v>
      </c>
      <c r="G403">
        <v>3</v>
      </c>
      <c r="O403" t="str">
        <f t="shared" si="6"/>
        <v>Fin Derr (B) - Forward currency contracts HKD - Total accretion at 31 March 2018</v>
      </c>
    </row>
    <row r="404" spans="1:15">
      <c r="A404" t="s">
        <v>17333</v>
      </c>
      <c r="B404" t="str">
        <f>'4I'!$AL$132</f>
        <v>CR20018TA_FD_B</v>
      </c>
      <c r="D404" t="s">
        <v>16038</v>
      </c>
      <c r="E404" t="s">
        <v>4215</v>
      </c>
      <c r="F404" t="s">
        <v>17334</v>
      </c>
      <c r="G404">
        <v>3</v>
      </c>
      <c r="O404" t="str">
        <f t="shared" si="6"/>
        <v>Fin Derr (B) - Forward currency contracts - Forward currency contracts Other - Total accretion at 31 March 2018</v>
      </c>
    </row>
    <row r="405" spans="1:15">
      <c r="A405" t="s">
        <v>17333</v>
      </c>
      <c r="B405" t="str">
        <f>'4I'!$AL$133</f>
        <v>CR20019TA_FD_B</v>
      </c>
      <c r="D405" t="s">
        <v>16039</v>
      </c>
      <c r="E405" t="s">
        <v>4215</v>
      </c>
      <c r="F405" t="s">
        <v>17334</v>
      </c>
      <c r="G405">
        <v>3</v>
      </c>
      <c r="O405" t="str">
        <f t="shared" si="6"/>
        <v>Fin Derr (B) - Forward currency contracts - Total - Total accretion at 31 March 2018</v>
      </c>
    </row>
    <row r="406" spans="1:15">
      <c r="A406" t="s">
        <v>17333</v>
      </c>
      <c r="B406" t="str">
        <f>'4I'!$AL$136</f>
        <v>CR2028TA_FD_B</v>
      </c>
      <c r="D406" t="s">
        <v>16040</v>
      </c>
      <c r="E406" t="s">
        <v>4215</v>
      </c>
      <c r="F406" t="s">
        <v>17334</v>
      </c>
      <c r="G406">
        <v>3</v>
      </c>
      <c r="O406" t="str">
        <f t="shared" si="6"/>
        <v>Fin Derr (B) - Other financial derivatives - Total accretion at 31 March 2018</v>
      </c>
    </row>
    <row r="407" spans="1:15">
      <c r="A407" t="s">
        <v>17333</v>
      </c>
      <c r="B407" t="str">
        <f>'4I'!$AL$138</f>
        <v>CR20020TA_FD_B</v>
      </c>
      <c r="D407" t="s">
        <v>16041</v>
      </c>
      <c r="E407" t="s">
        <v>4215</v>
      </c>
      <c r="F407" t="s">
        <v>17334</v>
      </c>
      <c r="G407">
        <v>3</v>
      </c>
      <c r="O407" t="str">
        <f t="shared" si="6"/>
        <v>Fin Derr (B) - Total financial derivatives - Total accretion at 31 March 2018</v>
      </c>
    </row>
    <row r="408" spans="1:15">
      <c r="A408" t="s">
        <v>17333</v>
      </c>
      <c r="B408" t="str">
        <f>'4I'!$AM$102</f>
        <v>CR2021IRP_FD_B</v>
      </c>
      <c r="D408" t="s">
        <v>16042</v>
      </c>
      <c r="E408" t="s">
        <v>4215</v>
      </c>
      <c r="F408" t="s">
        <v>17334</v>
      </c>
      <c r="G408">
        <v>3</v>
      </c>
      <c r="O408" t="str">
        <f t="shared" si="6"/>
        <v>Fin Derr (B) - Interest rate swap (sterling) - Floating to fixed rate: Interest rate\n(weighted average for 12 months to 31 March 2018) - Payable</v>
      </c>
    </row>
    <row r="409" spans="1:15">
      <c r="A409" t="s">
        <v>17333</v>
      </c>
      <c r="B409" t="str">
        <f>'4I'!$AM$103</f>
        <v>CR2022IRP_FD_B</v>
      </c>
      <c r="D409" t="s">
        <v>16043</v>
      </c>
      <c r="E409" t="s">
        <v>4215</v>
      </c>
      <c r="F409" t="s">
        <v>17334</v>
      </c>
      <c r="G409">
        <v>3</v>
      </c>
      <c r="O409" t="str">
        <f t="shared" si="6"/>
        <v>Fin Derr (B) - Interest rate swap (sterling) - Floating from fixed rate: Interest rate\n(weighted average for 12 months to 31 March 2018) - Payable</v>
      </c>
    </row>
    <row r="410" spans="1:15">
      <c r="A410" t="s">
        <v>17333</v>
      </c>
      <c r="B410" t="str">
        <f>'4I'!$AM$104</f>
        <v>CR2023IRP_FD_B</v>
      </c>
      <c r="D410" t="s">
        <v>16044</v>
      </c>
      <c r="E410" t="s">
        <v>4215</v>
      </c>
      <c r="F410" t="s">
        <v>17334</v>
      </c>
      <c r="G410">
        <v>3</v>
      </c>
      <c r="O410" t="str">
        <f t="shared" si="6"/>
        <v>Fin Derr (B) - Interest rate swap (sterling) - Floating to index linked: Interest rate\n(weighted average for 12 months to 31 March 2018) - Payable</v>
      </c>
    </row>
    <row r="411" spans="1:15">
      <c r="A411" t="s">
        <v>17333</v>
      </c>
      <c r="B411" t="str">
        <f>'4I'!$AM$105</f>
        <v>CR2024IRP_FD_B</v>
      </c>
      <c r="D411" t="s">
        <v>16045</v>
      </c>
      <c r="E411" t="s">
        <v>4215</v>
      </c>
      <c r="F411" t="s">
        <v>17334</v>
      </c>
      <c r="G411">
        <v>3</v>
      </c>
      <c r="O411" t="str">
        <f t="shared" si="6"/>
        <v>Fin Derr (B) - Interest rate swap (sterling) - Floating from index linked: Interest rate\n(weighted average for 12 months to 31 March 2018) - Payable</v>
      </c>
    </row>
    <row r="412" spans="1:15">
      <c r="A412" t="s">
        <v>17333</v>
      </c>
      <c r="B412" t="str">
        <f>'4I'!$AM$106</f>
        <v>CR2025IRP_FD_B</v>
      </c>
      <c r="D412" t="s">
        <v>16046</v>
      </c>
      <c r="E412" t="s">
        <v>4215</v>
      </c>
      <c r="F412" t="s">
        <v>17334</v>
      </c>
      <c r="G412">
        <v>3</v>
      </c>
      <c r="O412" t="str">
        <f t="shared" si="6"/>
        <v>Fin Derr (B) - Interest rate swap (sterling) - Fixed to index-linked: Interest rate\n(weighted average for 12 months to 31 March 2018) - Payable</v>
      </c>
    </row>
    <row r="413" spans="1:15">
      <c r="A413" t="s">
        <v>17333</v>
      </c>
      <c r="B413" t="str">
        <f>'4I'!$AM$107</f>
        <v>CR2026IRP_FD_B</v>
      </c>
      <c r="D413" t="s">
        <v>16047</v>
      </c>
      <c r="E413" t="s">
        <v>4215</v>
      </c>
      <c r="F413" t="s">
        <v>17334</v>
      </c>
      <c r="G413">
        <v>3</v>
      </c>
      <c r="O413" t="str">
        <f t="shared" si="6"/>
        <v>Fin Derr (B) - Interest rate swap (sterling) - Fixed from index-linked: Interest rate\n(weighted average for 12 months to 31 March 2018) - Payable</v>
      </c>
    </row>
    <row r="414" spans="1:15">
      <c r="A414" t="s">
        <v>17333</v>
      </c>
      <c r="B414" t="str">
        <f>'4I'!$AM$108</f>
        <v>CR4029IRP_FD_B</v>
      </c>
      <c r="D414" t="s">
        <v>16048</v>
      </c>
      <c r="E414" t="s">
        <v>4215</v>
      </c>
      <c r="F414" t="s">
        <v>17334</v>
      </c>
      <c r="G414">
        <v>3</v>
      </c>
      <c r="O414" t="str">
        <f t="shared" si="6"/>
        <v>Fin Derr (B) - Interest rate swap (sterling) - Index-linked to index-linked - Interest rate\n(weighted average for 12 months to 31 March 2021) - Payable</v>
      </c>
    </row>
    <row r="415" spans="1:15">
      <c r="A415" t="s">
        <v>17333</v>
      </c>
      <c r="B415" t="str">
        <f>'4I'!$AN$102</f>
        <v>CR2021IRR_FD_B</v>
      </c>
      <c r="D415" t="s">
        <v>16049</v>
      </c>
      <c r="E415" t="s">
        <v>4215</v>
      </c>
      <c r="F415" t="s">
        <v>17334</v>
      </c>
      <c r="G415">
        <v>3</v>
      </c>
      <c r="O415" t="str">
        <f t="shared" si="6"/>
        <v>Fin Derr (B) - Interest rate swap (sterling) - Floating to fixed rate: Interest rate\n(weighted average for 12 months to 31 March 2018) - Receivable</v>
      </c>
    </row>
    <row r="416" spans="1:15">
      <c r="A416" t="s">
        <v>17333</v>
      </c>
      <c r="B416" t="str">
        <f>'4I'!$AN$103</f>
        <v>CR2022IRR_FD_B</v>
      </c>
      <c r="D416" t="s">
        <v>16050</v>
      </c>
      <c r="E416" t="s">
        <v>4215</v>
      </c>
      <c r="F416" t="s">
        <v>17334</v>
      </c>
      <c r="G416">
        <v>3</v>
      </c>
      <c r="O416" t="str">
        <f t="shared" si="6"/>
        <v>Fin Derr (B) - Interest rate swap (sterling) - Floating from fixed rate: Interest rate\n(weighted average for 12 months to 31 March 2018) - Receivable</v>
      </c>
    </row>
    <row r="417" spans="1:15">
      <c r="A417" t="s">
        <v>17333</v>
      </c>
      <c r="B417" t="str">
        <f>'4I'!$AN$104</f>
        <v>CR2023IRR_FD_B</v>
      </c>
      <c r="D417" t="s">
        <v>16051</v>
      </c>
      <c r="E417" t="s">
        <v>4215</v>
      </c>
      <c r="F417" t="s">
        <v>17334</v>
      </c>
      <c r="G417">
        <v>3</v>
      </c>
      <c r="O417" t="str">
        <f t="shared" si="6"/>
        <v>Fin Derr (B) - Interest rate swap (sterling) - Floating to index linked: Interest rate\n(weighted average for 12 months to 31 March 2018) - Receivable</v>
      </c>
    </row>
    <row r="418" spans="1:15">
      <c r="A418" t="s">
        <v>17333</v>
      </c>
      <c r="B418" t="str">
        <f>'4I'!$AN$105</f>
        <v>CR2024IRR_FD_B</v>
      </c>
      <c r="D418" t="s">
        <v>16052</v>
      </c>
      <c r="E418" t="s">
        <v>4215</v>
      </c>
      <c r="F418" t="s">
        <v>17334</v>
      </c>
      <c r="G418">
        <v>3</v>
      </c>
      <c r="O418" t="str">
        <f t="shared" si="6"/>
        <v>Fin Derr (B) - Interest rate swap (sterling) - Floating from index linked: Interest rate\n(weighted average for 12 months to 31 March 2018) - Receivable</v>
      </c>
    </row>
    <row r="419" spans="1:15">
      <c r="A419" t="s">
        <v>17333</v>
      </c>
      <c r="B419" t="str">
        <f>'4I'!$AN$106</f>
        <v>CR2025IRR_FD_B</v>
      </c>
      <c r="D419" t="s">
        <v>16053</v>
      </c>
      <c r="E419" t="s">
        <v>4215</v>
      </c>
      <c r="F419" t="s">
        <v>17334</v>
      </c>
      <c r="G419">
        <v>3</v>
      </c>
      <c r="O419" t="str">
        <f t="shared" si="6"/>
        <v>Fin Derr (B) - Interest rate swap (sterling) - Fixed to index-linked: Interest rate\n(weighted average for 12 months to 31 March 2018) - Receivable</v>
      </c>
    </row>
    <row r="420" spans="1:15">
      <c r="A420" t="s">
        <v>17333</v>
      </c>
      <c r="B420" t="str">
        <f>'4I'!$AN$107</f>
        <v>CR2026IRR_FD_B</v>
      </c>
      <c r="D420" t="s">
        <v>16054</v>
      </c>
      <c r="E420" t="s">
        <v>4215</v>
      </c>
      <c r="F420" t="s">
        <v>17334</v>
      </c>
      <c r="G420">
        <v>3</v>
      </c>
      <c r="O420" t="str">
        <f t="shared" si="6"/>
        <v>Fin Derr (B) - Interest rate swap (sterling) - Fixed from index-linked: Interest rate\n(weighted average for 12 months to 31 March 2018) - Receivable</v>
      </c>
    </row>
    <row r="421" spans="1:15">
      <c r="A421" t="s">
        <v>17333</v>
      </c>
      <c r="B421" t="str">
        <f>'4I'!$AN$108</f>
        <v>CR4029IRR_FD_B</v>
      </c>
      <c r="D421" t="s">
        <v>16055</v>
      </c>
      <c r="E421" t="s">
        <v>4215</v>
      </c>
      <c r="F421" t="s">
        <v>17334</v>
      </c>
      <c r="G421">
        <v>3</v>
      </c>
      <c r="O421" t="str">
        <f t="shared" si="6"/>
        <v>Fin Derr (B) - Interest rate swap (sterling) - Index-linked to index-linked - Interest rate\n(weighted average for 12 months to 31 March 2021) - Receivable</v>
      </c>
    </row>
    <row r="422" spans="1:15">
      <c r="A422" t="s">
        <v>17333</v>
      </c>
      <c r="B422" t="str">
        <f>'4I'!$AF$147</f>
        <v>CR2021N0_FD_C</v>
      </c>
      <c r="D422" t="s">
        <v>16056</v>
      </c>
      <c r="E422" t="s">
        <v>4215</v>
      </c>
      <c r="F422" t="s">
        <v>17334</v>
      </c>
      <c r="G422">
        <v>3</v>
      </c>
      <c r="O422" t="str">
        <f t="shared" si="6"/>
        <v>Fin Derr (C) - Interest rate swap (sterling) - Floating to fixed rate - Nominal value by maturity (net) at 31 March - 0 to 1 years</v>
      </c>
    </row>
    <row r="423" spans="1:15">
      <c r="A423" t="s">
        <v>17333</v>
      </c>
      <c r="B423" t="str">
        <f>'4I'!$AF$148</f>
        <v>CR2022N0_FD_C</v>
      </c>
      <c r="D423" t="s">
        <v>16057</v>
      </c>
      <c r="E423" t="s">
        <v>4215</v>
      </c>
      <c r="F423" t="s">
        <v>17334</v>
      </c>
      <c r="G423">
        <v>3</v>
      </c>
      <c r="O423" t="str">
        <f t="shared" si="6"/>
        <v>Fin Derr (C) - Interest rate swap (sterling) - Floating from fixed rate - Nominal value by maturity (net) at 31 March - 0 to 1 years</v>
      </c>
    </row>
    <row r="424" spans="1:15">
      <c r="A424" t="s">
        <v>17333</v>
      </c>
      <c r="B424" t="str">
        <f>'4I'!$AF$149</f>
        <v>CR2023N0_FD_C</v>
      </c>
      <c r="D424" t="s">
        <v>16058</v>
      </c>
      <c r="E424" t="s">
        <v>4215</v>
      </c>
      <c r="F424" t="s">
        <v>17334</v>
      </c>
      <c r="G424">
        <v>3</v>
      </c>
      <c r="O424" t="str">
        <f t="shared" si="6"/>
        <v>Fin Derr (C) - Interest rate swap (sterling) - Floating to index linked - Nominal value by maturity (net) at 31 March - 0 to 1 years</v>
      </c>
    </row>
    <row r="425" spans="1:15">
      <c r="A425" t="s">
        <v>17333</v>
      </c>
      <c r="B425" t="str">
        <f>'4I'!$AF$150</f>
        <v>CR2024N0_FD_C</v>
      </c>
      <c r="D425" t="s">
        <v>16059</v>
      </c>
      <c r="E425" t="s">
        <v>4215</v>
      </c>
      <c r="F425" t="s">
        <v>17334</v>
      </c>
      <c r="G425">
        <v>3</v>
      </c>
      <c r="O425" t="str">
        <f t="shared" si="6"/>
        <v>Fin Derr (C) - Interest rate swap (sterling) - Floating from index linked - Nominal value by maturity (net) at 31 March - 0 to 1 years</v>
      </c>
    </row>
    <row r="426" spans="1:15">
      <c r="A426" t="s">
        <v>17333</v>
      </c>
      <c r="B426" t="str">
        <f>'4I'!$AF$151</f>
        <v>CR2025N0_FD_C</v>
      </c>
      <c r="D426" t="s">
        <v>16060</v>
      </c>
      <c r="E426" t="s">
        <v>4215</v>
      </c>
      <c r="F426" t="s">
        <v>17334</v>
      </c>
      <c r="G426">
        <v>3</v>
      </c>
      <c r="O426" t="str">
        <f t="shared" si="6"/>
        <v>Fin Derr (C) - Interest rate swap (sterling) - Fixed to index linked - Nominal value by maturity (net) at 31 March - 0 to 1 years</v>
      </c>
    </row>
    <row r="427" spans="1:15">
      <c r="A427" t="s">
        <v>17333</v>
      </c>
      <c r="B427" t="str">
        <f>'4I'!$AF$152</f>
        <v>CR2026N0_FD_C</v>
      </c>
      <c r="D427" t="s">
        <v>16061</v>
      </c>
      <c r="E427" t="s">
        <v>4215</v>
      </c>
      <c r="F427" t="s">
        <v>17334</v>
      </c>
      <c r="G427">
        <v>3</v>
      </c>
      <c r="O427" t="str">
        <f t="shared" si="6"/>
        <v>Fin Derr (C) - Interest rate swap (sterling) - Fixed from index linked - Nominal value by maturity (net) at 31 March - 0 to 1 years</v>
      </c>
    </row>
    <row r="428" spans="1:15">
      <c r="A428" t="s">
        <v>17333</v>
      </c>
      <c r="B428" t="str">
        <f>'4I'!$AF$153</f>
        <v>CR4029N0_FD_C</v>
      </c>
      <c r="D428" t="s">
        <v>16062</v>
      </c>
      <c r="E428" t="s">
        <v>4215</v>
      </c>
      <c r="F428" t="s">
        <v>17334</v>
      </c>
      <c r="G428">
        <v>3</v>
      </c>
      <c r="O428" t="str">
        <f t="shared" si="6"/>
        <v>Fin Derr (C) - Interest rate swap (sterling) - Index-linked to index-linked - Nominal value by maturity (net) at 31 March - 0 to 1 years</v>
      </c>
    </row>
    <row r="429" spans="1:15">
      <c r="A429" t="s">
        <v>17333</v>
      </c>
      <c r="B429" t="str">
        <f>'4I'!$AF$154</f>
        <v>CR2027N0_FD_C</v>
      </c>
      <c r="D429" t="s">
        <v>16063</v>
      </c>
      <c r="E429" t="s">
        <v>4215</v>
      </c>
      <c r="F429" t="s">
        <v>17334</v>
      </c>
      <c r="G429">
        <v>3</v>
      </c>
      <c r="O429" t="str">
        <f t="shared" si="6"/>
        <v>Fin Derr (C) - Interest rate swap (sterling) - Total - Nominal value by maturity (net) at 31 March - 0 to 1 years</v>
      </c>
    </row>
    <row r="430" spans="1:15">
      <c r="A430" t="s">
        <v>17333</v>
      </c>
      <c r="B430" t="str">
        <f>'4I'!$AF$157</f>
        <v>CR2005N0_FD_C</v>
      </c>
      <c r="D430" t="s">
        <v>16064</v>
      </c>
      <c r="E430" t="s">
        <v>4215</v>
      </c>
      <c r="F430" t="s">
        <v>17334</v>
      </c>
      <c r="G430">
        <v>3</v>
      </c>
      <c r="O430" t="str">
        <f t="shared" si="6"/>
        <v>Fin Derr (C) - Foreign Exchange - Cross currency swap USD - Nominal value by maturity (net) at 31 March - 0 to 1 years</v>
      </c>
    </row>
    <row r="431" spans="1:15">
      <c r="A431" t="s">
        <v>17333</v>
      </c>
      <c r="B431" t="str">
        <f>'4I'!$AF$158</f>
        <v>CR2006N0_FD_C</v>
      </c>
      <c r="D431" t="s">
        <v>16065</v>
      </c>
      <c r="E431" t="s">
        <v>4215</v>
      </c>
      <c r="F431" t="s">
        <v>17334</v>
      </c>
      <c r="G431">
        <v>3</v>
      </c>
      <c r="O431" t="str">
        <f t="shared" si="6"/>
        <v>Fin Derr (C) - Foreign Exchange - Cross currency swap EUR - Nominal value by maturity (net) at 31 March - 0 to 1 years</v>
      </c>
    </row>
    <row r="432" spans="1:15">
      <c r="A432" t="s">
        <v>17333</v>
      </c>
      <c r="B432" t="str">
        <f>'4I'!$AF$159</f>
        <v>CR2007N0_FD_C</v>
      </c>
      <c r="D432" t="s">
        <v>16066</v>
      </c>
      <c r="E432" t="s">
        <v>4215</v>
      </c>
      <c r="F432" t="s">
        <v>17334</v>
      </c>
      <c r="G432">
        <v>3</v>
      </c>
      <c r="O432" t="str">
        <f t="shared" si="6"/>
        <v>Fin Derr (C) - Foreign Exchange - Cross currency swap YEN - Nominal value by maturity (net) at 31 March - 0 to 1 years</v>
      </c>
    </row>
    <row r="433" spans="1:15">
      <c r="A433" t="s">
        <v>17333</v>
      </c>
      <c r="B433" t="str">
        <f>'4I'!$AF$160</f>
        <v>CR2008N0_FD_C</v>
      </c>
      <c r="D433" t="s">
        <v>16067</v>
      </c>
      <c r="E433" t="s">
        <v>4215</v>
      </c>
      <c r="F433" t="s">
        <v>17334</v>
      </c>
      <c r="G433">
        <v>3</v>
      </c>
      <c r="O433" t="str">
        <f t="shared" si="6"/>
        <v>Fin Derr (C) - Foreign Exchange - Cross currency swap Other - Nominal value by maturity (net) at 31 March - 0 to 1 years</v>
      </c>
    </row>
    <row r="434" spans="1:15">
      <c r="A434" t="s">
        <v>17333</v>
      </c>
      <c r="B434" t="str">
        <f>'4I'!$AF$161</f>
        <v>CR2009N0_FD_C</v>
      </c>
      <c r="D434" t="s">
        <v>16068</v>
      </c>
      <c r="E434" t="s">
        <v>4215</v>
      </c>
      <c r="F434" t="s">
        <v>17334</v>
      </c>
      <c r="G434">
        <v>3</v>
      </c>
      <c r="O434" t="str">
        <f t="shared" si="6"/>
        <v>Fin Derr (C) - Foreign Exchange - Total - Nominal value by maturity (net) at 31 March - 0 to 1 years</v>
      </c>
    </row>
    <row r="435" spans="1:15">
      <c r="A435" t="s">
        <v>17333</v>
      </c>
      <c r="B435" t="str">
        <f>'4I'!$AF$164</f>
        <v>CR20010N0_FD_C</v>
      </c>
      <c r="D435" t="s">
        <v>16069</v>
      </c>
      <c r="E435" t="s">
        <v>4215</v>
      </c>
      <c r="F435" t="s">
        <v>17334</v>
      </c>
      <c r="G435">
        <v>3</v>
      </c>
      <c r="O435" t="str">
        <f t="shared" si="6"/>
        <v>Fin Derr (C) - Currency Interest Rate - Currency Interest Rate swaps USD - Nominal value by maturity (net) at 31 March - 0 to 1 years</v>
      </c>
    </row>
    <row r="436" spans="1:15">
      <c r="A436" t="s">
        <v>17333</v>
      </c>
      <c r="B436" t="str">
        <f>'4I'!$AF$165</f>
        <v>CR20011N0_FD_C</v>
      </c>
      <c r="D436" t="s">
        <v>16070</v>
      </c>
      <c r="E436" t="s">
        <v>4215</v>
      </c>
      <c r="F436" t="s">
        <v>17334</v>
      </c>
      <c r="G436">
        <v>3</v>
      </c>
      <c r="O436" t="str">
        <f t="shared" si="6"/>
        <v>Fin Derr (C) - Currency Interest Rate - Currency Interest Rate swaps EUR - Nominal value by maturity (net) at 31 March - 0 to 1 years</v>
      </c>
    </row>
    <row r="437" spans="1:15">
      <c r="A437" t="s">
        <v>17333</v>
      </c>
      <c r="B437" t="str">
        <f>'4I'!$AF$166</f>
        <v>CR20012N0_FD_C</v>
      </c>
      <c r="D437" t="s">
        <v>16071</v>
      </c>
      <c r="E437" t="s">
        <v>4215</v>
      </c>
      <c r="F437" t="s">
        <v>17334</v>
      </c>
      <c r="G437">
        <v>3</v>
      </c>
      <c r="O437" t="str">
        <f t="shared" si="6"/>
        <v>Fin Derr (C) - Currency Interest Rate - Currency Interest Rate swaps YEN - Nominal value by maturity (net) at 31 March - 0 to 1 years</v>
      </c>
    </row>
    <row r="438" spans="1:15">
      <c r="A438" t="s">
        <v>17333</v>
      </c>
      <c r="B438" t="str">
        <f>'4I'!$AF$167</f>
        <v>CR20013N0_FD_C</v>
      </c>
      <c r="D438" t="s">
        <v>16072</v>
      </c>
      <c r="E438" t="s">
        <v>4215</v>
      </c>
      <c r="F438" t="s">
        <v>17334</v>
      </c>
      <c r="G438">
        <v>3</v>
      </c>
      <c r="O438" t="str">
        <f t="shared" si="6"/>
        <v>Fin Derr (C) - Currency Interest Rate - Currency Interest Rate swaps Other - Nominal value by maturity (net) at 31 March - 0 to 1 years</v>
      </c>
    </row>
    <row r="439" spans="1:15">
      <c r="A439" t="s">
        <v>17333</v>
      </c>
      <c r="B439" t="str">
        <f>'4I'!$AF$168</f>
        <v>CR20014N0_FD_C</v>
      </c>
      <c r="D439" t="s">
        <v>16073</v>
      </c>
      <c r="E439" t="s">
        <v>4215</v>
      </c>
      <c r="F439" t="s">
        <v>17334</v>
      </c>
      <c r="G439">
        <v>3</v>
      </c>
      <c r="O439" t="str">
        <f t="shared" si="6"/>
        <v>Fin Derr (C) - Currency Interest Rate - Total - Nominal value by maturity (net) at 31 March - 0 to 1 years</v>
      </c>
    </row>
    <row r="440" spans="1:15">
      <c r="A440" t="s">
        <v>17333</v>
      </c>
      <c r="B440" t="str">
        <f>'4I'!$AF$171</f>
        <v>CR20015N0_FD_C</v>
      </c>
      <c r="D440" t="s">
        <v>16074</v>
      </c>
      <c r="E440" t="s">
        <v>4215</v>
      </c>
      <c r="F440" t="s">
        <v>17334</v>
      </c>
      <c r="G440">
        <v>3</v>
      </c>
      <c r="O440" t="str">
        <f t="shared" si="6"/>
        <v>Fin Derr (C) - Forward currency contracts - Forward currency contracts USD - Nominal value by maturity (net) at 31 March - 0 to 1 years</v>
      </c>
    </row>
    <row r="441" spans="1:15">
      <c r="A441" t="s">
        <v>17333</v>
      </c>
      <c r="B441" t="str">
        <f>'4I'!$AF$172</f>
        <v>CR20016N0_FD_C</v>
      </c>
      <c r="D441" t="s">
        <v>16075</v>
      </c>
      <c r="E441" t="s">
        <v>4215</v>
      </c>
      <c r="F441" t="s">
        <v>17334</v>
      </c>
      <c r="G441">
        <v>3</v>
      </c>
      <c r="O441" t="str">
        <f t="shared" si="6"/>
        <v>Fin Derr (C) - Forward currency contracts - Forward currency contracts EUR - Nominal value by maturity (net) at 31 March - 0 to 1 years</v>
      </c>
    </row>
    <row r="442" spans="1:15">
      <c r="A442" t="s">
        <v>17333</v>
      </c>
      <c r="B442" t="str">
        <f>'4I'!$AF$173</f>
        <v>CR20017N0_FD_C</v>
      </c>
      <c r="D442" t="s">
        <v>16076</v>
      </c>
      <c r="E442" t="s">
        <v>4215</v>
      </c>
      <c r="F442" t="s">
        <v>17334</v>
      </c>
      <c r="G442">
        <v>3</v>
      </c>
      <c r="O442" t="str">
        <f t="shared" si="6"/>
        <v>Fin Derr (C) - Forward currency contracts - Forward currency contracts YEN - Nominal value by maturity (net) at 31 March - 0 to 1 years</v>
      </c>
    </row>
    <row r="443" spans="1:15">
      <c r="A443" t="s">
        <v>17333</v>
      </c>
      <c r="B443" t="str">
        <f>'4I'!$AF$174</f>
        <v>CR2029N0_FD_C</v>
      </c>
      <c r="D443" t="s">
        <v>16077</v>
      </c>
      <c r="E443" t="s">
        <v>4215</v>
      </c>
      <c r="F443" t="s">
        <v>17334</v>
      </c>
      <c r="G443">
        <v>3</v>
      </c>
      <c r="O443" t="str">
        <f t="shared" si="6"/>
        <v>Fin Derr (C) - Forward currency contracts - Forward currency contracts CAD - Nominal value by maturity (net) at 31 March - 0 to 1 years</v>
      </c>
    </row>
    <row r="444" spans="1:15">
      <c r="A444" t="s">
        <v>17333</v>
      </c>
      <c r="B444" t="str">
        <f>'4I'!$AF$175</f>
        <v>CR2030N0_FD_C</v>
      </c>
      <c r="D444" t="s">
        <v>16078</v>
      </c>
      <c r="E444" t="s">
        <v>4215</v>
      </c>
      <c r="F444" t="s">
        <v>17334</v>
      </c>
      <c r="G444">
        <v>3</v>
      </c>
      <c r="O444" t="str">
        <f t="shared" si="6"/>
        <v>Fin Derr (C) - Forward currency contracts - Forward currency contracts AUD - Nominal value by maturity (net) at 31 March - 0 to 1 years</v>
      </c>
    </row>
    <row r="445" spans="1:15">
      <c r="A445" t="s">
        <v>17333</v>
      </c>
      <c r="B445" t="str">
        <f>'4I'!$AF$176</f>
        <v>CR2031N0_FD_C</v>
      </c>
      <c r="D445" t="s">
        <v>16079</v>
      </c>
      <c r="E445" t="s">
        <v>4215</v>
      </c>
      <c r="F445" t="s">
        <v>17334</v>
      </c>
      <c r="G445">
        <v>3</v>
      </c>
      <c r="O445" t="str">
        <f t="shared" si="6"/>
        <v>Fin Derr (C) - Forward currency contracts - Forward currency contracts HKD - Nominal value by maturity (net) at 31 March - 0 to 1 years</v>
      </c>
    </row>
    <row r="446" spans="1:15">
      <c r="A446" t="s">
        <v>17333</v>
      </c>
      <c r="B446" t="str">
        <f>'4I'!$AF$177</f>
        <v>CR20018N0_FD_C</v>
      </c>
      <c r="D446" t="s">
        <v>16080</v>
      </c>
      <c r="E446" t="s">
        <v>4215</v>
      </c>
      <c r="F446" t="s">
        <v>17334</v>
      </c>
      <c r="G446">
        <v>3</v>
      </c>
      <c r="O446" t="str">
        <f t="shared" si="6"/>
        <v>Fin Derr (C) - Forward currency contracts - Forward currency contracts Other - Nominal value by maturity (net) at 31 March - 0 to 1 years</v>
      </c>
    </row>
    <row r="447" spans="1:15">
      <c r="A447" t="s">
        <v>17333</v>
      </c>
      <c r="B447" t="str">
        <f>'4I'!$AF$178</f>
        <v>CR20019N0_FD_C</v>
      </c>
      <c r="D447" t="s">
        <v>16081</v>
      </c>
      <c r="E447" t="s">
        <v>4215</v>
      </c>
      <c r="F447" t="s">
        <v>17334</v>
      </c>
      <c r="G447">
        <v>3</v>
      </c>
      <c r="O447" t="str">
        <f t="shared" si="6"/>
        <v>Fin Derr (C) - Forward currency contracts - Total - Nominal value by maturity (net) at 31 March - 0 to 1 years</v>
      </c>
    </row>
    <row r="448" spans="1:15">
      <c r="A448" t="s">
        <v>17333</v>
      </c>
      <c r="B448" t="str">
        <f>'4I'!$AF$181</f>
        <v>CR2028N0_FD_C</v>
      </c>
      <c r="D448" t="s">
        <v>16082</v>
      </c>
      <c r="E448" t="s">
        <v>4215</v>
      </c>
      <c r="F448" t="s">
        <v>17334</v>
      </c>
      <c r="G448">
        <v>3</v>
      </c>
      <c r="O448" t="str">
        <f t="shared" si="6"/>
        <v>Fin Derr (C) - Other financial derivatives - Nominal value by maturity (net) at 31 March - 0 to 1 years</v>
      </c>
    </row>
    <row r="449" spans="1:15">
      <c r="A449" t="s">
        <v>17333</v>
      </c>
      <c r="B449" t="str">
        <f>'4I'!$AF$183</f>
        <v>CR20020N0_FD_C</v>
      </c>
      <c r="D449" t="s">
        <v>16083</v>
      </c>
      <c r="E449" t="s">
        <v>4215</v>
      </c>
      <c r="F449" t="s">
        <v>17334</v>
      </c>
      <c r="G449">
        <v>3</v>
      </c>
      <c r="O449" t="str">
        <f t="shared" si="6"/>
        <v>Fin Derr (C) - Total financial derivatives - Nominal value by maturity (net) at 31 March - 0 to 1 years</v>
      </c>
    </row>
    <row r="450" spans="1:15">
      <c r="A450" t="s">
        <v>17333</v>
      </c>
      <c r="B450" t="str">
        <f>'4I'!$AG$147</f>
        <v>CR2021N1_FD_C</v>
      </c>
      <c r="D450" t="s">
        <v>16084</v>
      </c>
      <c r="E450" t="s">
        <v>4215</v>
      </c>
      <c r="F450" t="s">
        <v>17334</v>
      </c>
      <c r="G450">
        <v>3</v>
      </c>
      <c r="O450" t="str">
        <f t="shared" ref="O450:O513" si="7">D450</f>
        <v>Fin Derr (C) - Interest rate swap (sterling) - Floating to fixed rate: Nominal value by maturity (net) - 1 to 2 years</v>
      </c>
    </row>
    <row r="451" spans="1:15">
      <c r="A451" t="s">
        <v>17333</v>
      </c>
      <c r="B451" t="str">
        <f>'4I'!$AG$148</f>
        <v>CR2022N1_FD_C</v>
      </c>
      <c r="D451" t="s">
        <v>16085</v>
      </c>
      <c r="E451" t="s">
        <v>4215</v>
      </c>
      <c r="F451" t="s">
        <v>17334</v>
      </c>
      <c r="G451">
        <v>3</v>
      </c>
      <c r="O451" t="str">
        <f t="shared" si="7"/>
        <v>Fin Derr (C) - Interest rate swap (sterling) - Floating from fixed rate: Nominal value by maturity (net) - 1 to 2 years</v>
      </c>
    </row>
    <row r="452" spans="1:15">
      <c r="A452" t="s">
        <v>17333</v>
      </c>
      <c r="B452" t="str">
        <f>'4I'!$AG$149</f>
        <v>CR2023N1_FD_C</v>
      </c>
      <c r="D452" t="s">
        <v>16086</v>
      </c>
      <c r="E452" t="s">
        <v>4215</v>
      </c>
      <c r="F452" t="s">
        <v>17334</v>
      </c>
      <c r="G452">
        <v>3</v>
      </c>
      <c r="O452" t="str">
        <f t="shared" si="7"/>
        <v>Fin Derr (C) - Interest rate swap (sterling) - Floating to index linked: Nominal value by maturity (net) - 1 to 2 years</v>
      </c>
    </row>
    <row r="453" spans="1:15">
      <c r="A453" t="s">
        <v>17333</v>
      </c>
      <c r="B453" t="str">
        <f>'4I'!$AG$150</f>
        <v>CR2024N1_FD_C</v>
      </c>
      <c r="D453" t="s">
        <v>16087</v>
      </c>
      <c r="E453" t="s">
        <v>4215</v>
      </c>
      <c r="F453" t="s">
        <v>17334</v>
      </c>
      <c r="G453">
        <v>3</v>
      </c>
      <c r="O453" t="str">
        <f t="shared" si="7"/>
        <v>Fin Derr (C) - Interest rate swap (sterling) - Floating from index linked: Nominal value by maturity (net) - 1 to 2 years</v>
      </c>
    </row>
    <row r="454" spans="1:15">
      <c r="A454" t="s">
        <v>17333</v>
      </c>
      <c r="B454" t="str">
        <f>'4I'!$AG$151</f>
        <v>CR2025N1_FD_C</v>
      </c>
      <c r="D454" t="s">
        <v>16088</v>
      </c>
      <c r="E454" t="s">
        <v>4215</v>
      </c>
      <c r="F454" t="s">
        <v>17334</v>
      </c>
      <c r="G454">
        <v>3</v>
      </c>
      <c r="O454" t="str">
        <f t="shared" si="7"/>
        <v>Fin Derr (C) - Interest rate swap (sterling) - Fixed to index-linked: Nominal value by maturity (net) - 1 to 2 years</v>
      </c>
    </row>
    <row r="455" spans="1:15">
      <c r="A455" t="s">
        <v>17333</v>
      </c>
      <c r="B455" t="str">
        <f>'4I'!$AG$152</f>
        <v>CR2026N1_FD_C</v>
      </c>
      <c r="D455" t="s">
        <v>16089</v>
      </c>
      <c r="E455" t="s">
        <v>4215</v>
      </c>
      <c r="F455" t="s">
        <v>17334</v>
      </c>
      <c r="G455">
        <v>3</v>
      </c>
      <c r="O455" t="str">
        <f t="shared" si="7"/>
        <v>Fin Derr (C) - Interest rate swap (sterling) - Fixed from index-linked: Nominal value by maturity (net) - 1 to 2 years</v>
      </c>
    </row>
    <row r="456" spans="1:15">
      <c r="A456" t="s">
        <v>17333</v>
      </c>
      <c r="B456" t="str">
        <f>'4I'!$AG$153</f>
        <v>CR4029N1_FD_C</v>
      </c>
      <c r="D456" t="s">
        <v>16090</v>
      </c>
      <c r="E456" t="s">
        <v>4215</v>
      </c>
      <c r="F456" t="s">
        <v>17334</v>
      </c>
      <c r="G456">
        <v>3</v>
      </c>
      <c r="O456" t="str">
        <f t="shared" si="7"/>
        <v>Fin Derr (C) - Interest rate swap (sterling) - Index-linked to index-linked - Nominal value by maturity (net) at 31 March - 1 to 2 years</v>
      </c>
    </row>
    <row r="457" spans="1:15">
      <c r="A457" t="s">
        <v>17333</v>
      </c>
      <c r="B457" t="str">
        <f>'4I'!$AG$154</f>
        <v>CR2027N1_FD_C</v>
      </c>
      <c r="D457" t="s">
        <v>16091</v>
      </c>
      <c r="E457" t="s">
        <v>4215</v>
      </c>
      <c r="F457" t="s">
        <v>17334</v>
      </c>
      <c r="G457">
        <v>3</v>
      </c>
      <c r="O457" t="str">
        <f t="shared" si="7"/>
        <v>Fin Derr (C) - Interest rate swap (sterling) - Total: Nominal value by maturity (net) - 1 to 2 years</v>
      </c>
    </row>
    <row r="458" spans="1:15">
      <c r="A458" t="s">
        <v>17333</v>
      </c>
      <c r="B458" t="str">
        <f>'4I'!$AG$157</f>
        <v>CR2005N1_FD_C</v>
      </c>
      <c r="D458" t="s">
        <v>16092</v>
      </c>
      <c r="E458" t="s">
        <v>4215</v>
      </c>
      <c r="F458" t="s">
        <v>17334</v>
      </c>
      <c r="G458">
        <v>3</v>
      </c>
      <c r="O458" t="str">
        <f t="shared" si="7"/>
        <v>Fin Derr (C) - Foreign Exchange - Cross currency swap USD: Nominal value by maturity (net) - 1 to 2 years</v>
      </c>
    </row>
    <row r="459" spans="1:15">
      <c r="A459" t="s">
        <v>17333</v>
      </c>
      <c r="B459" t="str">
        <f>'4I'!$AG$158</f>
        <v>CR2006N1_FD_C</v>
      </c>
      <c r="D459" t="s">
        <v>16093</v>
      </c>
      <c r="E459" t="s">
        <v>4215</v>
      </c>
      <c r="F459" t="s">
        <v>17334</v>
      </c>
      <c r="G459">
        <v>3</v>
      </c>
      <c r="O459" t="str">
        <f t="shared" si="7"/>
        <v>Fin Derr (C) - Foreign Exchange - Cross currency swap EUR: Nominal value by maturity (net) - 1 to 2 years</v>
      </c>
    </row>
    <row r="460" spans="1:15">
      <c r="A460" t="s">
        <v>17333</v>
      </c>
      <c r="B460" t="str">
        <f>'4I'!$AG$159</f>
        <v>CR2007N1_FD_C</v>
      </c>
      <c r="D460" t="s">
        <v>16094</v>
      </c>
      <c r="E460" t="s">
        <v>4215</v>
      </c>
      <c r="F460" t="s">
        <v>17334</v>
      </c>
      <c r="G460">
        <v>3</v>
      </c>
      <c r="O460" t="str">
        <f t="shared" si="7"/>
        <v>Fin Derr (C) - Foreign Exchange - Cross currency swap YEN: Nominal value by maturity (net) - 1 to 2 years</v>
      </c>
    </row>
    <row r="461" spans="1:15">
      <c r="A461" t="s">
        <v>17333</v>
      </c>
      <c r="B461" t="str">
        <f>'4I'!$AG$160</f>
        <v>CR2008N1_FD_C</v>
      </c>
      <c r="D461" t="s">
        <v>16095</v>
      </c>
      <c r="E461" t="s">
        <v>4215</v>
      </c>
      <c r="F461" t="s">
        <v>17334</v>
      </c>
      <c r="G461">
        <v>3</v>
      </c>
      <c r="O461" t="str">
        <f t="shared" si="7"/>
        <v>Fin Derr (C) - Foreign Exchange - Cross currency swap Other: Nominal value by maturity (net) - 1 to 2 years</v>
      </c>
    </row>
    <row r="462" spans="1:15">
      <c r="A462" t="s">
        <v>17333</v>
      </c>
      <c r="B462" t="str">
        <f>'4I'!$AG$161</f>
        <v>CR2009N1_FD_C</v>
      </c>
      <c r="D462" t="s">
        <v>16096</v>
      </c>
      <c r="E462" t="s">
        <v>4215</v>
      </c>
      <c r="F462" t="s">
        <v>17334</v>
      </c>
      <c r="G462">
        <v>3</v>
      </c>
      <c r="O462" t="str">
        <f t="shared" si="7"/>
        <v>Fin Derr (C) - Foreign Exchange - Total: Nominal value by maturity (net) - 1 to 2 years</v>
      </c>
    </row>
    <row r="463" spans="1:15">
      <c r="A463" t="s">
        <v>17333</v>
      </c>
      <c r="B463" t="str">
        <f>'4I'!$AG$164</f>
        <v>CR20010N1_FD_C</v>
      </c>
      <c r="D463" t="s">
        <v>16097</v>
      </c>
      <c r="E463" t="s">
        <v>4215</v>
      </c>
      <c r="F463" t="s">
        <v>17334</v>
      </c>
      <c r="G463">
        <v>3</v>
      </c>
      <c r="O463" t="str">
        <f t="shared" si="7"/>
        <v>Fin Derr (C) - Currency interest rate  - Currency interest rate swaps USD: Nominal value by maturity (net) - 1 to 2 years</v>
      </c>
    </row>
    <row r="464" spans="1:15">
      <c r="A464" t="s">
        <v>17333</v>
      </c>
      <c r="B464" t="str">
        <f>'4I'!$AG$165</f>
        <v>CR20011N1_FD_C</v>
      </c>
      <c r="D464" t="s">
        <v>16098</v>
      </c>
      <c r="E464" t="s">
        <v>4215</v>
      </c>
      <c r="F464" t="s">
        <v>17334</v>
      </c>
      <c r="G464">
        <v>3</v>
      </c>
      <c r="O464" t="str">
        <f t="shared" si="7"/>
        <v>Fin Derr (C) - Currency interest rate  - Currency interest rate swaps EUR: Nominal value by maturity (net) - 1 to 2 years</v>
      </c>
    </row>
    <row r="465" spans="1:15">
      <c r="A465" t="s">
        <v>17333</v>
      </c>
      <c r="B465" t="str">
        <f>'4I'!$AG$166</f>
        <v>CR20012N1_FD_C</v>
      </c>
      <c r="D465" t="s">
        <v>16099</v>
      </c>
      <c r="E465" t="s">
        <v>4215</v>
      </c>
      <c r="F465" t="s">
        <v>17334</v>
      </c>
      <c r="G465">
        <v>3</v>
      </c>
      <c r="O465" t="str">
        <f t="shared" si="7"/>
        <v>Fin Derr (C) - Currency interest rate  - Currency interest rate swaps YEN: Nominal value by maturity (net) - 1 to 2 years</v>
      </c>
    </row>
    <row r="466" spans="1:15">
      <c r="A466" t="s">
        <v>17333</v>
      </c>
      <c r="B466" t="str">
        <f>'4I'!$AG$167</f>
        <v>CR20013N1_FD_C</v>
      </c>
      <c r="D466" t="s">
        <v>16100</v>
      </c>
      <c r="E466" t="s">
        <v>4215</v>
      </c>
      <c r="F466" t="s">
        <v>17334</v>
      </c>
      <c r="G466">
        <v>3</v>
      </c>
      <c r="O466" t="str">
        <f t="shared" si="7"/>
        <v>Fin Derr (C) - Currency interest rate  - Currency interest rate swaps Other: Nominal value by maturity (net) - 1 to 2 years</v>
      </c>
    </row>
    <row r="467" spans="1:15">
      <c r="A467" t="s">
        <v>17333</v>
      </c>
      <c r="B467" t="str">
        <f>'4I'!$AG$168</f>
        <v>CR20014N1_FD_C</v>
      </c>
      <c r="D467" t="s">
        <v>16101</v>
      </c>
      <c r="E467" t="s">
        <v>4215</v>
      </c>
      <c r="F467" t="s">
        <v>17334</v>
      </c>
      <c r="G467">
        <v>3</v>
      </c>
      <c r="O467" t="str">
        <f t="shared" si="7"/>
        <v>Fin Derr (C) - Currency interest rate  - Total: Nominal value by maturity (net) - 1 to 2 years</v>
      </c>
    </row>
    <row r="468" spans="1:15">
      <c r="A468" t="s">
        <v>17333</v>
      </c>
      <c r="B468" t="str">
        <f>'4I'!$AG$171</f>
        <v>CR20015N1_FD_C</v>
      </c>
      <c r="D468" t="s">
        <v>16102</v>
      </c>
      <c r="E468" t="s">
        <v>4215</v>
      </c>
      <c r="F468" t="s">
        <v>17334</v>
      </c>
      <c r="G468">
        <v>3</v>
      </c>
      <c r="O468" t="str">
        <f t="shared" si="7"/>
        <v>Fin Derr (C) - Forward currency contracts - Forward currency contracts USD: Nominal value by maturity (net) - 1 to 2 years</v>
      </c>
    </row>
    <row r="469" spans="1:15">
      <c r="A469" t="s">
        <v>17333</v>
      </c>
      <c r="B469" t="str">
        <f>'4I'!$AG$172</f>
        <v>CR20016N1_FD_C</v>
      </c>
      <c r="D469" t="s">
        <v>16103</v>
      </c>
      <c r="E469" t="s">
        <v>4215</v>
      </c>
      <c r="F469" t="s">
        <v>17334</v>
      </c>
      <c r="G469">
        <v>3</v>
      </c>
      <c r="O469" t="str">
        <f t="shared" si="7"/>
        <v>Fin Derr (C) - Forward currency contracts - Forward currency contracts EUR: Nominal value by maturity (net) - 1 to 2 years</v>
      </c>
    </row>
    <row r="470" spans="1:15">
      <c r="A470" t="s">
        <v>17333</v>
      </c>
      <c r="B470" t="str">
        <f>'4I'!$AG$173</f>
        <v>CR20017N1_FD_C</v>
      </c>
      <c r="D470" t="s">
        <v>16104</v>
      </c>
      <c r="E470" t="s">
        <v>4215</v>
      </c>
      <c r="F470" t="s">
        <v>17334</v>
      </c>
      <c r="G470">
        <v>3</v>
      </c>
      <c r="O470" t="str">
        <f t="shared" si="7"/>
        <v>Fin Derr (C) - Forward currency contracts - Forward currency contracts YEN: Nominal value by maturity (net) - 1 to 2 years</v>
      </c>
    </row>
    <row r="471" spans="1:15">
      <c r="A471" t="s">
        <v>17333</v>
      </c>
      <c r="B471" t="str">
        <f>'4I'!$AG$174</f>
        <v>CR2029N1_FD_C</v>
      </c>
      <c r="D471" t="s">
        <v>16105</v>
      </c>
      <c r="E471" t="s">
        <v>4215</v>
      </c>
      <c r="F471" t="s">
        <v>17334</v>
      </c>
      <c r="G471">
        <v>3</v>
      </c>
      <c r="O471" t="str">
        <f t="shared" si="7"/>
        <v>Fin Derr (C) - Forward currency contracts CAD - Nominal value by maturity (net) - 1 to 2 years</v>
      </c>
    </row>
    <row r="472" spans="1:15">
      <c r="A472" t="s">
        <v>17333</v>
      </c>
      <c r="B472" t="str">
        <f>'4I'!$AG$175</f>
        <v>CR2030N1_FD_C</v>
      </c>
      <c r="D472" t="s">
        <v>16106</v>
      </c>
      <c r="E472" t="s">
        <v>4215</v>
      </c>
      <c r="F472" t="s">
        <v>17334</v>
      </c>
      <c r="G472">
        <v>3</v>
      </c>
      <c r="O472" t="str">
        <f t="shared" si="7"/>
        <v>Fin Derr (C) - Forward currency contracts AUD - Nominal value by maturity (net) - 1 to 2 years</v>
      </c>
    </row>
    <row r="473" spans="1:15">
      <c r="A473" t="s">
        <v>17333</v>
      </c>
      <c r="B473" t="str">
        <f>'4I'!$AG$176</f>
        <v>CR2031N1_FD_C</v>
      </c>
      <c r="D473" t="s">
        <v>16107</v>
      </c>
      <c r="E473" t="s">
        <v>4215</v>
      </c>
      <c r="F473" t="s">
        <v>17334</v>
      </c>
      <c r="G473">
        <v>3</v>
      </c>
      <c r="O473" t="str">
        <f t="shared" si="7"/>
        <v>Fin Derr (C) - Forward currency contracts HKD - Nominal value by maturity (net) - 1 to 2 years</v>
      </c>
    </row>
    <row r="474" spans="1:15">
      <c r="A474" t="s">
        <v>17333</v>
      </c>
      <c r="B474" t="str">
        <f>'4I'!$AG$177</f>
        <v>CR20018N1_FD_C</v>
      </c>
      <c r="D474" t="s">
        <v>16108</v>
      </c>
      <c r="E474" t="s">
        <v>4215</v>
      </c>
      <c r="F474" t="s">
        <v>17334</v>
      </c>
      <c r="G474">
        <v>3</v>
      </c>
      <c r="O474" t="str">
        <f t="shared" si="7"/>
        <v>Fin Derr (C) - Forward currency contracts - Forward currency contracts Other: Nominal value by maturity (net) - 1 to 2 years</v>
      </c>
    </row>
    <row r="475" spans="1:15">
      <c r="A475" t="s">
        <v>17333</v>
      </c>
      <c r="B475" t="str">
        <f>'4I'!$AG$178</f>
        <v>CR20019N1_FD_C</v>
      </c>
      <c r="D475" t="s">
        <v>16109</v>
      </c>
      <c r="E475" t="s">
        <v>4215</v>
      </c>
      <c r="F475" t="s">
        <v>17334</v>
      </c>
      <c r="G475">
        <v>3</v>
      </c>
      <c r="O475" t="str">
        <f t="shared" si="7"/>
        <v>Fin Derr (C) - Forward currency contracts - Total: Nominal value by maturity (net) - 1 to 2 years</v>
      </c>
    </row>
    <row r="476" spans="1:15">
      <c r="A476" t="s">
        <v>17333</v>
      </c>
      <c r="B476" t="str">
        <f>'4I'!$AG$181</f>
        <v>CR2028N1_FD_C</v>
      </c>
      <c r="D476" t="s">
        <v>16110</v>
      </c>
      <c r="E476" t="s">
        <v>4215</v>
      </c>
      <c r="F476" t="s">
        <v>17334</v>
      </c>
      <c r="G476">
        <v>3</v>
      </c>
      <c r="O476" t="str">
        <f t="shared" si="7"/>
        <v>Fin Derr (C) - Other financial derivatives: Nominal value by maturity (net) - 1 to 2 years</v>
      </c>
    </row>
    <row r="477" spans="1:15">
      <c r="A477" t="s">
        <v>17333</v>
      </c>
      <c r="B477" t="str">
        <f>'4I'!$AG$183</f>
        <v>CR20020N1_FD_C</v>
      </c>
      <c r="D477" t="s">
        <v>16111</v>
      </c>
      <c r="E477" t="s">
        <v>4215</v>
      </c>
      <c r="F477" t="s">
        <v>17334</v>
      </c>
      <c r="G477">
        <v>3</v>
      </c>
      <c r="O477" t="str">
        <f t="shared" si="7"/>
        <v>Fin Derr (C) - Total financial derivatives: Nominal value by maturity (net) - 1 to 2 years</v>
      </c>
    </row>
    <row r="478" spans="1:15">
      <c r="A478" t="s">
        <v>17333</v>
      </c>
      <c r="B478" t="str">
        <f>'4I'!$AH$147</f>
        <v>CR2021N2_FD_C</v>
      </c>
      <c r="D478" t="s">
        <v>16112</v>
      </c>
      <c r="E478" t="s">
        <v>4215</v>
      </c>
      <c r="F478" t="s">
        <v>17334</v>
      </c>
      <c r="G478">
        <v>3</v>
      </c>
      <c r="O478" t="str">
        <f t="shared" si="7"/>
        <v>Fin Derr (C) - Interest rate swap (sterling) - Floating to fixed rate: Nominal value by maturity (net) - 2 to 5 years</v>
      </c>
    </row>
    <row r="479" spans="1:15">
      <c r="A479" t="s">
        <v>17333</v>
      </c>
      <c r="B479" t="str">
        <f>'4I'!$AH$148</f>
        <v>CR2022N2_FD_C</v>
      </c>
      <c r="D479" t="s">
        <v>16113</v>
      </c>
      <c r="E479" t="s">
        <v>4215</v>
      </c>
      <c r="F479" t="s">
        <v>17334</v>
      </c>
      <c r="G479">
        <v>3</v>
      </c>
      <c r="O479" t="str">
        <f t="shared" si="7"/>
        <v>Fin Derr (C) - Interest rate swap (sterling) - Floating from fixed rate: Nominal value by maturity (net) - 2 to 5 years</v>
      </c>
    </row>
    <row r="480" spans="1:15">
      <c r="A480" t="s">
        <v>17333</v>
      </c>
      <c r="B480" t="str">
        <f>'4I'!$AH$149</f>
        <v>CR2023N2_FD_C</v>
      </c>
      <c r="D480" t="s">
        <v>16114</v>
      </c>
      <c r="E480" t="s">
        <v>4215</v>
      </c>
      <c r="F480" t="s">
        <v>17334</v>
      </c>
      <c r="G480">
        <v>3</v>
      </c>
      <c r="O480" t="str">
        <f t="shared" si="7"/>
        <v>Fin Derr (C) - Interest rate swap (sterling) - Floating to index linked: Nominal value by maturity (net) - 2 to 5 years</v>
      </c>
    </row>
    <row r="481" spans="1:15">
      <c r="A481" t="s">
        <v>17333</v>
      </c>
      <c r="B481" t="str">
        <f>'4I'!$AH$150</f>
        <v>CR2024N2_FD_C</v>
      </c>
      <c r="D481" t="s">
        <v>16115</v>
      </c>
      <c r="E481" t="s">
        <v>4215</v>
      </c>
      <c r="F481" t="s">
        <v>17334</v>
      </c>
      <c r="G481">
        <v>3</v>
      </c>
      <c r="O481" t="str">
        <f t="shared" si="7"/>
        <v>Fin Derr (C) - Interest rate swap (sterling) - Floating from index linked: Nominal value by maturity (net) - 2 to 5 years</v>
      </c>
    </row>
    <row r="482" spans="1:15">
      <c r="A482" t="s">
        <v>17333</v>
      </c>
      <c r="B482" t="str">
        <f>'4I'!$AH$151</f>
        <v>CR2025N2_FD_C</v>
      </c>
      <c r="D482" t="s">
        <v>16116</v>
      </c>
      <c r="E482" t="s">
        <v>4215</v>
      </c>
      <c r="F482" t="s">
        <v>17334</v>
      </c>
      <c r="G482">
        <v>3</v>
      </c>
      <c r="O482" t="str">
        <f t="shared" si="7"/>
        <v>Fin Derr (C) - Interest rate swap (sterling) - Fixed to index-linked: Nominal value by maturity (net) - 2 to 5 years</v>
      </c>
    </row>
    <row r="483" spans="1:15">
      <c r="A483" t="s">
        <v>17333</v>
      </c>
      <c r="B483" t="str">
        <f>'4I'!$AH$152</f>
        <v>CR2026N2_FD_C</v>
      </c>
      <c r="D483" t="s">
        <v>16117</v>
      </c>
      <c r="E483" t="s">
        <v>4215</v>
      </c>
      <c r="F483" t="s">
        <v>17334</v>
      </c>
      <c r="G483">
        <v>3</v>
      </c>
      <c r="O483" t="str">
        <f t="shared" si="7"/>
        <v>Fin Derr (C) - Interest rate swap (sterling) - Fixed from index-linked: Nominal value by maturity (net) - 2 to 5 years</v>
      </c>
    </row>
    <row r="484" spans="1:15">
      <c r="A484" t="s">
        <v>17333</v>
      </c>
      <c r="B484" t="str">
        <f>'4I'!$AH$153</f>
        <v>CR4029N2_FD_C</v>
      </c>
      <c r="D484" t="s">
        <v>16118</v>
      </c>
      <c r="E484" t="s">
        <v>4215</v>
      </c>
      <c r="F484" t="s">
        <v>17334</v>
      </c>
      <c r="G484">
        <v>3</v>
      </c>
      <c r="O484" t="str">
        <f t="shared" si="7"/>
        <v>Fin Derr (C) - Interest rate swap (sterling) - Index-linked to index-linked - Nominal value by maturity (net) at 31 March - 2 to 5 years</v>
      </c>
    </row>
    <row r="485" spans="1:15">
      <c r="A485" t="s">
        <v>17333</v>
      </c>
      <c r="B485" t="str">
        <f>'4I'!$AH$154</f>
        <v>CR2027N2_FD_C</v>
      </c>
      <c r="D485" t="s">
        <v>16119</v>
      </c>
      <c r="E485" t="s">
        <v>4215</v>
      </c>
      <c r="F485" t="s">
        <v>17334</v>
      </c>
      <c r="G485">
        <v>3</v>
      </c>
      <c r="O485" t="str">
        <f t="shared" si="7"/>
        <v>Fin Derr (C) - Interest rate swap (sterling) - Total: Nominal value by maturity (net) - 2 to 5 years</v>
      </c>
    </row>
    <row r="486" spans="1:15">
      <c r="A486" t="s">
        <v>17333</v>
      </c>
      <c r="B486" t="str">
        <f>'4I'!$AH$157</f>
        <v>CR2005N2_FD_C</v>
      </c>
      <c r="D486" t="s">
        <v>16120</v>
      </c>
      <c r="E486" t="s">
        <v>4215</v>
      </c>
      <c r="F486" t="s">
        <v>17334</v>
      </c>
      <c r="G486">
        <v>3</v>
      </c>
      <c r="O486" t="str">
        <f t="shared" si="7"/>
        <v>Fin Derr (C) - Foreign Exchange - Cross currency swap USD: Nominal value by maturity (net) - 2 to 5 years</v>
      </c>
    </row>
    <row r="487" spans="1:15">
      <c r="A487" t="s">
        <v>17333</v>
      </c>
      <c r="B487" t="str">
        <f>'4I'!$AH$158</f>
        <v>CR2006N2_FD_C</v>
      </c>
      <c r="D487" t="s">
        <v>16121</v>
      </c>
      <c r="E487" t="s">
        <v>4215</v>
      </c>
      <c r="F487" t="s">
        <v>17334</v>
      </c>
      <c r="G487">
        <v>3</v>
      </c>
      <c r="O487" t="str">
        <f t="shared" si="7"/>
        <v>Fin Derr (C) - Foreign Exchange - Cross currency swap EUR: Nominal value by maturity (net) - 2 to 5 years</v>
      </c>
    </row>
    <row r="488" spans="1:15">
      <c r="A488" t="s">
        <v>17333</v>
      </c>
      <c r="B488" t="str">
        <f>'4I'!$AH$159</f>
        <v>CR2007N2_FD_C</v>
      </c>
      <c r="D488" t="s">
        <v>16122</v>
      </c>
      <c r="E488" t="s">
        <v>4215</v>
      </c>
      <c r="F488" t="s">
        <v>17334</v>
      </c>
      <c r="G488">
        <v>3</v>
      </c>
      <c r="O488" t="str">
        <f t="shared" si="7"/>
        <v>Fin Derr (C) - Foreign Exchange - Cross currency swap YEN: Nominal value by maturity (net) - 2 to 5 years</v>
      </c>
    </row>
    <row r="489" spans="1:15">
      <c r="A489" t="s">
        <v>17333</v>
      </c>
      <c r="B489" t="str">
        <f>'4I'!$AH$160</f>
        <v>CR2008N2_FD_C</v>
      </c>
      <c r="D489" t="s">
        <v>16123</v>
      </c>
      <c r="E489" t="s">
        <v>4215</v>
      </c>
      <c r="F489" t="s">
        <v>17334</v>
      </c>
      <c r="G489">
        <v>3</v>
      </c>
      <c r="O489" t="str">
        <f t="shared" si="7"/>
        <v>Fin Derr (C) - Foreign Exchange - Cross currency swap Other: Nominal value by maturity (net) - 2 to 5 years</v>
      </c>
    </row>
    <row r="490" spans="1:15">
      <c r="A490" t="s">
        <v>17333</v>
      </c>
      <c r="B490" t="str">
        <f>'4I'!$AH$161</f>
        <v>CR2009N2_FD_C</v>
      </c>
      <c r="D490" t="s">
        <v>16124</v>
      </c>
      <c r="E490" t="s">
        <v>4215</v>
      </c>
      <c r="F490" t="s">
        <v>17334</v>
      </c>
      <c r="G490">
        <v>3</v>
      </c>
      <c r="O490" t="str">
        <f t="shared" si="7"/>
        <v>Fin Derr (C) - Foreign Exchange - Total: Nominal value by maturity (net) - 2 to 5 years</v>
      </c>
    </row>
    <row r="491" spans="1:15">
      <c r="A491" t="s">
        <v>17333</v>
      </c>
      <c r="B491" t="str">
        <f>'4I'!$AH$164</f>
        <v>CR20010N2_FD_C</v>
      </c>
      <c r="D491" t="s">
        <v>16125</v>
      </c>
      <c r="E491" t="s">
        <v>4215</v>
      </c>
      <c r="F491" t="s">
        <v>17334</v>
      </c>
      <c r="G491">
        <v>3</v>
      </c>
      <c r="O491" t="str">
        <f t="shared" si="7"/>
        <v>Fin Derr (C) - Currency interest rate  - Currency interest rate swaps USD: Nominal value by maturity (net) - 2 to 5 years</v>
      </c>
    </row>
    <row r="492" spans="1:15">
      <c r="A492" t="s">
        <v>17333</v>
      </c>
      <c r="B492" t="str">
        <f>'4I'!$AH$165</f>
        <v>CR20011N2_FD_C</v>
      </c>
      <c r="D492" t="s">
        <v>16126</v>
      </c>
      <c r="E492" t="s">
        <v>4215</v>
      </c>
      <c r="F492" t="s">
        <v>17334</v>
      </c>
      <c r="G492">
        <v>3</v>
      </c>
      <c r="O492" t="str">
        <f t="shared" si="7"/>
        <v>Fin Derr (C) - Currency interest rate  - Currency interest rate swaps EUR: Nominal value by maturity (net) - 2 to 5 years</v>
      </c>
    </row>
    <row r="493" spans="1:15">
      <c r="A493" t="s">
        <v>17333</v>
      </c>
      <c r="B493" t="str">
        <f>'4I'!$AH$166</f>
        <v>CR20012N2_FD_C</v>
      </c>
      <c r="D493" t="s">
        <v>16127</v>
      </c>
      <c r="E493" t="s">
        <v>4215</v>
      </c>
      <c r="F493" t="s">
        <v>17334</v>
      </c>
      <c r="G493">
        <v>3</v>
      </c>
      <c r="O493" t="str">
        <f t="shared" si="7"/>
        <v>Fin Derr (C) - Currency interest rate  - Currency interest rate swaps YEN: Nominal value by maturity (net) - 2 to 5 years</v>
      </c>
    </row>
    <row r="494" spans="1:15">
      <c r="A494" t="s">
        <v>17333</v>
      </c>
      <c r="B494" t="str">
        <f>'4I'!$AH$167</f>
        <v>CR20013N2_FD_C</v>
      </c>
      <c r="D494" t="s">
        <v>16128</v>
      </c>
      <c r="E494" t="s">
        <v>4215</v>
      </c>
      <c r="F494" t="s">
        <v>17334</v>
      </c>
      <c r="G494">
        <v>3</v>
      </c>
      <c r="O494" t="str">
        <f t="shared" si="7"/>
        <v>Fin Derr (C) - Currency interest rate  - Currency interest rate swaps Other: Nominal value by maturity (net) - 2 to 5 years</v>
      </c>
    </row>
    <row r="495" spans="1:15">
      <c r="A495" t="s">
        <v>17333</v>
      </c>
      <c r="B495" t="str">
        <f>'4I'!$AH$168</f>
        <v>CR20014N2_FD_C</v>
      </c>
      <c r="D495" t="s">
        <v>16129</v>
      </c>
      <c r="E495" t="s">
        <v>4215</v>
      </c>
      <c r="F495" t="s">
        <v>17334</v>
      </c>
      <c r="G495">
        <v>3</v>
      </c>
      <c r="O495" t="str">
        <f t="shared" si="7"/>
        <v>Fin Derr (C) - Currency interest rate  - Total: Nominal value by maturity (net) - 2 to 5 years</v>
      </c>
    </row>
    <row r="496" spans="1:15">
      <c r="A496" t="s">
        <v>17333</v>
      </c>
      <c r="B496" t="str">
        <f>'4I'!$AH$171</f>
        <v>CR20015N2_FD_C</v>
      </c>
      <c r="D496" t="s">
        <v>16130</v>
      </c>
      <c r="E496" t="s">
        <v>4215</v>
      </c>
      <c r="F496" t="s">
        <v>17334</v>
      </c>
      <c r="G496">
        <v>3</v>
      </c>
      <c r="O496" t="str">
        <f t="shared" si="7"/>
        <v>Fin Derr (C) - Forward currency contracts - Forward currency contracts USD: Nominal value by maturity (net) - 2 to 5 years</v>
      </c>
    </row>
    <row r="497" spans="1:15">
      <c r="A497" t="s">
        <v>17333</v>
      </c>
      <c r="B497" t="str">
        <f>'4I'!$AH$172</f>
        <v>CR20016N2_FD_C</v>
      </c>
      <c r="D497" t="s">
        <v>16131</v>
      </c>
      <c r="E497" t="s">
        <v>4215</v>
      </c>
      <c r="F497" t="s">
        <v>17334</v>
      </c>
      <c r="G497">
        <v>3</v>
      </c>
      <c r="O497" t="str">
        <f t="shared" si="7"/>
        <v>Fin Derr (C) - Forward currency contracts - Forward currency contracts EUR: Nominal value by maturity (net) - 2 to 5 years</v>
      </c>
    </row>
    <row r="498" spans="1:15">
      <c r="A498" t="s">
        <v>17333</v>
      </c>
      <c r="B498" t="str">
        <f>'4I'!$AH$173</f>
        <v>CR20017N2_FD_C</v>
      </c>
      <c r="D498" t="s">
        <v>16132</v>
      </c>
      <c r="E498" t="s">
        <v>4215</v>
      </c>
      <c r="F498" t="s">
        <v>17334</v>
      </c>
      <c r="G498">
        <v>3</v>
      </c>
      <c r="O498" t="str">
        <f t="shared" si="7"/>
        <v>Fin Derr (C) - Forward currency contracts - Forward currency contracts YEN: Nominal value by maturity (net) - 2 to 5 years</v>
      </c>
    </row>
    <row r="499" spans="1:15">
      <c r="A499" t="s">
        <v>17333</v>
      </c>
      <c r="B499" t="str">
        <f>'4I'!$AH$174</f>
        <v>CR2029N2_FD_C</v>
      </c>
      <c r="D499" t="s">
        <v>16133</v>
      </c>
      <c r="E499" t="s">
        <v>4215</v>
      </c>
      <c r="F499" t="s">
        <v>17334</v>
      </c>
      <c r="G499">
        <v>3</v>
      </c>
      <c r="O499" t="str">
        <f t="shared" si="7"/>
        <v>Fin Derr (C) - Forward currency contracts CAD - Nominal value by maturity (net) - 2 to 5 years</v>
      </c>
    </row>
    <row r="500" spans="1:15">
      <c r="A500" t="s">
        <v>17333</v>
      </c>
      <c r="B500" t="str">
        <f>'4I'!$AH$175</f>
        <v>CR2030N2_FD_C</v>
      </c>
      <c r="D500" t="s">
        <v>16134</v>
      </c>
      <c r="E500" t="s">
        <v>4215</v>
      </c>
      <c r="F500" t="s">
        <v>17334</v>
      </c>
      <c r="G500">
        <v>3</v>
      </c>
      <c r="O500" t="str">
        <f t="shared" si="7"/>
        <v>Fin Derr (C) - Forward currency contracts AUD - Nominal value by maturity (net) - 2 to 5 years</v>
      </c>
    </row>
    <row r="501" spans="1:15">
      <c r="A501" t="s">
        <v>17333</v>
      </c>
      <c r="B501" t="str">
        <f>'4I'!$AH$176</f>
        <v>CR2031N2_FD_C</v>
      </c>
      <c r="D501" t="s">
        <v>16135</v>
      </c>
      <c r="E501" t="s">
        <v>4215</v>
      </c>
      <c r="F501" t="s">
        <v>17334</v>
      </c>
      <c r="G501">
        <v>3</v>
      </c>
      <c r="O501" t="str">
        <f t="shared" si="7"/>
        <v>Fin Derr (C) - Forward currency contracts HKD - Nominal value by maturity (net) - 2 to 5 years</v>
      </c>
    </row>
    <row r="502" spans="1:15">
      <c r="A502" t="s">
        <v>17333</v>
      </c>
      <c r="B502" t="str">
        <f>'4I'!$AH$177</f>
        <v>CR20018N2_FD_C</v>
      </c>
      <c r="D502" t="s">
        <v>16136</v>
      </c>
      <c r="E502" t="s">
        <v>4215</v>
      </c>
      <c r="F502" t="s">
        <v>17334</v>
      </c>
      <c r="G502">
        <v>3</v>
      </c>
      <c r="O502" t="str">
        <f t="shared" si="7"/>
        <v>Fin Derr (C) - Forward currency contracts - Forward currency contracts Other: Nominal value by maturity (net) - 2 to 5 years</v>
      </c>
    </row>
    <row r="503" spans="1:15">
      <c r="A503" t="s">
        <v>17333</v>
      </c>
      <c r="B503" t="str">
        <f>'4I'!$AH$178</f>
        <v>CR20019N2_FD_C</v>
      </c>
      <c r="D503" t="s">
        <v>16137</v>
      </c>
      <c r="E503" t="s">
        <v>4215</v>
      </c>
      <c r="F503" t="s">
        <v>17334</v>
      </c>
      <c r="G503">
        <v>3</v>
      </c>
      <c r="O503" t="str">
        <f t="shared" si="7"/>
        <v>Fin Derr (C) - Forward currency contracts - Total: Nominal value by maturity (net) - 2 to 5 years</v>
      </c>
    </row>
    <row r="504" spans="1:15">
      <c r="A504" t="s">
        <v>17333</v>
      </c>
      <c r="B504" t="str">
        <f>'4I'!$AH$181</f>
        <v>CR2028N2_FD_C</v>
      </c>
      <c r="D504" t="s">
        <v>16138</v>
      </c>
      <c r="E504" t="s">
        <v>4215</v>
      </c>
      <c r="F504" t="s">
        <v>17334</v>
      </c>
      <c r="G504">
        <v>3</v>
      </c>
      <c r="O504" t="str">
        <f t="shared" si="7"/>
        <v>Fin Derr (C) - Other financial derivatives: Nominal value by maturity (net) - 2 to 5 years</v>
      </c>
    </row>
    <row r="505" spans="1:15">
      <c r="A505" t="s">
        <v>17333</v>
      </c>
      <c r="B505" t="str">
        <f>'4I'!$AH$183</f>
        <v>CR20020N2_FD_C</v>
      </c>
      <c r="D505" t="s">
        <v>16139</v>
      </c>
      <c r="E505" t="s">
        <v>4215</v>
      </c>
      <c r="F505" t="s">
        <v>17334</v>
      </c>
      <c r="G505">
        <v>3</v>
      </c>
      <c r="O505" t="str">
        <f t="shared" si="7"/>
        <v>Fin Derr (C) - Total financial derivatives: Nominal value by maturity (net) - 2 to 5 years</v>
      </c>
    </row>
    <row r="506" spans="1:15">
      <c r="A506" t="s">
        <v>17333</v>
      </c>
      <c r="B506" t="str">
        <f>'4I'!$AI$147</f>
        <v>CR2021N5_FD_C</v>
      </c>
      <c r="D506" t="s">
        <v>16140</v>
      </c>
      <c r="E506" t="s">
        <v>4215</v>
      </c>
      <c r="F506" t="s">
        <v>17334</v>
      </c>
      <c r="G506">
        <v>3</v>
      </c>
      <c r="O506" t="str">
        <f t="shared" si="7"/>
        <v>Fin Derr (C) - Interest rate swap (sterling) - Floating to fixed rate: Nominal value by maturity (net) - Over 5 years</v>
      </c>
    </row>
    <row r="507" spans="1:15">
      <c r="A507" t="s">
        <v>17333</v>
      </c>
      <c r="B507" t="str">
        <f>'4I'!$AI$148</f>
        <v>CR2022N5_FD_C</v>
      </c>
      <c r="D507" t="s">
        <v>16141</v>
      </c>
      <c r="E507" t="s">
        <v>4215</v>
      </c>
      <c r="F507" t="s">
        <v>17334</v>
      </c>
      <c r="G507">
        <v>3</v>
      </c>
      <c r="O507" t="str">
        <f t="shared" si="7"/>
        <v>Fin Derr (C) - Interest rate swap (sterling) - Floating from fixed rate: Nominal value by maturity (net) - Over 5 years</v>
      </c>
    </row>
    <row r="508" spans="1:15">
      <c r="A508" t="s">
        <v>17333</v>
      </c>
      <c r="B508" t="str">
        <f>'4I'!$AI$149</f>
        <v>CR2023N5_FD_C</v>
      </c>
      <c r="D508" t="s">
        <v>16142</v>
      </c>
      <c r="E508" t="s">
        <v>4215</v>
      </c>
      <c r="F508" t="s">
        <v>17334</v>
      </c>
      <c r="G508">
        <v>3</v>
      </c>
      <c r="O508" t="str">
        <f t="shared" si="7"/>
        <v>Fin Derr (C) - Interest rate swap (sterling) - Floating to index linked: Nominal value by maturity (net) - Over 5 years</v>
      </c>
    </row>
    <row r="509" spans="1:15">
      <c r="A509" t="s">
        <v>17333</v>
      </c>
      <c r="B509" t="str">
        <f>'4I'!$AI$150</f>
        <v>CR2024N5_FD_C</v>
      </c>
      <c r="D509" t="s">
        <v>16143</v>
      </c>
      <c r="E509" t="s">
        <v>4215</v>
      </c>
      <c r="F509" t="s">
        <v>17334</v>
      </c>
      <c r="G509">
        <v>3</v>
      </c>
      <c r="O509" t="str">
        <f t="shared" si="7"/>
        <v>Fin Derr (C) - Interest rate swap (sterling) - Floating from index linked: Nominal value by maturity (net) - Over 5 years</v>
      </c>
    </row>
    <row r="510" spans="1:15">
      <c r="A510" t="s">
        <v>17333</v>
      </c>
      <c r="B510" t="str">
        <f>'4I'!$AI$151</f>
        <v>CR2025N5_FD_C</v>
      </c>
      <c r="D510" t="s">
        <v>16144</v>
      </c>
      <c r="E510" t="s">
        <v>4215</v>
      </c>
      <c r="F510" t="s">
        <v>17334</v>
      </c>
      <c r="G510">
        <v>3</v>
      </c>
      <c r="O510" t="str">
        <f t="shared" si="7"/>
        <v>Fin Derr (C) - Interest rate swap (sterling) - Fixed to index-linked: Nominal value by maturity (net) - Over 5 years</v>
      </c>
    </row>
    <row r="511" spans="1:15">
      <c r="A511" t="s">
        <v>17333</v>
      </c>
      <c r="B511" t="str">
        <f>'4I'!$AI$152</f>
        <v>CR2026N5_FD_C</v>
      </c>
      <c r="D511" t="s">
        <v>16145</v>
      </c>
      <c r="E511" t="s">
        <v>4215</v>
      </c>
      <c r="F511" t="s">
        <v>17334</v>
      </c>
      <c r="G511">
        <v>3</v>
      </c>
      <c r="O511" t="str">
        <f t="shared" si="7"/>
        <v>Fin Derr (C) - Interest rate swap (sterling) - Fixed from index-linked: Nominal value by maturity (net) - Over 5 years</v>
      </c>
    </row>
    <row r="512" spans="1:15">
      <c r="A512" t="s">
        <v>17333</v>
      </c>
      <c r="B512" t="str">
        <f>'4I'!$AI$153</f>
        <v>CR4029N5_FD_C</v>
      </c>
      <c r="D512" t="s">
        <v>16146</v>
      </c>
      <c r="E512" t="s">
        <v>4215</v>
      </c>
      <c r="F512" t="s">
        <v>17334</v>
      </c>
      <c r="G512">
        <v>3</v>
      </c>
      <c r="O512" t="str">
        <f t="shared" si="7"/>
        <v>Fin Derr (C) - Interest rate swap (sterling) - Index-linked to index-linked - Nominal value by maturity (net) at 31 March - over 5 years</v>
      </c>
    </row>
    <row r="513" spans="1:15">
      <c r="A513" t="s">
        <v>17333</v>
      </c>
      <c r="B513" t="str">
        <f>'4I'!$AI$154</f>
        <v>CR2027N5_FD_C</v>
      </c>
      <c r="D513" t="s">
        <v>16147</v>
      </c>
      <c r="E513" t="s">
        <v>4215</v>
      </c>
      <c r="F513" t="s">
        <v>17334</v>
      </c>
      <c r="G513">
        <v>3</v>
      </c>
      <c r="O513" t="str">
        <f t="shared" si="7"/>
        <v>Fin Derr (C) - Interest rate swap (sterling) - Total: Nominal value by maturity (net) - Over 5 years</v>
      </c>
    </row>
    <row r="514" spans="1:15">
      <c r="A514" t="s">
        <v>17333</v>
      </c>
      <c r="B514" t="str">
        <f>'4I'!$AI$157</f>
        <v>CR2005N5_FD_C</v>
      </c>
      <c r="D514" t="s">
        <v>16148</v>
      </c>
      <c r="E514" t="s">
        <v>4215</v>
      </c>
      <c r="F514" t="s">
        <v>17334</v>
      </c>
      <c r="G514">
        <v>3</v>
      </c>
      <c r="O514" t="str">
        <f t="shared" ref="O514:O577" si="8">D514</f>
        <v>Fin Derr (C) - Foreign Exchange - Cross currency swap USD: Nominal value by maturity (net) - Over 5 years</v>
      </c>
    </row>
    <row r="515" spans="1:15">
      <c r="A515" t="s">
        <v>17333</v>
      </c>
      <c r="B515" t="str">
        <f>'4I'!$AI$158</f>
        <v>CR2006N5_FD_C</v>
      </c>
      <c r="D515" t="s">
        <v>16149</v>
      </c>
      <c r="E515" t="s">
        <v>4215</v>
      </c>
      <c r="F515" t="s">
        <v>17334</v>
      </c>
      <c r="G515">
        <v>3</v>
      </c>
      <c r="O515" t="str">
        <f t="shared" si="8"/>
        <v>Fin Derr (C) - Foreign Exchange - Cross currency swap EUR: Nominal value by maturity (net) - Over 5 years</v>
      </c>
    </row>
    <row r="516" spans="1:15">
      <c r="A516" t="s">
        <v>17333</v>
      </c>
      <c r="B516" t="str">
        <f>'4I'!$AI$159</f>
        <v>CR2007N5_FD_C</v>
      </c>
      <c r="D516" t="s">
        <v>16150</v>
      </c>
      <c r="E516" t="s">
        <v>4215</v>
      </c>
      <c r="F516" t="s">
        <v>17334</v>
      </c>
      <c r="G516">
        <v>3</v>
      </c>
      <c r="O516" t="str">
        <f t="shared" si="8"/>
        <v>Fin Derr (C) - Foreign Exchange - Cross currency swap YEN: Nominal value by maturity (net) - Over 5 years</v>
      </c>
    </row>
    <row r="517" spans="1:15">
      <c r="A517" t="s">
        <v>17333</v>
      </c>
      <c r="B517" t="str">
        <f>'4I'!$AI$160</f>
        <v>CR2008N5_FD_C</v>
      </c>
      <c r="D517" t="s">
        <v>16151</v>
      </c>
      <c r="E517" t="s">
        <v>4215</v>
      </c>
      <c r="F517" t="s">
        <v>17334</v>
      </c>
      <c r="G517">
        <v>3</v>
      </c>
      <c r="O517" t="str">
        <f t="shared" si="8"/>
        <v>Fin Derr (C) - Foreign Exchange - Cross currency swap Other: Nominal value by maturity (net) - Over 5 years</v>
      </c>
    </row>
    <row r="518" spans="1:15">
      <c r="A518" t="s">
        <v>17333</v>
      </c>
      <c r="B518" t="str">
        <f>'4I'!$AI$161</f>
        <v>CR2009N5_FD_C</v>
      </c>
      <c r="D518" t="s">
        <v>16152</v>
      </c>
      <c r="E518" t="s">
        <v>4215</v>
      </c>
      <c r="F518" t="s">
        <v>17334</v>
      </c>
      <c r="G518">
        <v>3</v>
      </c>
      <c r="O518" t="str">
        <f t="shared" si="8"/>
        <v>Fin Derr (C) - Foreign Exchange - Total: Nominal value by maturity (net) - Over 5 years</v>
      </c>
    </row>
    <row r="519" spans="1:15">
      <c r="A519" t="s">
        <v>17333</v>
      </c>
      <c r="B519" t="str">
        <f>'4I'!$AI$164</f>
        <v>CR20010N5_FD_C</v>
      </c>
      <c r="D519" t="s">
        <v>16153</v>
      </c>
      <c r="E519" t="s">
        <v>4215</v>
      </c>
      <c r="F519" t="s">
        <v>17334</v>
      </c>
      <c r="G519">
        <v>3</v>
      </c>
      <c r="O519" t="str">
        <f t="shared" si="8"/>
        <v>Fin Derr (C) - Currency interest rate  - Currency interest rate swaps USD: Nominal value by maturity (net) - Over 5 years</v>
      </c>
    </row>
    <row r="520" spans="1:15">
      <c r="A520" t="s">
        <v>17333</v>
      </c>
      <c r="B520" t="str">
        <f>'4I'!$AI$165</f>
        <v>CR20011N5_FD_C</v>
      </c>
      <c r="D520" t="s">
        <v>16154</v>
      </c>
      <c r="E520" t="s">
        <v>4215</v>
      </c>
      <c r="F520" t="s">
        <v>17334</v>
      </c>
      <c r="G520">
        <v>3</v>
      </c>
      <c r="O520" t="str">
        <f t="shared" si="8"/>
        <v>Fin Derr (C) - Currency interest rate  - Currency interest rate swaps EUR: Nominal value by maturity (net) - Over 5 years</v>
      </c>
    </row>
    <row r="521" spans="1:15">
      <c r="A521" t="s">
        <v>17333</v>
      </c>
      <c r="B521" t="str">
        <f>'4I'!$AI$166</f>
        <v>CR20012N5_FD_C</v>
      </c>
      <c r="D521" t="s">
        <v>16155</v>
      </c>
      <c r="E521" t="s">
        <v>4215</v>
      </c>
      <c r="F521" t="s">
        <v>17334</v>
      </c>
      <c r="G521">
        <v>3</v>
      </c>
      <c r="O521" t="str">
        <f t="shared" si="8"/>
        <v>Fin Derr (C) - Currency interest rate  - Currency interest rate swaps YEN: Nominal value by maturity (net) - Over 5 years</v>
      </c>
    </row>
    <row r="522" spans="1:15">
      <c r="A522" t="s">
        <v>17333</v>
      </c>
      <c r="B522" t="str">
        <f>'4I'!$AI$167</f>
        <v>CR20013N5_FD_C</v>
      </c>
      <c r="D522" t="s">
        <v>16156</v>
      </c>
      <c r="E522" t="s">
        <v>4215</v>
      </c>
      <c r="F522" t="s">
        <v>17334</v>
      </c>
      <c r="G522">
        <v>3</v>
      </c>
      <c r="O522" t="str">
        <f t="shared" si="8"/>
        <v>Fin Derr (C) - Currency interest rate  - Currency interest rate swaps Other: Nominal value by maturity (net) - Over 5 years</v>
      </c>
    </row>
    <row r="523" spans="1:15">
      <c r="A523" t="s">
        <v>17333</v>
      </c>
      <c r="B523" t="str">
        <f>'4I'!$AI$168</f>
        <v>CR20014N5_FD_C</v>
      </c>
      <c r="D523" t="s">
        <v>16157</v>
      </c>
      <c r="E523" t="s">
        <v>4215</v>
      </c>
      <c r="F523" t="s">
        <v>17334</v>
      </c>
      <c r="G523">
        <v>3</v>
      </c>
      <c r="O523" t="str">
        <f t="shared" si="8"/>
        <v>Fin Derr (C) - Currency interest rate  - Total: Nominal value by maturity (net) - Over 5 years</v>
      </c>
    </row>
    <row r="524" spans="1:15">
      <c r="A524" t="s">
        <v>17333</v>
      </c>
      <c r="B524" t="str">
        <f>'4I'!$AI$171</f>
        <v>CR20015N5_FD_C</v>
      </c>
      <c r="D524" t="s">
        <v>16158</v>
      </c>
      <c r="E524" t="s">
        <v>4215</v>
      </c>
      <c r="F524" t="s">
        <v>17334</v>
      </c>
      <c r="G524">
        <v>3</v>
      </c>
      <c r="O524" t="str">
        <f t="shared" si="8"/>
        <v>Fin Derr (C) - Forward currency contracts - Forward currency contracts USD: Nominal value by maturity (net) - Over 5 years</v>
      </c>
    </row>
    <row r="525" spans="1:15">
      <c r="A525" t="s">
        <v>17333</v>
      </c>
      <c r="B525" t="str">
        <f>'4I'!$AI$172</f>
        <v>CR20016N5_FD_C</v>
      </c>
      <c r="D525" t="s">
        <v>16159</v>
      </c>
      <c r="E525" t="s">
        <v>4215</v>
      </c>
      <c r="F525" t="s">
        <v>17334</v>
      </c>
      <c r="G525">
        <v>3</v>
      </c>
      <c r="O525" t="str">
        <f t="shared" si="8"/>
        <v>Fin Derr (C) - Forward currency contracts - Forward currency contracts EUR: Nominal value by maturity (net) - Over 5 years</v>
      </c>
    </row>
    <row r="526" spans="1:15">
      <c r="A526" t="s">
        <v>17333</v>
      </c>
      <c r="B526" t="str">
        <f>'4I'!$AI$173</f>
        <v>CR20017N5_FD_C</v>
      </c>
      <c r="D526" t="s">
        <v>16160</v>
      </c>
      <c r="E526" t="s">
        <v>4215</v>
      </c>
      <c r="F526" t="s">
        <v>17334</v>
      </c>
      <c r="G526">
        <v>3</v>
      </c>
      <c r="O526" t="str">
        <f t="shared" si="8"/>
        <v>Fin Derr (C) - Forward currency contracts - Forward currency contracts YEN: Nominal value by maturity (net) - Over 5 years</v>
      </c>
    </row>
    <row r="527" spans="1:15">
      <c r="A527" t="s">
        <v>17333</v>
      </c>
      <c r="B527" t="str">
        <f>'4I'!$AI$174</f>
        <v>CR2029N5_FD_C</v>
      </c>
      <c r="D527" t="s">
        <v>16161</v>
      </c>
      <c r="E527" t="s">
        <v>4215</v>
      </c>
      <c r="F527" t="s">
        <v>17334</v>
      </c>
      <c r="G527">
        <v>3</v>
      </c>
      <c r="O527" t="str">
        <f t="shared" si="8"/>
        <v>Fin Derr (C) - Forward currency contracts CAD - Nominal value by maturity (net) - Over 5 years</v>
      </c>
    </row>
    <row r="528" spans="1:15">
      <c r="A528" t="s">
        <v>17333</v>
      </c>
      <c r="B528" t="str">
        <f>'4I'!$AI$175</f>
        <v>CR2030N5_FD_C</v>
      </c>
      <c r="D528" t="s">
        <v>16162</v>
      </c>
      <c r="E528" t="s">
        <v>4215</v>
      </c>
      <c r="F528" t="s">
        <v>17334</v>
      </c>
      <c r="G528">
        <v>3</v>
      </c>
      <c r="O528" t="str">
        <f t="shared" si="8"/>
        <v>Fin Derr (C) - Forward currency contracts AUD - Nominal value by maturity (net) - Over 5 years</v>
      </c>
    </row>
    <row r="529" spans="1:15">
      <c r="A529" t="s">
        <v>17333</v>
      </c>
      <c r="B529" t="str">
        <f>'4I'!$AI$176</f>
        <v>CR2031N5_FD_C</v>
      </c>
      <c r="D529" t="s">
        <v>16163</v>
      </c>
      <c r="E529" t="s">
        <v>4215</v>
      </c>
      <c r="F529" t="s">
        <v>17334</v>
      </c>
      <c r="G529">
        <v>3</v>
      </c>
      <c r="O529" t="str">
        <f t="shared" si="8"/>
        <v>Fin Derr (C) - Forward currency contracts HKD - Nominal value by maturity (net) - Over 5 years</v>
      </c>
    </row>
    <row r="530" spans="1:15">
      <c r="A530" t="s">
        <v>17333</v>
      </c>
      <c r="B530" t="str">
        <f>'4I'!$AI$177</f>
        <v>CR20018N5_FD_C</v>
      </c>
      <c r="D530" t="s">
        <v>16164</v>
      </c>
      <c r="E530" t="s">
        <v>4215</v>
      </c>
      <c r="F530" t="s">
        <v>17334</v>
      </c>
      <c r="G530">
        <v>3</v>
      </c>
      <c r="O530" t="str">
        <f t="shared" si="8"/>
        <v>Fin Derr (C) - Forward currency contracts - Forward currency contracts Other: Nominal value by maturity (net) - Over 5 years</v>
      </c>
    </row>
    <row r="531" spans="1:15">
      <c r="A531" t="s">
        <v>17333</v>
      </c>
      <c r="B531" t="str">
        <f>'4I'!$AI$178</f>
        <v>CR20019N5_FD_C</v>
      </c>
      <c r="D531" t="s">
        <v>16165</v>
      </c>
      <c r="E531" t="s">
        <v>4215</v>
      </c>
      <c r="F531" t="s">
        <v>17334</v>
      </c>
      <c r="G531">
        <v>3</v>
      </c>
      <c r="O531" t="str">
        <f t="shared" si="8"/>
        <v>Fin Derr (C) - Forward currency contracts - Total: Nominal value by maturity (net) - Over 5 years</v>
      </c>
    </row>
    <row r="532" spans="1:15">
      <c r="A532" t="s">
        <v>17333</v>
      </c>
      <c r="B532" t="str">
        <f>'4I'!$AI$181</f>
        <v>CR2028N5_FD_C</v>
      </c>
      <c r="D532" t="s">
        <v>16166</v>
      </c>
      <c r="E532" t="s">
        <v>4215</v>
      </c>
      <c r="F532" t="s">
        <v>17334</v>
      </c>
      <c r="G532">
        <v>3</v>
      </c>
      <c r="O532" t="str">
        <f t="shared" si="8"/>
        <v>Fin Derr (C) - Other financial derivatives: Nominal value by maturity (net) - Over 5 years</v>
      </c>
    </row>
    <row r="533" spans="1:15">
      <c r="A533" t="s">
        <v>17333</v>
      </c>
      <c r="B533" t="str">
        <f>'4I'!$AI$183</f>
        <v>CR20020N5_FD_C</v>
      </c>
      <c r="D533" t="s">
        <v>16167</v>
      </c>
      <c r="E533" t="s">
        <v>4215</v>
      </c>
      <c r="F533" t="s">
        <v>17334</v>
      </c>
      <c r="G533">
        <v>3</v>
      </c>
      <c r="O533" t="str">
        <f t="shared" si="8"/>
        <v>Fin Derr (C) - Total financial derivatives: Nominal value by maturity (net) - Over 5 years</v>
      </c>
    </row>
    <row r="534" spans="1:15">
      <c r="A534" t="s">
        <v>17333</v>
      </c>
      <c r="B534" t="str">
        <f>'4I'!$AJ$147</f>
        <v>CR2021N6_FD_C</v>
      </c>
      <c r="D534" t="s">
        <v>16168</v>
      </c>
      <c r="E534" t="s">
        <v>4215</v>
      </c>
      <c r="F534" t="s">
        <v>17334</v>
      </c>
      <c r="G534">
        <v>3</v>
      </c>
      <c r="O534" t="str">
        <f t="shared" si="8"/>
        <v>Fin Derr (C) - Interest rate swap (sterling) - Floating to fixed rate: Total value at 31 March 2018 - Nominal value (net)</v>
      </c>
    </row>
    <row r="535" spans="1:15">
      <c r="A535" t="s">
        <v>17333</v>
      </c>
      <c r="B535" t="str">
        <f>'4I'!$AJ$148</f>
        <v>CR2022N6_FD_C</v>
      </c>
      <c r="D535" t="s">
        <v>16169</v>
      </c>
      <c r="E535" t="s">
        <v>4215</v>
      </c>
      <c r="F535" t="s">
        <v>17334</v>
      </c>
      <c r="G535">
        <v>3</v>
      </c>
      <c r="O535" t="str">
        <f t="shared" si="8"/>
        <v>Fin Derr (C) - Interest rate swap (sterling) - Floating from fixed rate: Total value at 31 March 2018 - Nominal value (net)</v>
      </c>
    </row>
    <row r="536" spans="1:15">
      <c r="A536" t="s">
        <v>17333</v>
      </c>
      <c r="B536" t="str">
        <f>'4I'!$AJ$149</f>
        <v>CR2023N6_FD_C</v>
      </c>
      <c r="D536" t="s">
        <v>16170</v>
      </c>
      <c r="E536" t="s">
        <v>4215</v>
      </c>
      <c r="F536" t="s">
        <v>17334</v>
      </c>
      <c r="G536">
        <v>3</v>
      </c>
      <c r="O536" t="str">
        <f t="shared" si="8"/>
        <v>Fin Derr (C) - Interest rate swap (sterling) - Floating to index linked: Total value at 31 March 2018 - Nominal value (net)</v>
      </c>
    </row>
    <row r="537" spans="1:15">
      <c r="A537" t="s">
        <v>17333</v>
      </c>
      <c r="B537" t="str">
        <f>'4I'!$AJ$150</f>
        <v>CR2024N6_FD_C</v>
      </c>
      <c r="D537" t="s">
        <v>16171</v>
      </c>
      <c r="E537" t="s">
        <v>4215</v>
      </c>
      <c r="F537" t="s">
        <v>17334</v>
      </c>
      <c r="G537">
        <v>3</v>
      </c>
      <c r="O537" t="str">
        <f t="shared" si="8"/>
        <v>Fin Derr (C) - Interest rate swap (sterling) - Floating from index linked: Total value at 31 March 2018 - Nominal value (net)</v>
      </c>
    </row>
    <row r="538" spans="1:15">
      <c r="A538" t="s">
        <v>17333</v>
      </c>
      <c r="B538" t="str">
        <f>'4I'!$AJ$151</f>
        <v>CR2025N6_FD_C</v>
      </c>
      <c r="D538" t="s">
        <v>16172</v>
      </c>
      <c r="E538" t="s">
        <v>4215</v>
      </c>
      <c r="F538" t="s">
        <v>17334</v>
      </c>
      <c r="G538">
        <v>3</v>
      </c>
      <c r="O538" t="str">
        <f t="shared" si="8"/>
        <v>Fin Derr (C) - Interest rate swap (sterling) - Fixed to index-linked: Total value at 31 March 2018 - Nominal value (net)</v>
      </c>
    </row>
    <row r="539" spans="1:15">
      <c r="A539" t="s">
        <v>17333</v>
      </c>
      <c r="B539" t="str">
        <f>'4I'!$AJ$152</f>
        <v>CR2026N6_FD_C</v>
      </c>
      <c r="D539" t="s">
        <v>16173</v>
      </c>
      <c r="E539" t="s">
        <v>4215</v>
      </c>
      <c r="F539" t="s">
        <v>17334</v>
      </c>
      <c r="G539">
        <v>3</v>
      </c>
      <c r="O539" t="str">
        <f t="shared" si="8"/>
        <v>Fin Derr (C) - Interest rate swap (sterling) - Fixed from index-linked: Total value at 31 March 2018 - Nominal value (net)</v>
      </c>
    </row>
    <row r="540" spans="1:15">
      <c r="A540" t="s">
        <v>17333</v>
      </c>
      <c r="B540" t="str">
        <f>'4I'!$AJ$153</f>
        <v>CR4029N6_FD_C</v>
      </c>
      <c r="D540" t="s">
        <v>16174</v>
      </c>
      <c r="E540" t="s">
        <v>4215</v>
      </c>
      <c r="F540" t="s">
        <v>17334</v>
      </c>
      <c r="G540">
        <v>3</v>
      </c>
      <c r="O540" t="str">
        <f t="shared" si="8"/>
        <v>Fin Derr (C) - Interest rate swap (sterling) - Index-linked to index-linked - Total value at 31 March - Nominal value (net)</v>
      </c>
    </row>
    <row r="541" spans="1:15">
      <c r="A541" t="s">
        <v>17333</v>
      </c>
      <c r="B541" t="str">
        <f>'4I'!$AJ$154</f>
        <v>CR2027N6_FD_C</v>
      </c>
      <c r="D541" t="s">
        <v>16175</v>
      </c>
      <c r="E541" t="s">
        <v>4215</v>
      </c>
      <c r="F541" t="s">
        <v>17334</v>
      </c>
      <c r="G541">
        <v>3</v>
      </c>
      <c r="O541" t="str">
        <f t="shared" si="8"/>
        <v>Fin Derr (C) - Interest rate swap (sterling) - Total: Total value at 31 March 2018 - Nominal value (net)</v>
      </c>
    </row>
    <row r="542" spans="1:15">
      <c r="A542" t="s">
        <v>17333</v>
      </c>
      <c r="B542" t="str">
        <f>'4I'!$AJ$157</f>
        <v>CR2005N6_FD_C</v>
      </c>
      <c r="D542" t="s">
        <v>16176</v>
      </c>
      <c r="E542" t="s">
        <v>4215</v>
      </c>
      <c r="F542" t="s">
        <v>17334</v>
      </c>
      <c r="G542">
        <v>3</v>
      </c>
      <c r="O542" t="str">
        <f t="shared" si="8"/>
        <v>Fin Derr (C) - Foreign Exchange - Cross currency swap USD: Total value at 31 March 2018 - Nominal value (net)</v>
      </c>
    </row>
    <row r="543" spans="1:15">
      <c r="A543" t="s">
        <v>17333</v>
      </c>
      <c r="B543" t="str">
        <f>'4I'!$AJ$158</f>
        <v>CR2006N6_FD_C</v>
      </c>
      <c r="D543" t="s">
        <v>16177</v>
      </c>
      <c r="E543" t="s">
        <v>4215</v>
      </c>
      <c r="F543" t="s">
        <v>17334</v>
      </c>
      <c r="G543">
        <v>3</v>
      </c>
      <c r="O543" t="str">
        <f t="shared" si="8"/>
        <v>Fin Derr (C) - Foreign Exchange - Cross currency swap EUR: Total value at 31 March 2018 - Nominal value (net)</v>
      </c>
    </row>
    <row r="544" spans="1:15">
      <c r="A544" t="s">
        <v>17333</v>
      </c>
      <c r="B544" t="str">
        <f>'4I'!$AJ$159</f>
        <v>CR2007N6_FD_C</v>
      </c>
      <c r="D544" t="s">
        <v>16178</v>
      </c>
      <c r="E544" t="s">
        <v>4215</v>
      </c>
      <c r="F544" t="s">
        <v>17334</v>
      </c>
      <c r="G544">
        <v>3</v>
      </c>
      <c r="O544" t="str">
        <f t="shared" si="8"/>
        <v>Fin Derr (C) - Foreign Exchange - Cross currency swap YEN: Total value at 31 March 2018 - Nominal value (net)</v>
      </c>
    </row>
    <row r="545" spans="1:15">
      <c r="A545" t="s">
        <v>17333</v>
      </c>
      <c r="B545" t="str">
        <f>'4I'!$AJ$160</f>
        <v>CR2008N6_FD_C</v>
      </c>
      <c r="D545" t="s">
        <v>16179</v>
      </c>
      <c r="E545" t="s">
        <v>4215</v>
      </c>
      <c r="F545" t="s">
        <v>17334</v>
      </c>
      <c r="G545">
        <v>3</v>
      </c>
      <c r="O545" t="str">
        <f t="shared" si="8"/>
        <v>Fin Derr (C) - Foreign Exchange - Cross currency swap Other: Total value at 31 March 2018 - Nominal value (net)</v>
      </c>
    </row>
    <row r="546" spans="1:15">
      <c r="A546" t="s">
        <v>17333</v>
      </c>
      <c r="B546" t="str">
        <f>'4I'!$AJ$161</f>
        <v>CR2009N6_FD_C</v>
      </c>
      <c r="D546" t="s">
        <v>16180</v>
      </c>
      <c r="E546" t="s">
        <v>4215</v>
      </c>
      <c r="F546" t="s">
        <v>17334</v>
      </c>
      <c r="G546">
        <v>3</v>
      </c>
      <c r="O546" t="str">
        <f t="shared" si="8"/>
        <v>Fin Derr (C) - Foreign Exchange - Total: Total value at 31 March 2018 - Nominal value (net)</v>
      </c>
    </row>
    <row r="547" spans="1:15">
      <c r="A547" t="s">
        <v>17333</v>
      </c>
      <c r="B547" t="str">
        <f>'4I'!$AJ$164</f>
        <v>CR20010N6_FD_C</v>
      </c>
      <c r="D547" t="s">
        <v>16181</v>
      </c>
      <c r="E547" t="s">
        <v>4215</v>
      </c>
      <c r="F547" t="s">
        <v>17334</v>
      </c>
      <c r="G547">
        <v>3</v>
      </c>
      <c r="O547" t="str">
        <f t="shared" si="8"/>
        <v>Fin Derr (C) - Currency interest rate  - Currency interest rate swaps USD: Total value at 31 March 2018 - Nominal value (net)</v>
      </c>
    </row>
    <row r="548" spans="1:15">
      <c r="A548" t="s">
        <v>17333</v>
      </c>
      <c r="B548" t="str">
        <f>'4I'!$AJ$165</f>
        <v>CR20011N6_FD_C</v>
      </c>
      <c r="D548" t="s">
        <v>16182</v>
      </c>
      <c r="E548" t="s">
        <v>4215</v>
      </c>
      <c r="F548" t="s">
        <v>17334</v>
      </c>
      <c r="G548">
        <v>3</v>
      </c>
      <c r="O548" t="str">
        <f t="shared" si="8"/>
        <v>Fin Derr (C) - Currency interest rate  - Currency interest rate swaps EUR: Total value at 31 March 2018 - Nominal value (net)</v>
      </c>
    </row>
    <row r="549" spans="1:15">
      <c r="A549" t="s">
        <v>17333</v>
      </c>
      <c r="B549" t="str">
        <f>'4I'!$AJ$166</f>
        <v>CR20012N6_FD_C</v>
      </c>
      <c r="D549" t="s">
        <v>16183</v>
      </c>
      <c r="E549" t="s">
        <v>4215</v>
      </c>
      <c r="F549" t="s">
        <v>17334</v>
      </c>
      <c r="G549">
        <v>3</v>
      </c>
      <c r="O549" t="str">
        <f t="shared" si="8"/>
        <v>Fin Derr (C) - Currency interest rate  - Currency interest rate swaps YEN: Total value at 31 March 2018 - Nominal value (net)</v>
      </c>
    </row>
    <row r="550" spans="1:15">
      <c r="A550" t="s">
        <v>17333</v>
      </c>
      <c r="B550" t="str">
        <f>'4I'!$AJ$167</f>
        <v>CR20013N6_FD_C</v>
      </c>
      <c r="D550" t="s">
        <v>16184</v>
      </c>
      <c r="E550" t="s">
        <v>4215</v>
      </c>
      <c r="F550" t="s">
        <v>17334</v>
      </c>
      <c r="G550">
        <v>3</v>
      </c>
      <c r="O550" t="str">
        <f t="shared" si="8"/>
        <v>Fin Derr (C) - Currency interest rate  - Currency interest rate swaps Other: Total value at 31 March 2018 - Nominal value (net)</v>
      </c>
    </row>
    <row r="551" spans="1:15">
      <c r="A551" t="s">
        <v>17333</v>
      </c>
      <c r="B551" t="str">
        <f>'4I'!$AJ$168</f>
        <v>CR20014N6_FD_C</v>
      </c>
      <c r="D551" t="s">
        <v>16185</v>
      </c>
      <c r="E551" t="s">
        <v>4215</v>
      </c>
      <c r="F551" t="s">
        <v>17334</v>
      </c>
      <c r="G551">
        <v>3</v>
      </c>
      <c r="O551" t="str">
        <f t="shared" si="8"/>
        <v>Fin Derr (C) - Currency interest rate  - Total: Total value at 31 March 2018 - Nominal value (net)</v>
      </c>
    </row>
    <row r="552" spans="1:15">
      <c r="A552" t="s">
        <v>17333</v>
      </c>
      <c r="B552" t="str">
        <f>'4I'!$AJ$171</f>
        <v>CR20015N6_FD_C</v>
      </c>
      <c r="D552" t="s">
        <v>16186</v>
      </c>
      <c r="E552" t="s">
        <v>4215</v>
      </c>
      <c r="F552" t="s">
        <v>17334</v>
      </c>
      <c r="G552">
        <v>3</v>
      </c>
      <c r="O552" t="str">
        <f t="shared" si="8"/>
        <v>Fin Derr (C) - Forward currency contracts - Forward currency contracts USD: Total value at 31 March 2018 - Nominal value (net)</v>
      </c>
    </row>
    <row r="553" spans="1:15">
      <c r="A553" t="s">
        <v>17333</v>
      </c>
      <c r="B553" t="str">
        <f>'4I'!$AJ$172</f>
        <v>CR20016N6_FD_C</v>
      </c>
      <c r="D553" t="s">
        <v>16187</v>
      </c>
      <c r="E553" t="s">
        <v>4215</v>
      </c>
      <c r="F553" t="s">
        <v>17334</v>
      </c>
      <c r="G553">
        <v>3</v>
      </c>
      <c r="O553" t="str">
        <f t="shared" si="8"/>
        <v>Fin Derr (C) - Forward currency contracts - Forward currency contracts EUR: Total value at 31 March 2018 - Nominal value (net)</v>
      </c>
    </row>
    <row r="554" spans="1:15">
      <c r="A554" t="s">
        <v>17333</v>
      </c>
      <c r="B554" t="str">
        <f>'4I'!$AJ$173</f>
        <v>CR20017N6_FD_C</v>
      </c>
      <c r="D554" t="s">
        <v>16188</v>
      </c>
      <c r="E554" t="s">
        <v>4215</v>
      </c>
      <c r="F554" t="s">
        <v>17334</v>
      </c>
      <c r="G554">
        <v>3</v>
      </c>
      <c r="O554" t="str">
        <f t="shared" si="8"/>
        <v>Fin Derr (C) - Forward currency contracts - Forward currency contracts YEN: Total value at 31 March 2018 - Nominal value (net)</v>
      </c>
    </row>
    <row r="555" spans="1:15">
      <c r="A555" t="s">
        <v>17333</v>
      </c>
      <c r="B555" t="str">
        <f>'4I'!$AJ$174</f>
        <v>CR2029N6_FD_C</v>
      </c>
      <c r="D555" t="s">
        <v>16189</v>
      </c>
      <c r="E555" t="s">
        <v>4215</v>
      </c>
      <c r="F555" t="s">
        <v>17334</v>
      </c>
      <c r="G555">
        <v>3</v>
      </c>
      <c r="O555" t="str">
        <f t="shared" si="8"/>
        <v>Fin Derr (C) - Forward currency contracts CAD - Total value at 31 March 2018 - Nominal value (net)</v>
      </c>
    </row>
    <row r="556" spans="1:15">
      <c r="A556" t="s">
        <v>17333</v>
      </c>
      <c r="B556" t="str">
        <f>'4I'!$AJ$175</f>
        <v>CR2030N6_FD_C</v>
      </c>
      <c r="D556" t="s">
        <v>16190</v>
      </c>
      <c r="E556" t="s">
        <v>4215</v>
      </c>
      <c r="F556" t="s">
        <v>17334</v>
      </c>
      <c r="G556">
        <v>3</v>
      </c>
      <c r="O556" t="str">
        <f t="shared" si="8"/>
        <v>Fin Derr (C) - Forward currency contracts AUD - Total value at 31 March 2018 - Nominal value (net)</v>
      </c>
    </row>
    <row r="557" spans="1:15">
      <c r="A557" t="s">
        <v>17333</v>
      </c>
      <c r="B557" t="str">
        <f>'4I'!$AJ$176</f>
        <v>CR2031N6_FD_C</v>
      </c>
      <c r="D557" t="s">
        <v>16191</v>
      </c>
      <c r="E557" t="s">
        <v>4215</v>
      </c>
      <c r="F557" t="s">
        <v>17334</v>
      </c>
      <c r="G557">
        <v>3</v>
      </c>
      <c r="O557" t="str">
        <f t="shared" si="8"/>
        <v>Fin Derr (C) - Forward currency contracts HKD - Total value at 31 March 2018 - Nominal value (net)</v>
      </c>
    </row>
    <row r="558" spans="1:15">
      <c r="A558" t="s">
        <v>17333</v>
      </c>
      <c r="B558" t="str">
        <f>'4I'!$AJ$177</f>
        <v>CR20018N6_FD_C</v>
      </c>
      <c r="D558" t="s">
        <v>16192</v>
      </c>
      <c r="E558" t="s">
        <v>4215</v>
      </c>
      <c r="F558" t="s">
        <v>17334</v>
      </c>
      <c r="G558">
        <v>3</v>
      </c>
      <c r="O558" t="str">
        <f t="shared" si="8"/>
        <v>Fin Derr (C) - Forward currency contracts - Forward currency contracts Other: Total value at 31 March 2018 - Nominal value (net)</v>
      </c>
    </row>
    <row r="559" spans="1:15">
      <c r="A559" t="s">
        <v>17333</v>
      </c>
      <c r="B559" t="str">
        <f>'4I'!$AJ$178</f>
        <v>CR20019N6_FD_C</v>
      </c>
      <c r="D559" t="s">
        <v>16193</v>
      </c>
      <c r="E559" t="s">
        <v>4215</v>
      </c>
      <c r="F559" t="s">
        <v>17334</v>
      </c>
      <c r="G559">
        <v>3</v>
      </c>
      <c r="O559" t="str">
        <f t="shared" si="8"/>
        <v>Fin Derr (C) - Forward currency contracts - Total: Total value at 31 March 2018 - Nominal value (net)</v>
      </c>
    </row>
    <row r="560" spans="1:15">
      <c r="A560" t="s">
        <v>17333</v>
      </c>
      <c r="B560" t="str">
        <f>'4I'!$AJ$181</f>
        <v>CR2028N6_FD_C</v>
      </c>
      <c r="D560" t="s">
        <v>16194</v>
      </c>
      <c r="E560" t="s">
        <v>4215</v>
      </c>
      <c r="F560" t="s">
        <v>17334</v>
      </c>
      <c r="G560">
        <v>3</v>
      </c>
      <c r="O560" t="str">
        <f t="shared" si="8"/>
        <v>Fin Derr (C) - Other financial derivatives: Total value at 31 March 2018 - Nominal value (net)</v>
      </c>
    </row>
    <row r="561" spans="1:15">
      <c r="A561" t="s">
        <v>17333</v>
      </c>
      <c r="B561" t="str">
        <f>'4I'!$AJ$183</f>
        <v>CR20020N6_FD_C</v>
      </c>
      <c r="D561" t="s">
        <v>16195</v>
      </c>
      <c r="E561" t="s">
        <v>4215</v>
      </c>
      <c r="F561" t="s">
        <v>17334</v>
      </c>
      <c r="G561">
        <v>3</v>
      </c>
      <c r="O561" t="str">
        <f t="shared" si="8"/>
        <v>Fin Derr (C) - Total financial derivatives: Total value at 31 March 2018 - Nominal value (net)</v>
      </c>
    </row>
    <row r="562" spans="1:15">
      <c r="A562" t="s">
        <v>17333</v>
      </c>
      <c r="B562" t="str">
        <f>'4I'!$AK$147</f>
        <v>CR2021MM_FD_C</v>
      </c>
      <c r="D562" t="s">
        <v>16196</v>
      </c>
      <c r="E562" t="s">
        <v>4215</v>
      </c>
      <c r="F562" t="s">
        <v>17334</v>
      </c>
      <c r="G562">
        <v>3</v>
      </c>
      <c r="O562" t="str">
        <f t="shared" si="8"/>
        <v>Fin Derr (C) - Interest rate swap (sterling) - Floating to fixed rate: Total value at 31 March 2018 - Mark to Market</v>
      </c>
    </row>
    <row r="563" spans="1:15">
      <c r="A563" t="s">
        <v>17333</v>
      </c>
      <c r="B563" t="str">
        <f>'4I'!$AK$148</f>
        <v>CR2022MM_FD_C</v>
      </c>
      <c r="D563" t="s">
        <v>16197</v>
      </c>
      <c r="E563" t="s">
        <v>4215</v>
      </c>
      <c r="F563" t="s">
        <v>17334</v>
      </c>
      <c r="G563">
        <v>3</v>
      </c>
      <c r="O563" t="str">
        <f t="shared" si="8"/>
        <v>Fin Derr (C) - Interest rate swap (sterling) - Floating from fixed rate: Total value at 31 March 2018 - Mark to Market</v>
      </c>
    </row>
    <row r="564" spans="1:15">
      <c r="A564" t="s">
        <v>17333</v>
      </c>
      <c r="B564" t="str">
        <f>'4I'!$AK$149</f>
        <v>CR2023MM_FD_C</v>
      </c>
      <c r="D564" t="s">
        <v>16198</v>
      </c>
      <c r="E564" t="s">
        <v>4215</v>
      </c>
      <c r="F564" t="s">
        <v>17334</v>
      </c>
      <c r="G564">
        <v>3</v>
      </c>
      <c r="O564" t="str">
        <f t="shared" si="8"/>
        <v>Fin Derr (C) - Interest rate swap (sterling) - Floating to index linked: Total value at 31 March 2018 - Mark to Market</v>
      </c>
    </row>
    <row r="565" spans="1:15">
      <c r="A565" t="s">
        <v>17333</v>
      </c>
      <c r="B565" t="str">
        <f>'4I'!$AK$150</f>
        <v>CR2024MM_FD_C</v>
      </c>
      <c r="D565" t="s">
        <v>16199</v>
      </c>
      <c r="E565" t="s">
        <v>4215</v>
      </c>
      <c r="F565" t="s">
        <v>17334</v>
      </c>
      <c r="G565">
        <v>3</v>
      </c>
      <c r="O565" t="str">
        <f t="shared" si="8"/>
        <v>Fin Derr (C) - Interest rate swap (sterling) - Floating from index linked: Total value at 31 March 2018 - Mark to Market</v>
      </c>
    </row>
    <row r="566" spans="1:15">
      <c r="A566" t="s">
        <v>17333</v>
      </c>
      <c r="B566" t="str">
        <f>'4I'!$AK$151</f>
        <v>CR2025MM_FD_C</v>
      </c>
      <c r="D566" t="s">
        <v>16200</v>
      </c>
      <c r="E566" t="s">
        <v>4215</v>
      </c>
      <c r="F566" t="s">
        <v>17334</v>
      </c>
      <c r="G566">
        <v>3</v>
      </c>
      <c r="O566" t="str">
        <f t="shared" si="8"/>
        <v>Fin Derr (C) - Interest rate swap (sterling) - Fixed to index-linked: Total value at 31 March 2018 - Mark to Market</v>
      </c>
    </row>
    <row r="567" spans="1:15">
      <c r="A567" t="s">
        <v>17333</v>
      </c>
      <c r="B567" t="str">
        <f>'4I'!$AK$152</f>
        <v>CR2026MM_FD_C</v>
      </c>
      <c r="D567" t="s">
        <v>16201</v>
      </c>
      <c r="E567" t="s">
        <v>4215</v>
      </c>
      <c r="F567" t="s">
        <v>17334</v>
      </c>
      <c r="G567">
        <v>3</v>
      </c>
      <c r="O567" t="str">
        <f t="shared" si="8"/>
        <v>Fin Derr (C) - Interest rate swap (sterling) - Fixed from index-linked: Total value at 31 March 2018 - Mark to Market</v>
      </c>
    </row>
    <row r="568" spans="1:15">
      <c r="A568" t="s">
        <v>17333</v>
      </c>
      <c r="B568" t="str">
        <f>'4I'!$AK$153</f>
        <v>CR4029MM_FD_C</v>
      </c>
      <c r="D568" t="s">
        <v>16202</v>
      </c>
      <c r="E568" t="s">
        <v>4215</v>
      </c>
      <c r="F568" t="s">
        <v>17334</v>
      </c>
      <c r="G568">
        <v>3</v>
      </c>
      <c r="O568" t="str">
        <f t="shared" si="8"/>
        <v>Fin Derr (C) - Interest rate swap (sterling) - Index-linked to index-linked - Total value at 31 March - Mark to market</v>
      </c>
    </row>
    <row r="569" spans="1:15">
      <c r="A569" t="s">
        <v>17333</v>
      </c>
      <c r="B569" t="str">
        <f>'4I'!$AK$154</f>
        <v>CR2027MM_FD_C</v>
      </c>
      <c r="D569" t="s">
        <v>16203</v>
      </c>
      <c r="E569" t="s">
        <v>4215</v>
      </c>
      <c r="F569" t="s">
        <v>17334</v>
      </c>
      <c r="G569">
        <v>3</v>
      </c>
      <c r="O569" t="str">
        <f t="shared" si="8"/>
        <v>Fin Derr (C) - Interest rate swap (sterling) - Total: Total value at 31 March 2018 - Mark to Market</v>
      </c>
    </row>
    <row r="570" spans="1:15">
      <c r="A570" t="s">
        <v>17333</v>
      </c>
      <c r="B570" t="str">
        <f>'4I'!$AK$157</f>
        <v>CR2005MM_FD_C</v>
      </c>
      <c r="D570" t="s">
        <v>16204</v>
      </c>
      <c r="E570" t="s">
        <v>4215</v>
      </c>
      <c r="F570" t="s">
        <v>17334</v>
      </c>
      <c r="G570">
        <v>3</v>
      </c>
      <c r="O570" t="str">
        <f t="shared" si="8"/>
        <v>Fin Derr (C) - Foreign Exchange - Cross currency swap USD: Total value at 31 March 2018 - Mark to Market</v>
      </c>
    </row>
    <row r="571" spans="1:15">
      <c r="A571" t="s">
        <v>17333</v>
      </c>
      <c r="B571" t="str">
        <f>'4I'!$AK$158</f>
        <v>CR2006MM_FD_C</v>
      </c>
      <c r="D571" t="s">
        <v>16205</v>
      </c>
      <c r="E571" t="s">
        <v>4215</v>
      </c>
      <c r="F571" t="s">
        <v>17334</v>
      </c>
      <c r="G571">
        <v>3</v>
      </c>
      <c r="O571" t="str">
        <f t="shared" si="8"/>
        <v>Fin Derr (C) - Foreign Exchange - Cross currency swap EUR: Total value at 31 March 2018 - Mark to Market</v>
      </c>
    </row>
    <row r="572" spans="1:15">
      <c r="A572" t="s">
        <v>17333</v>
      </c>
      <c r="B572" t="str">
        <f>'4I'!$AK$159</f>
        <v>CR2007MM_FD_C</v>
      </c>
      <c r="D572" t="s">
        <v>16206</v>
      </c>
      <c r="E572" t="s">
        <v>4215</v>
      </c>
      <c r="F572" t="s">
        <v>17334</v>
      </c>
      <c r="G572">
        <v>3</v>
      </c>
      <c r="O572" t="str">
        <f t="shared" si="8"/>
        <v>Fin Derr (C) - Foreign Exchange - Cross currency swap YEN: Total value at 31 March 2018 - Mark to Market</v>
      </c>
    </row>
    <row r="573" spans="1:15">
      <c r="A573" t="s">
        <v>17333</v>
      </c>
      <c r="B573" t="str">
        <f>'4I'!$AK$160</f>
        <v>CR2008MM_FD_C</v>
      </c>
      <c r="D573" t="s">
        <v>16207</v>
      </c>
      <c r="E573" t="s">
        <v>4215</v>
      </c>
      <c r="F573" t="s">
        <v>17334</v>
      </c>
      <c r="G573">
        <v>3</v>
      </c>
      <c r="O573" t="str">
        <f t="shared" si="8"/>
        <v>Fin Derr (C) - Foreign Exchange - Cross currency swap Other: Total value at 31 March 2018 - Mark to Market</v>
      </c>
    </row>
    <row r="574" spans="1:15">
      <c r="A574" t="s">
        <v>17333</v>
      </c>
      <c r="B574" t="str">
        <f>'4I'!$AK$161</f>
        <v>CR2009MM_FD_C</v>
      </c>
      <c r="D574" t="s">
        <v>16208</v>
      </c>
      <c r="E574" t="s">
        <v>4215</v>
      </c>
      <c r="F574" t="s">
        <v>17334</v>
      </c>
      <c r="G574">
        <v>3</v>
      </c>
      <c r="O574" t="str">
        <f t="shared" si="8"/>
        <v>Fin Derr (C) - Foreign Exchange - Total: Total value at 31 March 2018 - Mark to Market</v>
      </c>
    </row>
    <row r="575" spans="1:15">
      <c r="A575" t="s">
        <v>17333</v>
      </c>
      <c r="B575" t="str">
        <f>'4I'!$AK$164</f>
        <v>CR20010MM_FD_C</v>
      </c>
      <c r="D575" t="s">
        <v>16209</v>
      </c>
      <c r="E575" t="s">
        <v>4215</v>
      </c>
      <c r="F575" t="s">
        <v>17334</v>
      </c>
      <c r="G575">
        <v>3</v>
      </c>
      <c r="O575" t="str">
        <f t="shared" si="8"/>
        <v>Fin Derr (C) - Currency interest rate  - Currency interest rate swaps USD: Total value at 31 March 2018 - Mark to Market</v>
      </c>
    </row>
    <row r="576" spans="1:15">
      <c r="A576" t="s">
        <v>17333</v>
      </c>
      <c r="B576" t="str">
        <f>'4I'!$AK$165</f>
        <v>CR20011MM_FD_C</v>
      </c>
      <c r="D576" t="s">
        <v>16210</v>
      </c>
      <c r="E576" t="s">
        <v>4215</v>
      </c>
      <c r="F576" t="s">
        <v>17334</v>
      </c>
      <c r="G576">
        <v>3</v>
      </c>
      <c r="O576" t="str">
        <f t="shared" si="8"/>
        <v>Fin Derr (C) - Currency interest rate  - Currency interest rate swaps EUR: Total value at 31 March 2018 - Mark to Market</v>
      </c>
    </row>
    <row r="577" spans="1:15">
      <c r="A577" t="s">
        <v>17333</v>
      </c>
      <c r="B577" t="str">
        <f>'4I'!$AK$166</f>
        <v>CR20012MM_FD_C</v>
      </c>
      <c r="D577" t="s">
        <v>16211</v>
      </c>
      <c r="E577" t="s">
        <v>4215</v>
      </c>
      <c r="F577" t="s">
        <v>17334</v>
      </c>
      <c r="G577">
        <v>3</v>
      </c>
      <c r="O577" t="str">
        <f t="shared" si="8"/>
        <v>Fin Derr (C) - Currency interest rate  - Currency interest rate swaps YEN: Total value at 31 March 2018 - Mark to Market</v>
      </c>
    </row>
    <row r="578" spans="1:15">
      <c r="A578" t="s">
        <v>17333</v>
      </c>
      <c r="B578" t="str">
        <f>'4I'!$AK$167</f>
        <v>CR20013MM_FD_C</v>
      </c>
      <c r="D578" t="s">
        <v>16212</v>
      </c>
      <c r="E578" t="s">
        <v>4215</v>
      </c>
      <c r="F578" t="s">
        <v>17334</v>
      </c>
      <c r="G578">
        <v>3</v>
      </c>
      <c r="O578" t="str">
        <f t="shared" ref="O578:O641" si="9">D578</f>
        <v>Fin Derr (C) - Currency interest rate  - Currency interest rate swaps Other: Total value at 31 March 2018 - Mark to Market</v>
      </c>
    </row>
    <row r="579" spans="1:15">
      <c r="A579" t="s">
        <v>17333</v>
      </c>
      <c r="B579" t="str">
        <f>'4I'!$AK$168</f>
        <v>CR20014MM_FD_C</v>
      </c>
      <c r="D579" t="s">
        <v>16213</v>
      </c>
      <c r="E579" t="s">
        <v>4215</v>
      </c>
      <c r="F579" t="s">
        <v>17334</v>
      </c>
      <c r="G579">
        <v>3</v>
      </c>
      <c r="O579" t="str">
        <f t="shared" si="9"/>
        <v>Fin Derr (C) - Currency interest rate  - Total: Total value at 31 March 2018 - Mark to Market</v>
      </c>
    </row>
    <row r="580" spans="1:15">
      <c r="A580" t="s">
        <v>17333</v>
      </c>
      <c r="B580" t="str">
        <f>'4I'!$AK$171</f>
        <v>CR20015MM_FD_C</v>
      </c>
      <c r="D580" t="s">
        <v>16214</v>
      </c>
      <c r="E580" t="s">
        <v>4215</v>
      </c>
      <c r="F580" t="s">
        <v>17334</v>
      </c>
      <c r="G580">
        <v>3</v>
      </c>
      <c r="O580" t="str">
        <f t="shared" si="9"/>
        <v>Fin Derr (C) - Forward currency contracts - Forward currency contracts USD: Total value at 31 March 2018 - Mark to Market</v>
      </c>
    </row>
    <row r="581" spans="1:15">
      <c r="A581" t="s">
        <v>17333</v>
      </c>
      <c r="B581" t="str">
        <f>'4I'!$AK$172</f>
        <v>CR20016MM_FD_C</v>
      </c>
      <c r="D581" t="s">
        <v>16215</v>
      </c>
      <c r="E581" t="s">
        <v>4215</v>
      </c>
      <c r="F581" t="s">
        <v>17334</v>
      </c>
      <c r="G581">
        <v>3</v>
      </c>
      <c r="O581" t="str">
        <f t="shared" si="9"/>
        <v>Fin Derr (C) - Forward currency contracts - Forward currency contracts EUR: Total value at 31 March 2018 - Mark to Market</v>
      </c>
    </row>
    <row r="582" spans="1:15">
      <c r="A582" t="s">
        <v>17333</v>
      </c>
      <c r="B582" t="str">
        <f>'4I'!$AK$173</f>
        <v>CR20017MM_FD_C</v>
      </c>
      <c r="D582" t="s">
        <v>16216</v>
      </c>
      <c r="E582" t="s">
        <v>4215</v>
      </c>
      <c r="F582" t="s">
        <v>17334</v>
      </c>
      <c r="G582">
        <v>3</v>
      </c>
      <c r="O582" t="str">
        <f t="shared" si="9"/>
        <v>Fin Derr (C) - Forward currency contracts - Forward currency contracts YEN: Total value at 31 March 2018 - Mark to Market</v>
      </c>
    </row>
    <row r="583" spans="1:15">
      <c r="A583" t="s">
        <v>17333</v>
      </c>
      <c r="B583" t="str">
        <f>'4I'!$AK$174</f>
        <v>CR2029MM_FD_C</v>
      </c>
      <c r="D583" t="s">
        <v>16217</v>
      </c>
      <c r="E583" t="s">
        <v>4215</v>
      </c>
      <c r="F583" t="s">
        <v>17334</v>
      </c>
      <c r="G583">
        <v>3</v>
      </c>
      <c r="O583" t="str">
        <f t="shared" si="9"/>
        <v>Fin Derr (C) - Forward currency contracts CAD - Total value at 31 March 2018 - Mark to Market</v>
      </c>
    </row>
    <row r="584" spans="1:15">
      <c r="A584" t="s">
        <v>17333</v>
      </c>
      <c r="B584" t="str">
        <f>'4I'!$AK$175</f>
        <v>CR2030MM_FD_C</v>
      </c>
      <c r="D584" t="s">
        <v>16218</v>
      </c>
      <c r="E584" t="s">
        <v>4215</v>
      </c>
      <c r="F584" t="s">
        <v>17334</v>
      </c>
      <c r="G584">
        <v>3</v>
      </c>
      <c r="O584" t="str">
        <f t="shared" si="9"/>
        <v>Fin Derr (C) - Forward currency contracts AUD - Total value at 31 March 2018 - Mark to Market</v>
      </c>
    </row>
    <row r="585" spans="1:15">
      <c r="A585" t="s">
        <v>17333</v>
      </c>
      <c r="B585" t="str">
        <f>'4I'!$AK$176</f>
        <v>CR2031MM_FD_C</v>
      </c>
      <c r="D585" t="s">
        <v>16219</v>
      </c>
      <c r="E585" t="s">
        <v>4215</v>
      </c>
      <c r="F585" t="s">
        <v>17334</v>
      </c>
      <c r="G585">
        <v>3</v>
      </c>
      <c r="O585" t="str">
        <f t="shared" si="9"/>
        <v>Fin Derr (C) - Forward currency contracts HKD - Total value at 31 March 2018 - Mark to Market</v>
      </c>
    </row>
    <row r="586" spans="1:15">
      <c r="A586" t="s">
        <v>17333</v>
      </c>
      <c r="B586" t="str">
        <f>'4I'!$AK$177</f>
        <v>CR20018MM_FD_C</v>
      </c>
      <c r="D586" t="s">
        <v>16220</v>
      </c>
      <c r="E586" t="s">
        <v>4215</v>
      </c>
      <c r="F586" t="s">
        <v>17334</v>
      </c>
      <c r="G586">
        <v>3</v>
      </c>
      <c r="O586" t="str">
        <f t="shared" si="9"/>
        <v>Fin Derr (C) - Forward currency contracts - Forward currency contracts Other: Total value at 31 March 2018 - Mark to Market</v>
      </c>
    </row>
    <row r="587" spans="1:15">
      <c r="A587" t="s">
        <v>17333</v>
      </c>
      <c r="B587" t="str">
        <f>'4I'!$AK$178</f>
        <v>CR20019MM_FD_C</v>
      </c>
      <c r="D587" t="s">
        <v>16221</v>
      </c>
      <c r="E587" t="s">
        <v>4215</v>
      </c>
      <c r="F587" t="s">
        <v>17334</v>
      </c>
      <c r="G587">
        <v>3</v>
      </c>
      <c r="O587" t="str">
        <f t="shared" si="9"/>
        <v>Fin Derr (C) - Forward currency contracts - Total: Total value at 31 March 2018 - Mark to Market</v>
      </c>
    </row>
    <row r="588" spans="1:15">
      <c r="A588" t="s">
        <v>17333</v>
      </c>
      <c r="B588" t="str">
        <f>'4I'!$AK$181</f>
        <v>CR2028MM_FD_C</v>
      </c>
      <c r="D588" t="s">
        <v>16222</v>
      </c>
      <c r="E588" t="s">
        <v>4215</v>
      </c>
      <c r="F588" t="s">
        <v>17334</v>
      </c>
      <c r="G588">
        <v>3</v>
      </c>
      <c r="O588" t="str">
        <f t="shared" si="9"/>
        <v>Fin Derr (C) - Other financial derivatives: Total value at 31 March 2018 - Mark to Market</v>
      </c>
    </row>
    <row r="589" spans="1:15">
      <c r="A589" t="s">
        <v>17333</v>
      </c>
      <c r="B589" t="str">
        <f>'4I'!$AK$183</f>
        <v>CR20020MM_FD_C</v>
      </c>
      <c r="D589" t="s">
        <v>16223</v>
      </c>
      <c r="E589" t="s">
        <v>4215</v>
      </c>
      <c r="F589" t="s">
        <v>17334</v>
      </c>
      <c r="G589">
        <v>3</v>
      </c>
      <c r="O589" t="str">
        <f t="shared" si="9"/>
        <v>Fin Derr (C) - Total financial derivatives: Total value at 31 March 2018 - Mark to Market</v>
      </c>
    </row>
    <row r="590" spans="1:15">
      <c r="A590" t="s">
        <v>17333</v>
      </c>
      <c r="B590" t="str">
        <f>'4I'!$AL$147</f>
        <v>CR2021TA_FD_C</v>
      </c>
      <c r="D590" t="s">
        <v>16224</v>
      </c>
      <c r="E590" t="s">
        <v>4215</v>
      </c>
      <c r="F590" t="s">
        <v>17334</v>
      </c>
      <c r="G590">
        <v>3</v>
      </c>
      <c r="O590" t="str">
        <f t="shared" si="9"/>
        <v>Fin Derr (C) - Interest rate swap (sterling) - Floating to fixed rate - Total accretion at 31 March 2018</v>
      </c>
    </row>
    <row r="591" spans="1:15">
      <c r="A591" t="s">
        <v>17333</v>
      </c>
      <c r="B591" t="str">
        <f>'4I'!$AL$148</f>
        <v>CR2022TA_FD_C</v>
      </c>
      <c r="D591" t="s">
        <v>16225</v>
      </c>
      <c r="E591" t="s">
        <v>4215</v>
      </c>
      <c r="F591" t="s">
        <v>17334</v>
      </c>
      <c r="G591">
        <v>3</v>
      </c>
      <c r="O591" t="str">
        <f t="shared" si="9"/>
        <v>Fin Derr (C) - Interest rate swap (sterling) - Floating from fixed rate - Total accretion at 31 March 2018</v>
      </c>
    </row>
    <row r="592" spans="1:15">
      <c r="A592" t="s">
        <v>17333</v>
      </c>
      <c r="B592" t="str">
        <f>'4I'!$AL$149</f>
        <v>CR2023TA_FD_C</v>
      </c>
      <c r="D592" t="s">
        <v>16226</v>
      </c>
      <c r="E592" t="s">
        <v>4215</v>
      </c>
      <c r="F592" t="s">
        <v>17334</v>
      </c>
      <c r="G592">
        <v>3</v>
      </c>
      <c r="O592" t="str">
        <f t="shared" si="9"/>
        <v>Fin Derr (C) - Interest rate swap (sterling) - Floating to index linked - Total accretion at 31 March 2018</v>
      </c>
    </row>
    <row r="593" spans="1:15">
      <c r="A593" t="s">
        <v>17333</v>
      </c>
      <c r="B593" t="str">
        <f>'4I'!$AL$150</f>
        <v>CR2024TA_FD_C</v>
      </c>
      <c r="D593" t="s">
        <v>16227</v>
      </c>
      <c r="E593" t="s">
        <v>4215</v>
      </c>
      <c r="F593" t="s">
        <v>17334</v>
      </c>
      <c r="G593">
        <v>3</v>
      </c>
      <c r="O593" t="str">
        <f t="shared" si="9"/>
        <v>Fin Derr (C) - Interest rate swap (sterling) - Floating from index linked - Total accretion at 31 March 2018</v>
      </c>
    </row>
    <row r="594" spans="1:15">
      <c r="A594" t="s">
        <v>17333</v>
      </c>
      <c r="B594" t="str">
        <f>'4I'!$AL$151</f>
        <v>CR2025TA_FD_C</v>
      </c>
      <c r="D594" t="s">
        <v>16228</v>
      </c>
      <c r="E594" t="s">
        <v>4215</v>
      </c>
      <c r="F594" t="s">
        <v>17334</v>
      </c>
      <c r="G594">
        <v>3</v>
      </c>
      <c r="O594" t="str">
        <f t="shared" si="9"/>
        <v>Fin Derr (C) - Interest rate swap (sterling) - Fixed to index-linked - Total accretion at 31 March 2018</v>
      </c>
    </row>
    <row r="595" spans="1:15">
      <c r="A595" t="s">
        <v>17333</v>
      </c>
      <c r="B595" t="str">
        <f>'4I'!$AL$152</f>
        <v>CR2026TA_FD_C</v>
      </c>
      <c r="D595" t="s">
        <v>16229</v>
      </c>
      <c r="E595" t="s">
        <v>4215</v>
      </c>
      <c r="F595" t="s">
        <v>17334</v>
      </c>
      <c r="G595">
        <v>3</v>
      </c>
      <c r="O595" t="str">
        <f t="shared" si="9"/>
        <v>Fin Derr (C) - Interest rate swap (sterling) - Fixed from index-linked - Total accretion at 31 March 2018</v>
      </c>
    </row>
    <row r="596" spans="1:15">
      <c r="A596" t="s">
        <v>17333</v>
      </c>
      <c r="B596" t="str">
        <f>'4I'!$AL$153</f>
        <v>CR4029TA_FD_C</v>
      </c>
      <c r="D596" t="s">
        <v>16230</v>
      </c>
      <c r="E596" t="s">
        <v>4215</v>
      </c>
      <c r="F596" t="s">
        <v>17334</v>
      </c>
      <c r="G596">
        <v>3</v>
      </c>
      <c r="O596" t="str">
        <f t="shared" si="9"/>
        <v>Fin Derr (C) - Interest rate swap (sterling) - Index-linked to index-linked - Total accretion at 31 March</v>
      </c>
    </row>
    <row r="597" spans="1:15">
      <c r="A597" t="s">
        <v>17333</v>
      </c>
      <c r="B597" t="str">
        <f>'4I'!$AL$154</f>
        <v>CR2027TA_FD_C</v>
      </c>
      <c r="D597" t="s">
        <v>16231</v>
      </c>
      <c r="E597" t="s">
        <v>4215</v>
      </c>
      <c r="F597" t="s">
        <v>17334</v>
      </c>
      <c r="G597">
        <v>3</v>
      </c>
      <c r="O597" t="str">
        <f t="shared" si="9"/>
        <v>Fin Derr (C) - Interest rate swap (sterling) - Total - Total accretion at 31 March 2018</v>
      </c>
    </row>
    <row r="598" spans="1:15">
      <c r="A598" t="s">
        <v>17333</v>
      </c>
      <c r="B598" t="str">
        <f>'4I'!$AL$157</f>
        <v>CR2005TA_FD_C</v>
      </c>
      <c r="D598" t="s">
        <v>16232</v>
      </c>
      <c r="E598" t="s">
        <v>4215</v>
      </c>
      <c r="F598" t="s">
        <v>17334</v>
      </c>
      <c r="G598">
        <v>3</v>
      </c>
      <c r="O598" t="str">
        <f t="shared" si="9"/>
        <v>Fin Derr (C) - Foreign Exchange - Cross currency swap USD - Total accretion at 31 March 2018</v>
      </c>
    </row>
    <row r="599" spans="1:15">
      <c r="A599" t="s">
        <v>17333</v>
      </c>
      <c r="B599" t="str">
        <f>'4I'!$AL$158</f>
        <v>CR2006TA_FD_C</v>
      </c>
      <c r="D599" t="s">
        <v>16233</v>
      </c>
      <c r="E599" t="s">
        <v>4215</v>
      </c>
      <c r="F599" t="s">
        <v>17334</v>
      </c>
      <c r="G599">
        <v>3</v>
      </c>
      <c r="O599" t="str">
        <f t="shared" si="9"/>
        <v>Fin Derr (C) - Foreign Exchange - Cross currency swap EUR - Total accretion at 31 March 2018</v>
      </c>
    </row>
    <row r="600" spans="1:15">
      <c r="A600" t="s">
        <v>17333</v>
      </c>
      <c r="B600" t="str">
        <f>'4I'!$AL$159</f>
        <v>CR2007TA_FD_C</v>
      </c>
      <c r="D600" t="s">
        <v>16234</v>
      </c>
      <c r="E600" t="s">
        <v>4215</v>
      </c>
      <c r="F600" t="s">
        <v>17334</v>
      </c>
      <c r="G600">
        <v>3</v>
      </c>
      <c r="O600" t="str">
        <f t="shared" si="9"/>
        <v>Fin Derr (C) - Foreign Exchange - Cross currency swap YEN - Total accretion at 31 March 2018</v>
      </c>
    </row>
    <row r="601" spans="1:15">
      <c r="A601" t="s">
        <v>17333</v>
      </c>
      <c r="B601" t="str">
        <f>'4I'!$AL$160</f>
        <v>CR2008TA_FD_C</v>
      </c>
      <c r="D601" t="s">
        <v>16235</v>
      </c>
      <c r="E601" t="s">
        <v>4215</v>
      </c>
      <c r="F601" t="s">
        <v>17334</v>
      </c>
      <c r="G601">
        <v>3</v>
      </c>
      <c r="O601" t="str">
        <f t="shared" si="9"/>
        <v>Fin Derr (C) - Foreign Exchange - Cross currency swap Other - Total accretion at 31 March 2018</v>
      </c>
    </row>
    <row r="602" spans="1:15">
      <c r="A602" t="s">
        <v>17333</v>
      </c>
      <c r="B602" t="str">
        <f>'4I'!$AL$161</f>
        <v>CR2009TA_FD_C</v>
      </c>
      <c r="D602" t="s">
        <v>16236</v>
      </c>
      <c r="E602" t="s">
        <v>4215</v>
      </c>
      <c r="F602" t="s">
        <v>17334</v>
      </c>
      <c r="G602">
        <v>3</v>
      </c>
      <c r="O602" t="str">
        <f t="shared" si="9"/>
        <v>Fin Derr (C) - Foreign Exchange - Total - Total accretion at 31 March 2018</v>
      </c>
    </row>
    <row r="603" spans="1:15">
      <c r="A603" t="s">
        <v>17333</v>
      </c>
      <c r="B603" t="str">
        <f>'4I'!$AL$164</f>
        <v>CR20010TA_FD_C</v>
      </c>
      <c r="D603" t="s">
        <v>16237</v>
      </c>
      <c r="E603" t="s">
        <v>4215</v>
      </c>
      <c r="F603" t="s">
        <v>17334</v>
      </c>
      <c r="G603">
        <v>3</v>
      </c>
      <c r="O603" t="str">
        <f t="shared" si="9"/>
        <v>Fin Derr (C) - Currency interest rate  - Currency interest rate swaps USD - Total accretion at 31 March 2018</v>
      </c>
    </row>
    <row r="604" spans="1:15">
      <c r="A604" t="s">
        <v>17333</v>
      </c>
      <c r="B604" t="str">
        <f>'4I'!$AL$165</f>
        <v>CR20011TA_FD_C</v>
      </c>
      <c r="D604" t="s">
        <v>16238</v>
      </c>
      <c r="E604" t="s">
        <v>4215</v>
      </c>
      <c r="F604" t="s">
        <v>17334</v>
      </c>
      <c r="G604">
        <v>3</v>
      </c>
      <c r="O604" t="str">
        <f t="shared" si="9"/>
        <v>Fin Derr (C) - Currency interest rate  - Currency interest rate swaps EUR - Total accretion at 31 March 2018</v>
      </c>
    </row>
    <row r="605" spans="1:15">
      <c r="A605" t="s">
        <v>17333</v>
      </c>
      <c r="B605" t="str">
        <f>'4I'!$AL$166</f>
        <v>CR20012TA_FD_C</v>
      </c>
      <c r="D605" t="s">
        <v>16239</v>
      </c>
      <c r="E605" t="s">
        <v>4215</v>
      </c>
      <c r="F605" t="s">
        <v>17334</v>
      </c>
      <c r="G605">
        <v>3</v>
      </c>
      <c r="O605" t="str">
        <f t="shared" si="9"/>
        <v>Fin Derr (C) - Currency interest rate  - Currency interest rate swaps YEN - Total accretion at 31 March 2018</v>
      </c>
    </row>
    <row r="606" spans="1:15">
      <c r="A606" t="s">
        <v>17333</v>
      </c>
      <c r="B606" t="str">
        <f>'4I'!$AL$167</f>
        <v>CR20013TA_FD_C</v>
      </c>
      <c r="D606" t="s">
        <v>16240</v>
      </c>
      <c r="E606" t="s">
        <v>4215</v>
      </c>
      <c r="F606" t="s">
        <v>17334</v>
      </c>
      <c r="G606">
        <v>3</v>
      </c>
      <c r="O606" t="str">
        <f t="shared" si="9"/>
        <v>Fin Derr (C) - Currency interest rate  - Currency interest rate swaps Other - Total accretion at 31 March 2018</v>
      </c>
    </row>
    <row r="607" spans="1:15">
      <c r="A607" t="s">
        <v>17333</v>
      </c>
      <c r="B607" t="str">
        <f>'4I'!$AL$168</f>
        <v>CR20014TA_FD_C</v>
      </c>
      <c r="D607" t="s">
        <v>16241</v>
      </c>
      <c r="E607" t="s">
        <v>4215</v>
      </c>
      <c r="F607" t="s">
        <v>17334</v>
      </c>
      <c r="G607">
        <v>3</v>
      </c>
      <c r="O607" t="str">
        <f t="shared" si="9"/>
        <v>Fin Derr (C) - Currency interest rate  - Total - Total accretion at 31 March 2018</v>
      </c>
    </row>
    <row r="608" spans="1:15">
      <c r="A608" t="s">
        <v>17333</v>
      </c>
      <c r="B608" t="str">
        <f>'4I'!$AL$171</f>
        <v>CR20015TA_FD_C</v>
      </c>
      <c r="D608" t="s">
        <v>16242</v>
      </c>
      <c r="E608" t="s">
        <v>4215</v>
      </c>
      <c r="F608" t="s">
        <v>17334</v>
      </c>
      <c r="G608">
        <v>3</v>
      </c>
      <c r="O608" t="str">
        <f t="shared" si="9"/>
        <v>Fin Derr (C) - Forward currency contracts - Forward currency contracts USD - Total accretion at 31 March 2018</v>
      </c>
    </row>
    <row r="609" spans="1:15">
      <c r="A609" t="s">
        <v>17333</v>
      </c>
      <c r="B609" t="str">
        <f>'4I'!$AL$172</f>
        <v>CR20016TA_FD_C</v>
      </c>
      <c r="D609" t="s">
        <v>16243</v>
      </c>
      <c r="E609" t="s">
        <v>4215</v>
      </c>
      <c r="F609" t="s">
        <v>17334</v>
      </c>
      <c r="G609">
        <v>3</v>
      </c>
      <c r="O609" t="str">
        <f t="shared" si="9"/>
        <v>Fin Derr (C) - Forward currency contracts - Forward currency contracts EUR - Total accretion at 31 March 2018</v>
      </c>
    </row>
    <row r="610" spans="1:15">
      <c r="A610" t="s">
        <v>17333</v>
      </c>
      <c r="B610" t="str">
        <f>'4I'!$AL$173</f>
        <v>CR20017TA_FD_C</v>
      </c>
      <c r="D610" t="s">
        <v>16244</v>
      </c>
      <c r="E610" t="s">
        <v>4215</v>
      </c>
      <c r="F610" t="s">
        <v>17334</v>
      </c>
      <c r="G610">
        <v>3</v>
      </c>
      <c r="O610" t="str">
        <f t="shared" si="9"/>
        <v>Fin Derr (C) - Forward currency contracts - Forward currency contracts YEN - Total accretion at 31 March 2018</v>
      </c>
    </row>
    <row r="611" spans="1:15">
      <c r="A611" t="s">
        <v>17333</v>
      </c>
      <c r="B611" t="str">
        <f>'4I'!$AL$174</f>
        <v>CR2029TA_FD_C</v>
      </c>
      <c r="D611" t="s">
        <v>16245</v>
      </c>
      <c r="E611" t="s">
        <v>4215</v>
      </c>
      <c r="F611" t="s">
        <v>17334</v>
      </c>
      <c r="G611">
        <v>3</v>
      </c>
      <c r="O611" t="str">
        <f t="shared" si="9"/>
        <v>Fin Derr (C) - Forward currency contracts CAD - Total accretion at 31 March 2018</v>
      </c>
    </row>
    <row r="612" spans="1:15">
      <c r="A612" t="s">
        <v>17333</v>
      </c>
      <c r="B612" t="str">
        <f>'4I'!$AL$175</f>
        <v>CR2030TA_FD_C</v>
      </c>
      <c r="D612" t="s">
        <v>16246</v>
      </c>
      <c r="E612" t="s">
        <v>4215</v>
      </c>
      <c r="F612" t="s">
        <v>17334</v>
      </c>
      <c r="G612">
        <v>3</v>
      </c>
      <c r="O612" t="str">
        <f t="shared" si="9"/>
        <v>Fin Derr (C) - Forward currency contracts AUD - Total accretion at 31 March 2018</v>
      </c>
    </row>
    <row r="613" spans="1:15">
      <c r="A613" t="s">
        <v>17333</v>
      </c>
      <c r="B613" t="str">
        <f>'4I'!$AL$176</f>
        <v>CR2031TA_FD_C</v>
      </c>
      <c r="D613" t="s">
        <v>16247</v>
      </c>
      <c r="E613" t="s">
        <v>4215</v>
      </c>
      <c r="F613" t="s">
        <v>17334</v>
      </c>
      <c r="G613">
        <v>3</v>
      </c>
      <c r="O613" t="str">
        <f t="shared" si="9"/>
        <v>Fin Derr (C) - Forward currency contracts HKD - Total accretion at 31 March 2018</v>
      </c>
    </row>
    <row r="614" spans="1:15">
      <c r="A614" t="s">
        <v>17333</v>
      </c>
      <c r="B614" t="str">
        <f>'4I'!$AL$177</f>
        <v>CR20018TA_FD_C</v>
      </c>
      <c r="D614" t="s">
        <v>16248</v>
      </c>
      <c r="E614" t="s">
        <v>4215</v>
      </c>
      <c r="F614" t="s">
        <v>17334</v>
      </c>
      <c r="G614">
        <v>3</v>
      </c>
      <c r="O614" t="str">
        <f t="shared" si="9"/>
        <v>Fin Derr (C) - Forward currency contracts - Forward currency contracts Other - Total accretion at 31 March 2018</v>
      </c>
    </row>
    <row r="615" spans="1:15">
      <c r="A615" t="s">
        <v>17333</v>
      </c>
      <c r="B615" t="str">
        <f>'4I'!$AL$178</f>
        <v>CR20019TA_FD_C</v>
      </c>
      <c r="D615" t="s">
        <v>16249</v>
      </c>
      <c r="E615" t="s">
        <v>4215</v>
      </c>
      <c r="F615" t="s">
        <v>17334</v>
      </c>
      <c r="G615">
        <v>3</v>
      </c>
      <c r="O615" t="str">
        <f t="shared" si="9"/>
        <v>Fin Derr (C) - Forward currency contracts - Total - Total accretion at 31 March 2018</v>
      </c>
    </row>
    <row r="616" spans="1:15">
      <c r="A616" t="s">
        <v>17333</v>
      </c>
      <c r="B616" t="str">
        <f>'4I'!$AL$181</f>
        <v>CR2028TA_FD_C</v>
      </c>
      <c r="D616" t="s">
        <v>16250</v>
      </c>
      <c r="E616" t="s">
        <v>4215</v>
      </c>
      <c r="F616" t="s">
        <v>17334</v>
      </c>
      <c r="G616">
        <v>3</v>
      </c>
      <c r="O616" t="str">
        <f t="shared" si="9"/>
        <v>Fin Derr (C) - Other financial derivatives - Total accretion at 31 March 2018</v>
      </c>
    </row>
    <row r="617" spans="1:15">
      <c r="A617" t="s">
        <v>17333</v>
      </c>
      <c r="B617" t="str">
        <f>'4I'!$AL$183</f>
        <v>CR20020TA_FD_C</v>
      </c>
      <c r="D617" t="s">
        <v>16251</v>
      </c>
      <c r="E617" t="s">
        <v>4215</v>
      </c>
      <c r="F617" t="s">
        <v>17334</v>
      </c>
      <c r="G617">
        <v>3</v>
      </c>
      <c r="O617" t="str">
        <f t="shared" si="9"/>
        <v>Fin Derr (C) - Total financial derivatives - Total accretion at 31 March 2018</v>
      </c>
    </row>
    <row r="618" spans="1:15">
      <c r="A618" t="s">
        <v>17333</v>
      </c>
      <c r="B618" t="str">
        <f>'4I'!$AM$147</f>
        <v>CR2021IRP_FD_C</v>
      </c>
      <c r="D618" t="s">
        <v>16252</v>
      </c>
      <c r="E618" t="s">
        <v>4215</v>
      </c>
      <c r="F618" t="s">
        <v>17334</v>
      </c>
      <c r="G618">
        <v>3</v>
      </c>
      <c r="O618" t="str">
        <f t="shared" si="9"/>
        <v>Fin Derr (C) - Interest rate swap (sterling) - Floating to fixed rate: Interest rate\n(weighted average for 12 months to 31 March 2018) - Payable</v>
      </c>
    </row>
    <row r="619" spans="1:15">
      <c r="A619" t="s">
        <v>17333</v>
      </c>
      <c r="B619" t="str">
        <f>'4I'!$AM$148</f>
        <v>CR2022IRP_FD_C</v>
      </c>
      <c r="D619" t="s">
        <v>16253</v>
      </c>
      <c r="E619" t="s">
        <v>4215</v>
      </c>
      <c r="F619" t="s">
        <v>17334</v>
      </c>
      <c r="G619">
        <v>3</v>
      </c>
      <c r="O619" t="str">
        <f t="shared" si="9"/>
        <v>Fin Derr (C) - Interest rate swap (sterling) - Floating from fixed rate: Interest rate\n(weighted average for 12 months to 31 March 2018) - Payable</v>
      </c>
    </row>
    <row r="620" spans="1:15">
      <c r="A620" t="s">
        <v>17333</v>
      </c>
      <c r="B620" t="str">
        <f>'4I'!$AM$149</f>
        <v>CR2023IRP_FD_C</v>
      </c>
      <c r="D620" t="s">
        <v>16254</v>
      </c>
      <c r="E620" t="s">
        <v>4215</v>
      </c>
      <c r="F620" t="s">
        <v>17334</v>
      </c>
      <c r="G620">
        <v>3</v>
      </c>
      <c r="O620" t="str">
        <f t="shared" si="9"/>
        <v>Fin Derr (C) - Interest rate swap (sterling) - Floating to index linked: Interest rate\n(weighted average for 12 months to 31 March 2018) - Payable</v>
      </c>
    </row>
    <row r="621" spans="1:15">
      <c r="A621" t="s">
        <v>17333</v>
      </c>
      <c r="B621" t="str">
        <f>'4I'!$AM$150</f>
        <v>CR2024IRP_FD_C</v>
      </c>
      <c r="D621" t="s">
        <v>16255</v>
      </c>
      <c r="E621" t="s">
        <v>4215</v>
      </c>
      <c r="F621" t="s">
        <v>17334</v>
      </c>
      <c r="G621">
        <v>3</v>
      </c>
      <c r="O621" t="str">
        <f t="shared" si="9"/>
        <v>Fin Derr (C) - Interest rate swap (sterling) - Floating from index linked: Interest rate\n(weighted average for 12 months to 31 March 2018) - Payable</v>
      </c>
    </row>
    <row r="622" spans="1:15">
      <c r="A622" t="s">
        <v>17333</v>
      </c>
      <c r="B622" t="str">
        <f>'4I'!$AM$151</f>
        <v>CR2025IRP_FD_C</v>
      </c>
      <c r="D622" t="s">
        <v>16256</v>
      </c>
      <c r="E622" t="s">
        <v>4215</v>
      </c>
      <c r="F622" t="s">
        <v>17334</v>
      </c>
      <c r="G622">
        <v>3</v>
      </c>
      <c r="O622" t="str">
        <f t="shared" si="9"/>
        <v>Fin Derr (C) - Interest rate swap (sterling) - Fixed to index-linked: Interest rate\n(weighted average for 12 months to 31 March 2018) - Payable</v>
      </c>
    </row>
    <row r="623" spans="1:15">
      <c r="A623" t="s">
        <v>17333</v>
      </c>
      <c r="B623" t="str">
        <f>'4I'!$AM$152</f>
        <v>CR2026IRP_FD_C</v>
      </c>
      <c r="D623" t="s">
        <v>16257</v>
      </c>
      <c r="E623" t="s">
        <v>4215</v>
      </c>
      <c r="F623" t="s">
        <v>17334</v>
      </c>
      <c r="G623">
        <v>3</v>
      </c>
      <c r="O623" t="str">
        <f t="shared" si="9"/>
        <v>Fin Derr (C) - Interest rate swap (sterling) - Fixed from index-linked: Interest rate\n(weighted average for 12 months to 31 March 2018) - Payable</v>
      </c>
    </row>
    <row r="624" spans="1:15">
      <c r="A624" t="s">
        <v>17333</v>
      </c>
      <c r="B624" t="str">
        <f>'4I'!$AM$153</f>
        <v>CR4029IRP_FD_C</v>
      </c>
      <c r="D624" t="s">
        <v>16258</v>
      </c>
      <c r="E624" t="s">
        <v>4215</v>
      </c>
      <c r="F624" t="s">
        <v>17334</v>
      </c>
      <c r="G624">
        <v>3</v>
      </c>
      <c r="O624" t="str">
        <f t="shared" si="9"/>
        <v>Fin Derr (C) - Interest rate swap (sterling) - Index-linked to index-linked - Interest rate\n(weighted average for 12 months to 31 March 2021) - Payable</v>
      </c>
    </row>
    <row r="625" spans="1:15">
      <c r="A625" t="s">
        <v>17333</v>
      </c>
      <c r="B625" t="str">
        <f>'4I'!$AN$147</f>
        <v>CR2021IRR_FD_C</v>
      </c>
      <c r="D625" t="s">
        <v>16259</v>
      </c>
      <c r="E625" t="s">
        <v>4215</v>
      </c>
      <c r="F625" t="s">
        <v>17334</v>
      </c>
      <c r="G625">
        <v>3</v>
      </c>
      <c r="O625" t="str">
        <f t="shared" si="9"/>
        <v>Fin Derr (C) - Interest rate swap (sterling) - Floating to fixed rate: Interest rate\n(weighted average for 12 months to 31 March 2018) - Receivable</v>
      </c>
    </row>
    <row r="626" spans="1:15">
      <c r="A626" t="s">
        <v>17333</v>
      </c>
      <c r="B626" t="str">
        <f>'4I'!$AN$148</f>
        <v>CR2022IRR_FD_C</v>
      </c>
      <c r="D626" t="s">
        <v>16260</v>
      </c>
      <c r="E626" t="s">
        <v>4215</v>
      </c>
      <c r="F626" t="s">
        <v>17334</v>
      </c>
      <c r="G626">
        <v>3</v>
      </c>
      <c r="O626" t="str">
        <f t="shared" si="9"/>
        <v>Fin Derr (C) - Interest rate swap (sterling) - Floating from fixed rate: Interest rate\n(weighted average for 12 months to 31 March 2018) - Receivable</v>
      </c>
    </row>
    <row r="627" spans="1:15">
      <c r="A627" t="s">
        <v>17333</v>
      </c>
      <c r="B627" t="str">
        <f>'4I'!$AN$149</f>
        <v>CR2023IRR_FD_C</v>
      </c>
      <c r="D627" t="s">
        <v>16261</v>
      </c>
      <c r="E627" t="s">
        <v>4215</v>
      </c>
      <c r="F627" t="s">
        <v>17334</v>
      </c>
      <c r="G627">
        <v>3</v>
      </c>
      <c r="O627" t="str">
        <f t="shared" si="9"/>
        <v>Fin Derr (C) - Interest rate swap (sterling) - Floating to index linked: Interest rate\n(weighted average for 12 months to 31 March 2018) - Receivable</v>
      </c>
    </row>
    <row r="628" spans="1:15">
      <c r="A628" t="s">
        <v>17333</v>
      </c>
      <c r="B628" t="str">
        <f>'4I'!$AN$150</f>
        <v>CR2024IRR_FD_C</v>
      </c>
      <c r="D628" t="s">
        <v>16262</v>
      </c>
      <c r="E628" t="s">
        <v>4215</v>
      </c>
      <c r="F628" t="s">
        <v>17334</v>
      </c>
      <c r="G628">
        <v>3</v>
      </c>
      <c r="O628" t="str">
        <f t="shared" si="9"/>
        <v>Fin Derr (C) - Interest rate swap (sterling) - Floating from index linked: Interest rate\n(weighted average for 12 months to 31 March 2018) - Receivable</v>
      </c>
    </row>
    <row r="629" spans="1:15">
      <c r="A629" t="s">
        <v>17333</v>
      </c>
      <c r="B629" t="str">
        <f>'4I'!$AN$151</f>
        <v>CR2025IRR_FD_C</v>
      </c>
      <c r="D629" t="s">
        <v>16263</v>
      </c>
      <c r="E629" t="s">
        <v>4215</v>
      </c>
      <c r="F629" t="s">
        <v>17334</v>
      </c>
      <c r="G629">
        <v>3</v>
      </c>
      <c r="O629" t="str">
        <f t="shared" si="9"/>
        <v>Fin Derr (C) - Interest rate swap (sterling) - Fixed to index-linked: Interest rate\n(weighted average for 12 months to 31 March 2018) - Receivable</v>
      </c>
    </row>
    <row r="630" spans="1:15">
      <c r="A630" t="s">
        <v>17333</v>
      </c>
      <c r="B630" t="str">
        <f>'4I'!$AN$152</f>
        <v>CR2026IRR_FD_C</v>
      </c>
      <c r="D630" t="s">
        <v>16264</v>
      </c>
      <c r="E630" t="s">
        <v>4215</v>
      </c>
      <c r="F630" t="s">
        <v>17334</v>
      </c>
      <c r="G630">
        <v>3</v>
      </c>
      <c r="O630" t="str">
        <f t="shared" si="9"/>
        <v>Fin Derr (C) - Interest rate swap (sterling) - Fixed from index-linked: Interest rate\n(weighted average for 12 months to 31 March 2018) - Receivable</v>
      </c>
    </row>
    <row r="631" spans="1:15">
      <c r="A631" t="s">
        <v>17333</v>
      </c>
      <c r="B631" t="str">
        <f>'4I'!$AN$153</f>
        <v>CR4029IRR_FD_C</v>
      </c>
      <c r="D631" t="s">
        <v>16265</v>
      </c>
      <c r="E631" t="s">
        <v>4215</v>
      </c>
      <c r="F631" t="s">
        <v>17334</v>
      </c>
      <c r="G631">
        <v>3</v>
      </c>
      <c r="O631" t="str">
        <f t="shared" si="9"/>
        <v>Fin Derr (C) - Interest rate swap (sterling) - Index-linked to index-linked - Interest rate\n(weighted average for 12 months to 31 March 2021) - Receivable</v>
      </c>
    </row>
    <row r="632" spans="1:15">
      <c r="A632" t="s">
        <v>17333</v>
      </c>
      <c r="B632" t="str">
        <f>'4I'!$AF$192</f>
        <v>CR2021N0_FD_D</v>
      </c>
      <c r="D632" t="s">
        <v>16266</v>
      </c>
      <c r="E632" t="s">
        <v>4215</v>
      </c>
      <c r="F632" t="s">
        <v>17334</v>
      </c>
      <c r="G632">
        <v>3</v>
      </c>
      <c r="O632" t="str">
        <f t="shared" si="9"/>
        <v>Fin Derr (D) - Interest rate swap (sterling) - Floating to fixed rate - Nominal value by maturity (net) at 31 March - 0 to 1 years</v>
      </c>
    </row>
    <row r="633" spans="1:15">
      <c r="A633" t="s">
        <v>17333</v>
      </c>
      <c r="B633" t="str">
        <f>'4I'!$AF$193</f>
        <v>CR2022N0_FD_D</v>
      </c>
      <c r="D633" t="s">
        <v>16267</v>
      </c>
      <c r="E633" t="s">
        <v>4215</v>
      </c>
      <c r="F633" t="s">
        <v>17334</v>
      </c>
      <c r="G633">
        <v>3</v>
      </c>
      <c r="O633" t="str">
        <f t="shared" si="9"/>
        <v>Fin Derr (D) - Interest rate swap (sterling) - Floating from fixed rate - Nominal value by maturity (net) at 31 March - 0 to 1 years</v>
      </c>
    </row>
    <row r="634" spans="1:15">
      <c r="A634" t="s">
        <v>17333</v>
      </c>
      <c r="B634" t="str">
        <f>'4I'!$AF$194</f>
        <v>CR2023N0_FD_D</v>
      </c>
      <c r="D634" t="s">
        <v>16268</v>
      </c>
      <c r="E634" t="s">
        <v>4215</v>
      </c>
      <c r="F634" t="s">
        <v>17334</v>
      </c>
      <c r="G634">
        <v>3</v>
      </c>
      <c r="O634" t="str">
        <f t="shared" si="9"/>
        <v>Fin Derr (D) - Interest rate swap (sterling) - Floating to index linked - Nominal value by maturity (net) at 31 March - 0 to 1 years</v>
      </c>
    </row>
    <row r="635" spans="1:15">
      <c r="A635" t="s">
        <v>17333</v>
      </c>
      <c r="B635" t="str">
        <f>'4I'!$AF$195</f>
        <v>CR2024N0_FD_D</v>
      </c>
      <c r="D635" t="s">
        <v>16269</v>
      </c>
      <c r="E635" t="s">
        <v>4215</v>
      </c>
      <c r="F635" t="s">
        <v>17334</v>
      </c>
      <c r="G635">
        <v>3</v>
      </c>
      <c r="O635" t="str">
        <f t="shared" si="9"/>
        <v>Fin Derr (D) - Interest rate swap (sterling) - Floating from index linked - Nominal value by maturity (net) at 31 March - 0 to 1 years</v>
      </c>
    </row>
    <row r="636" spans="1:15">
      <c r="A636" t="s">
        <v>17333</v>
      </c>
      <c r="B636" t="str">
        <f>'4I'!$AF$196</f>
        <v>CR2025N0_FD_D</v>
      </c>
      <c r="D636" t="s">
        <v>16270</v>
      </c>
      <c r="E636" t="s">
        <v>4215</v>
      </c>
      <c r="F636" t="s">
        <v>17334</v>
      </c>
      <c r="G636">
        <v>3</v>
      </c>
      <c r="O636" t="str">
        <f t="shared" si="9"/>
        <v>Fin Derr (D) - Interest rate swap (sterling) - Fixed to index linked - Nominal value by maturity (net) at 31 March - 0 to 1 years</v>
      </c>
    </row>
    <row r="637" spans="1:15">
      <c r="A637" t="s">
        <v>17333</v>
      </c>
      <c r="B637" t="str">
        <f>'4I'!$AF$197</f>
        <v>CR2026N0_FD_D</v>
      </c>
      <c r="D637" t="s">
        <v>16271</v>
      </c>
      <c r="E637" t="s">
        <v>4215</v>
      </c>
      <c r="F637" t="s">
        <v>17334</v>
      </c>
      <c r="G637">
        <v>3</v>
      </c>
      <c r="O637" t="str">
        <f t="shared" si="9"/>
        <v>Fin Derr (D) - Interest rate swap (sterling) - Fixed from index linked - Nominal value by maturity (net) at 31 March - 0 to 1 years</v>
      </c>
    </row>
    <row r="638" spans="1:15">
      <c r="A638" t="s">
        <v>17333</v>
      </c>
      <c r="B638" t="str">
        <f>'4I'!$AF$198</f>
        <v>CR4029N0_FD_D</v>
      </c>
      <c r="D638" t="s">
        <v>16272</v>
      </c>
      <c r="E638" t="s">
        <v>4215</v>
      </c>
      <c r="F638" t="s">
        <v>17334</v>
      </c>
      <c r="G638">
        <v>3</v>
      </c>
      <c r="O638" t="str">
        <f t="shared" si="9"/>
        <v>Fin Derr (D) - Interest rate swap (sterling) - Index-linked to index-linked - Nominal value by maturity (net) at 31 March - 0 to 1 years</v>
      </c>
    </row>
    <row r="639" spans="1:15">
      <c r="A639" t="s">
        <v>17333</v>
      </c>
      <c r="B639" t="str">
        <f>'4I'!$AF$199</f>
        <v>CR2027N0_FD_D</v>
      </c>
      <c r="D639" t="s">
        <v>16273</v>
      </c>
      <c r="E639" t="s">
        <v>4215</v>
      </c>
      <c r="F639" t="s">
        <v>17334</v>
      </c>
      <c r="G639">
        <v>3</v>
      </c>
      <c r="O639" t="str">
        <f t="shared" si="9"/>
        <v>Fin Derr (D) - Interest rate swap (sterling) - Total - Nominal value by maturity (net) at 31 March - 0 to 1 years</v>
      </c>
    </row>
    <row r="640" spans="1:15">
      <c r="A640" t="s">
        <v>17333</v>
      </c>
      <c r="B640" t="str">
        <f>'4I'!$AF$202</f>
        <v>CR2005N0_FD_D</v>
      </c>
      <c r="D640" t="s">
        <v>16274</v>
      </c>
      <c r="E640" t="s">
        <v>4215</v>
      </c>
      <c r="F640" t="s">
        <v>17334</v>
      </c>
      <c r="G640">
        <v>3</v>
      </c>
      <c r="O640" t="str">
        <f t="shared" si="9"/>
        <v>Fin Derr (D) - Foreign Exchange - Cross currency swap USD - Nominal value by maturity (net) at 31 March - 0 to 1 years</v>
      </c>
    </row>
    <row r="641" spans="1:15">
      <c r="A641" t="s">
        <v>17333</v>
      </c>
      <c r="B641" t="str">
        <f>'4I'!$AF$203</f>
        <v>CR2006N0_FD_D</v>
      </c>
      <c r="D641" t="s">
        <v>16275</v>
      </c>
      <c r="E641" t="s">
        <v>4215</v>
      </c>
      <c r="F641" t="s">
        <v>17334</v>
      </c>
      <c r="G641">
        <v>3</v>
      </c>
      <c r="O641" t="str">
        <f t="shared" si="9"/>
        <v>Fin Derr (D) - Foreign Exchange - Cross currency swap EUR - Nominal value by maturity (net) at 31 March - 0 to 1 years</v>
      </c>
    </row>
    <row r="642" spans="1:15">
      <c r="A642" t="s">
        <v>17333</v>
      </c>
      <c r="B642" t="str">
        <f>'4I'!$AF$204</f>
        <v>CR2007N0_FD_D</v>
      </c>
      <c r="D642" t="s">
        <v>16276</v>
      </c>
      <c r="E642" t="s">
        <v>4215</v>
      </c>
      <c r="F642" t="s">
        <v>17334</v>
      </c>
      <c r="G642">
        <v>3</v>
      </c>
      <c r="O642" t="str">
        <f t="shared" ref="O642:O705" si="10">D642</f>
        <v>Fin Derr (D) - Foreign Exchange - Cross currency swap YEN - Nominal value by maturity (net) at 31 March - 0 to 1 years</v>
      </c>
    </row>
    <row r="643" spans="1:15">
      <c r="A643" t="s">
        <v>17333</v>
      </c>
      <c r="B643" t="str">
        <f>'4I'!$AF$205</f>
        <v>CR2008N0_FD_D</v>
      </c>
      <c r="D643" t="s">
        <v>16277</v>
      </c>
      <c r="E643" t="s">
        <v>4215</v>
      </c>
      <c r="F643" t="s">
        <v>17334</v>
      </c>
      <c r="G643">
        <v>3</v>
      </c>
      <c r="O643" t="str">
        <f t="shared" si="10"/>
        <v>Fin Derr (D) - Foreign Exchange - Cross currency swap Other - Nominal value by maturity (net) at 31 March - 0 to 1 years</v>
      </c>
    </row>
    <row r="644" spans="1:15">
      <c r="A644" t="s">
        <v>17333</v>
      </c>
      <c r="B644" t="str">
        <f>'4I'!$AF$206</f>
        <v>CR2009N0_FD_D</v>
      </c>
      <c r="D644" t="s">
        <v>16278</v>
      </c>
      <c r="E644" t="s">
        <v>4215</v>
      </c>
      <c r="F644" t="s">
        <v>17334</v>
      </c>
      <c r="G644">
        <v>3</v>
      </c>
      <c r="O644" t="str">
        <f t="shared" si="10"/>
        <v>Fin Derr (D) - Foreign Exchange - Total - Nominal value by maturity (net) at 31 March - 0 to 1 years</v>
      </c>
    </row>
    <row r="645" spans="1:15">
      <c r="A645" t="s">
        <v>17333</v>
      </c>
      <c r="B645" t="str">
        <f>'4I'!$AF$209</f>
        <v>CR20010N0_FD_D</v>
      </c>
      <c r="D645" t="s">
        <v>16279</v>
      </c>
      <c r="E645" t="s">
        <v>4215</v>
      </c>
      <c r="F645" t="s">
        <v>17334</v>
      </c>
      <c r="G645">
        <v>3</v>
      </c>
      <c r="O645" t="str">
        <f t="shared" si="10"/>
        <v>Fin Derr (D) - Currency Interest Rate - Currency Interest Rate swaps USD - Nominal value by maturity (net) at 31 March - 0 to 1 years</v>
      </c>
    </row>
    <row r="646" spans="1:15">
      <c r="A646" t="s">
        <v>17333</v>
      </c>
      <c r="B646" t="str">
        <f>'4I'!$AF$210</f>
        <v>CR20011N0_FD_D</v>
      </c>
      <c r="D646" t="s">
        <v>16280</v>
      </c>
      <c r="E646" t="s">
        <v>4215</v>
      </c>
      <c r="F646" t="s">
        <v>17334</v>
      </c>
      <c r="G646">
        <v>3</v>
      </c>
      <c r="O646" t="str">
        <f t="shared" si="10"/>
        <v>Fin Derr (D) - Currency Interest Rate - Currency Interest Rate swaps EUR - Nominal value by maturity (net) at 31 March - 0 to 1 years</v>
      </c>
    </row>
    <row r="647" spans="1:15">
      <c r="A647" t="s">
        <v>17333</v>
      </c>
      <c r="B647" t="str">
        <f>'4I'!$AF$211</f>
        <v>CR20012N0_FD_D</v>
      </c>
      <c r="D647" t="s">
        <v>16281</v>
      </c>
      <c r="E647" t="s">
        <v>4215</v>
      </c>
      <c r="F647" t="s">
        <v>17334</v>
      </c>
      <c r="G647">
        <v>3</v>
      </c>
      <c r="O647" t="str">
        <f t="shared" si="10"/>
        <v>Fin Derr (D) - Currency Interest Rate - Currency Interest Rate swaps YEN - Nominal value by maturity (net) at 31 March - 0 to 1 years</v>
      </c>
    </row>
    <row r="648" spans="1:15">
      <c r="A648" t="s">
        <v>17333</v>
      </c>
      <c r="B648" t="str">
        <f>'4I'!$AF$212</f>
        <v>CR20013N0_FD_D</v>
      </c>
      <c r="D648" t="s">
        <v>16282</v>
      </c>
      <c r="E648" t="s">
        <v>4215</v>
      </c>
      <c r="F648" t="s">
        <v>17334</v>
      </c>
      <c r="G648">
        <v>3</v>
      </c>
      <c r="O648" t="str">
        <f t="shared" si="10"/>
        <v>Fin Derr (D) - Currency Interest Rate - Currency Interest Rate swaps Other - Nominal value by maturity (net) at 31 March - 0 to 1 years</v>
      </c>
    </row>
    <row r="649" spans="1:15">
      <c r="A649" t="s">
        <v>17333</v>
      </c>
      <c r="B649" t="str">
        <f>'4I'!$AF$213</f>
        <v>CR20014N0_FD_D</v>
      </c>
      <c r="D649" t="s">
        <v>16283</v>
      </c>
      <c r="E649" t="s">
        <v>4215</v>
      </c>
      <c r="F649" t="s">
        <v>17334</v>
      </c>
      <c r="G649">
        <v>3</v>
      </c>
      <c r="O649" t="str">
        <f t="shared" si="10"/>
        <v>Fin Derr (D) - Currency Interest Rate - Total - Nominal value by maturity (net) at 31 March - 0 to 1 years</v>
      </c>
    </row>
    <row r="650" spans="1:15">
      <c r="A650" t="s">
        <v>17333</v>
      </c>
      <c r="B650" t="str">
        <f>'4I'!$AF$216</f>
        <v>CR20015N0_FD_D</v>
      </c>
      <c r="D650" t="s">
        <v>16284</v>
      </c>
      <c r="E650" t="s">
        <v>4215</v>
      </c>
      <c r="F650" t="s">
        <v>17334</v>
      </c>
      <c r="G650">
        <v>3</v>
      </c>
      <c r="O650" t="str">
        <f t="shared" si="10"/>
        <v>Fin Derr (D) - Forward currency contracts - Forward currency contracts USD - Nominal value by maturity (net) at 31 March - 0 to 1 years</v>
      </c>
    </row>
    <row r="651" spans="1:15">
      <c r="A651" t="s">
        <v>17333</v>
      </c>
      <c r="B651" t="str">
        <f>'4I'!$AF$217</f>
        <v>CR20016N0_FD_D</v>
      </c>
      <c r="D651" t="s">
        <v>16285</v>
      </c>
      <c r="E651" t="s">
        <v>4215</v>
      </c>
      <c r="F651" t="s">
        <v>17334</v>
      </c>
      <c r="G651">
        <v>3</v>
      </c>
      <c r="O651" t="str">
        <f t="shared" si="10"/>
        <v>Fin Derr (D) - Forward currency contracts - Forward currency contracts EUR - Nominal value by maturity (net) at 31 March - 0 to 1 years</v>
      </c>
    </row>
    <row r="652" spans="1:15">
      <c r="A652" t="s">
        <v>17333</v>
      </c>
      <c r="B652" t="str">
        <f>'4I'!$AF$218</f>
        <v>CR20017N0_FD_D</v>
      </c>
      <c r="D652" t="s">
        <v>16286</v>
      </c>
      <c r="E652" t="s">
        <v>4215</v>
      </c>
      <c r="F652" t="s">
        <v>17334</v>
      </c>
      <c r="G652">
        <v>3</v>
      </c>
      <c r="O652" t="str">
        <f t="shared" si="10"/>
        <v>Fin Derr (D) - Forward currency contracts - Forward currency contracts YEN - Nominal value by maturity (net) at 31 March - 0 to 1 years</v>
      </c>
    </row>
    <row r="653" spans="1:15">
      <c r="A653" t="s">
        <v>17333</v>
      </c>
      <c r="B653" t="str">
        <f>'4I'!$AF$219</f>
        <v>CR2029N0_FD_D</v>
      </c>
      <c r="D653" t="s">
        <v>16287</v>
      </c>
      <c r="E653" t="s">
        <v>4215</v>
      </c>
      <c r="F653" t="s">
        <v>17334</v>
      </c>
      <c r="G653">
        <v>3</v>
      </c>
      <c r="O653" t="str">
        <f t="shared" si="10"/>
        <v>Fin Derr (D) - Forward currency contracts - Forward currency contracts CAD - Nominal value by maturity (net) at 31 March - 0 to 1 years</v>
      </c>
    </row>
    <row r="654" spans="1:15">
      <c r="A654" t="s">
        <v>17333</v>
      </c>
      <c r="B654" t="str">
        <f>'4I'!$AF$220</f>
        <v>CR2030N0_FD_D</v>
      </c>
      <c r="D654" t="s">
        <v>16288</v>
      </c>
      <c r="E654" t="s">
        <v>4215</v>
      </c>
      <c r="F654" t="s">
        <v>17334</v>
      </c>
      <c r="G654">
        <v>3</v>
      </c>
      <c r="O654" t="str">
        <f t="shared" si="10"/>
        <v>Fin Derr (D) - Forward currency contracts - Forward currency contracts AUD - Nominal value by maturity (net) at 31 March - 0 to 1 years</v>
      </c>
    </row>
    <row r="655" spans="1:15">
      <c r="A655" t="s">
        <v>17333</v>
      </c>
      <c r="B655" t="str">
        <f>'4I'!$AF$221</f>
        <v>CR2031N0_FD_D</v>
      </c>
      <c r="D655" t="s">
        <v>16289</v>
      </c>
      <c r="E655" t="s">
        <v>4215</v>
      </c>
      <c r="F655" t="s">
        <v>17334</v>
      </c>
      <c r="G655">
        <v>3</v>
      </c>
      <c r="O655" t="str">
        <f t="shared" si="10"/>
        <v>Fin Derr (D) - Forward currency contracts - Forward currency contracts HKD - Nominal value by maturity (net) at 31 March - 0 to 1 years</v>
      </c>
    </row>
    <row r="656" spans="1:15">
      <c r="A656" t="s">
        <v>17333</v>
      </c>
      <c r="B656" t="str">
        <f>'4I'!$AF$222</f>
        <v>CR20018N0_FD_D</v>
      </c>
      <c r="D656" t="s">
        <v>16290</v>
      </c>
      <c r="E656" t="s">
        <v>4215</v>
      </c>
      <c r="F656" t="s">
        <v>17334</v>
      </c>
      <c r="G656">
        <v>3</v>
      </c>
      <c r="O656" t="str">
        <f t="shared" si="10"/>
        <v>Fin Derr (D) - Forward currency contracts - Forward currency contracts Other - Nominal value by maturity (net) at 31 March - 0 to 1 years</v>
      </c>
    </row>
    <row r="657" spans="1:15">
      <c r="A657" t="s">
        <v>17333</v>
      </c>
      <c r="B657" t="str">
        <f>'4I'!$AF$223</f>
        <v>CR20019N0_FD_D</v>
      </c>
      <c r="D657" t="s">
        <v>16291</v>
      </c>
      <c r="E657" t="s">
        <v>4215</v>
      </c>
      <c r="F657" t="s">
        <v>17334</v>
      </c>
      <c r="G657">
        <v>3</v>
      </c>
      <c r="O657" t="str">
        <f t="shared" si="10"/>
        <v>Fin Derr (D) - Forward currency contracts - Total - Nominal value by maturity (net) at 31 March - 0 to 1 years</v>
      </c>
    </row>
    <row r="658" spans="1:15">
      <c r="A658" t="s">
        <v>17333</v>
      </c>
      <c r="B658" t="str">
        <f>'4I'!$AF$226</f>
        <v>CR2028N0_FD_D</v>
      </c>
      <c r="D658" t="s">
        <v>16292</v>
      </c>
      <c r="E658" t="s">
        <v>4215</v>
      </c>
      <c r="F658" t="s">
        <v>17334</v>
      </c>
      <c r="G658">
        <v>3</v>
      </c>
      <c r="O658" t="str">
        <f t="shared" si="10"/>
        <v>Fin Derr (D) - Other financial derivatives - Nominal value by maturity (net) at 31 March - 0 to 1 years</v>
      </c>
    </row>
    <row r="659" spans="1:15">
      <c r="A659" t="s">
        <v>17333</v>
      </c>
      <c r="B659" t="str">
        <f>'4I'!$AF$228</f>
        <v>CR20020N0_FD_D</v>
      </c>
      <c r="D659" t="s">
        <v>16293</v>
      </c>
      <c r="E659" t="s">
        <v>4215</v>
      </c>
      <c r="F659" t="s">
        <v>17334</v>
      </c>
      <c r="G659">
        <v>3</v>
      </c>
      <c r="O659" t="str">
        <f t="shared" si="10"/>
        <v>Fin Derr (D) - Total financial derivatives - Nominal value by maturity (net) at 31 March - 0 to 1 years</v>
      </c>
    </row>
    <row r="660" spans="1:15">
      <c r="A660" t="s">
        <v>17333</v>
      </c>
      <c r="B660" t="str">
        <f>'4I'!$AG$192</f>
        <v>CR2021N1_FD_D</v>
      </c>
      <c r="D660" t="s">
        <v>16294</v>
      </c>
      <c r="E660" t="s">
        <v>4215</v>
      </c>
      <c r="F660" t="s">
        <v>17334</v>
      </c>
      <c r="G660">
        <v>3</v>
      </c>
      <c r="O660" t="str">
        <f t="shared" si="10"/>
        <v>Fin Derr (D) - Interest rate swap (sterling) - Floating to fixed rate: Nominal value by maturity (net) - 1 to 2 years</v>
      </c>
    </row>
    <row r="661" spans="1:15">
      <c r="A661" t="s">
        <v>17333</v>
      </c>
      <c r="B661" t="str">
        <f>'4I'!$AG$193</f>
        <v>CR2022N1_FD_D</v>
      </c>
      <c r="D661" t="s">
        <v>16295</v>
      </c>
      <c r="E661" t="s">
        <v>4215</v>
      </c>
      <c r="F661" t="s">
        <v>17334</v>
      </c>
      <c r="G661">
        <v>3</v>
      </c>
      <c r="O661" t="str">
        <f t="shared" si="10"/>
        <v>Fin Derr (D) - Interest rate swap (sterling) - Floating from fixed rate: Nominal value by maturity (net) - 1 to 2 years</v>
      </c>
    </row>
    <row r="662" spans="1:15">
      <c r="A662" t="s">
        <v>17333</v>
      </c>
      <c r="B662" t="str">
        <f>'4I'!$AG$194</f>
        <v>CR2023N1_FD_D</v>
      </c>
      <c r="D662" t="s">
        <v>16296</v>
      </c>
      <c r="E662" t="s">
        <v>4215</v>
      </c>
      <c r="F662" t="s">
        <v>17334</v>
      </c>
      <c r="G662">
        <v>3</v>
      </c>
      <c r="O662" t="str">
        <f t="shared" si="10"/>
        <v>Fin Derr (D) - Interest rate swap (sterling) - Floating to index linked: Nominal value by maturity (net) - 1 to 2 years</v>
      </c>
    </row>
    <row r="663" spans="1:15">
      <c r="A663" t="s">
        <v>17333</v>
      </c>
      <c r="B663" t="str">
        <f>'4I'!$AG$195</f>
        <v>CR2024N1_FD_D</v>
      </c>
      <c r="D663" t="s">
        <v>16297</v>
      </c>
      <c r="E663" t="s">
        <v>4215</v>
      </c>
      <c r="F663" t="s">
        <v>17334</v>
      </c>
      <c r="G663">
        <v>3</v>
      </c>
      <c r="O663" t="str">
        <f t="shared" si="10"/>
        <v>Fin Derr (D) - Interest rate swap (sterling) - Floating from index linked: Nominal value by maturity (net) - 1 to 2 years</v>
      </c>
    </row>
    <row r="664" spans="1:15">
      <c r="A664" t="s">
        <v>17333</v>
      </c>
      <c r="B664" t="str">
        <f>'4I'!$AG$196</f>
        <v>CR2025N1_FD_D</v>
      </c>
      <c r="D664" t="s">
        <v>16298</v>
      </c>
      <c r="E664" t="s">
        <v>4215</v>
      </c>
      <c r="F664" t="s">
        <v>17334</v>
      </c>
      <c r="G664">
        <v>3</v>
      </c>
      <c r="O664" t="str">
        <f t="shared" si="10"/>
        <v>Fin Derr (D) - Interest rate swap (sterling) - Fixed to index-linked: Nominal value by maturity (net) - 1 to 2 years</v>
      </c>
    </row>
    <row r="665" spans="1:15">
      <c r="A665" t="s">
        <v>17333</v>
      </c>
      <c r="B665" t="str">
        <f>'4I'!$AG$197</f>
        <v>CR2026N1_FD_D</v>
      </c>
      <c r="D665" t="s">
        <v>16299</v>
      </c>
      <c r="E665" t="s">
        <v>4215</v>
      </c>
      <c r="F665" t="s">
        <v>17334</v>
      </c>
      <c r="G665">
        <v>3</v>
      </c>
      <c r="O665" t="str">
        <f t="shared" si="10"/>
        <v>Fin Derr (D) - Interest rate swap (sterling) - Fixed from index-linked: Nominal value by maturity (net) - 1 to 2 years</v>
      </c>
    </row>
    <row r="666" spans="1:15">
      <c r="A666" t="s">
        <v>17333</v>
      </c>
      <c r="B666" t="str">
        <f>'4I'!$AG$198</f>
        <v>CR4029N1_FD_D</v>
      </c>
      <c r="D666" t="s">
        <v>16300</v>
      </c>
      <c r="E666" t="s">
        <v>4215</v>
      </c>
      <c r="F666" t="s">
        <v>17334</v>
      </c>
      <c r="G666">
        <v>3</v>
      </c>
      <c r="O666" t="str">
        <f t="shared" si="10"/>
        <v>Fin Derr (D) - Interest rate swap (sterling) - Index-linked to index-linked - Nominal value by maturity (net) at 31 March - 1 to 2 years</v>
      </c>
    </row>
    <row r="667" spans="1:15">
      <c r="A667" t="s">
        <v>17333</v>
      </c>
      <c r="B667" t="str">
        <f>'4I'!$AG$199</f>
        <v>CR2027N1_FD_D</v>
      </c>
      <c r="D667" t="s">
        <v>16301</v>
      </c>
      <c r="E667" t="s">
        <v>4215</v>
      </c>
      <c r="F667" t="s">
        <v>17334</v>
      </c>
      <c r="G667">
        <v>3</v>
      </c>
      <c r="O667" t="str">
        <f t="shared" si="10"/>
        <v>Fin Derr (D) - Interest rate swap (sterling) - Total: Nominal value by maturity (net) - 1 to 2 years</v>
      </c>
    </row>
    <row r="668" spans="1:15">
      <c r="A668" t="s">
        <v>17333</v>
      </c>
      <c r="B668" t="str">
        <f>'4I'!$AG$202</f>
        <v>CR2005N1_FD_D</v>
      </c>
      <c r="D668" t="s">
        <v>16302</v>
      </c>
      <c r="E668" t="s">
        <v>4215</v>
      </c>
      <c r="F668" t="s">
        <v>17334</v>
      </c>
      <c r="G668">
        <v>3</v>
      </c>
      <c r="O668" t="str">
        <f t="shared" si="10"/>
        <v>Fin Derr (D) - Foreign Exchange - Cross currency swap USD: Nominal value by maturity (net) - 1 to 2 years</v>
      </c>
    </row>
    <row r="669" spans="1:15">
      <c r="A669" t="s">
        <v>17333</v>
      </c>
      <c r="B669" t="str">
        <f>'4I'!$AG$203</f>
        <v>CR2006N1_FD_D</v>
      </c>
      <c r="D669" t="s">
        <v>16303</v>
      </c>
      <c r="E669" t="s">
        <v>4215</v>
      </c>
      <c r="F669" t="s">
        <v>17334</v>
      </c>
      <c r="G669">
        <v>3</v>
      </c>
      <c r="O669" t="str">
        <f t="shared" si="10"/>
        <v>Fin Derr (D) - Foreign Exchange - Cross currency swap EUR: Nominal value by maturity (net) - 1 to 2 years</v>
      </c>
    </row>
    <row r="670" spans="1:15">
      <c r="A670" t="s">
        <v>17333</v>
      </c>
      <c r="B670" t="str">
        <f>'4I'!$AG$204</f>
        <v>CR2007N1_FD_D</v>
      </c>
      <c r="D670" t="s">
        <v>16304</v>
      </c>
      <c r="E670" t="s">
        <v>4215</v>
      </c>
      <c r="F670" t="s">
        <v>17334</v>
      </c>
      <c r="G670">
        <v>3</v>
      </c>
      <c r="O670" t="str">
        <f t="shared" si="10"/>
        <v>Fin Derr (D) - Foreign Exchange - Cross currency swap YEN: Nominal value by maturity (net) - 1 to 2 years</v>
      </c>
    </row>
    <row r="671" spans="1:15">
      <c r="A671" t="s">
        <v>17333</v>
      </c>
      <c r="B671" t="str">
        <f>'4I'!$AG$205</f>
        <v>CR2008N1_FD_D</v>
      </c>
      <c r="D671" t="s">
        <v>16305</v>
      </c>
      <c r="E671" t="s">
        <v>4215</v>
      </c>
      <c r="F671" t="s">
        <v>17334</v>
      </c>
      <c r="G671">
        <v>3</v>
      </c>
      <c r="O671" t="str">
        <f t="shared" si="10"/>
        <v>Fin Derr (D) - Foreign Exchange - Cross currency swap Other: Nominal value by maturity (net) - 1 to 2 years</v>
      </c>
    </row>
    <row r="672" spans="1:15">
      <c r="A672" t="s">
        <v>17333</v>
      </c>
      <c r="B672" t="str">
        <f>'4I'!$AG$206</f>
        <v>CR2009N1_FD_D</v>
      </c>
      <c r="D672" t="s">
        <v>16306</v>
      </c>
      <c r="E672" t="s">
        <v>4215</v>
      </c>
      <c r="F672" t="s">
        <v>17334</v>
      </c>
      <c r="G672">
        <v>3</v>
      </c>
      <c r="O672" t="str">
        <f t="shared" si="10"/>
        <v>Fin Derr (D) - Foreign Exchange - Total: Nominal value by maturity (net) - 1 to 2 years</v>
      </c>
    </row>
    <row r="673" spans="1:15">
      <c r="A673" t="s">
        <v>17333</v>
      </c>
      <c r="B673" t="str">
        <f>'4I'!$AG$209</f>
        <v>CR20010N1_FD_D</v>
      </c>
      <c r="D673" t="s">
        <v>16307</v>
      </c>
      <c r="E673" t="s">
        <v>4215</v>
      </c>
      <c r="F673" t="s">
        <v>17334</v>
      </c>
      <c r="G673">
        <v>3</v>
      </c>
      <c r="O673" t="str">
        <f t="shared" si="10"/>
        <v>Fin Derr (D) - Currency interest rate  - Currency interest rate swaps USD: Nominal value by maturity (net) - 1 to 2 years</v>
      </c>
    </row>
    <row r="674" spans="1:15">
      <c r="A674" t="s">
        <v>17333</v>
      </c>
      <c r="B674" t="str">
        <f>'4I'!$AG$210</f>
        <v>CR20011N1_FD_D</v>
      </c>
      <c r="D674" t="s">
        <v>16308</v>
      </c>
      <c r="E674" t="s">
        <v>4215</v>
      </c>
      <c r="F674" t="s">
        <v>17334</v>
      </c>
      <c r="G674">
        <v>3</v>
      </c>
      <c r="O674" t="str">
        <f t="shared" si="10"/>
        <v>Fin Derr (D) - Currency interest rate  - Currency interest rate swaps EUR: Nominal value by maturity (net) - 1 to 2 years</v>
      </c>
    </row>
    <row r="675" spans="1:15">
      <c r="A675" t="s">
        <v>17333</v>
      </c>
      <c r="B675" t="str">
        <f>'4I'!$AG$211</f>
        <v>CR20012N1_FD_D</v>
      </c>
      <c r="D675" t="s">
        <v>16309</v>
      </c>
      <c r="E675" t="s">
        <v>4215</v>
      </c>
      <c r="F675" t="s">
        <v>17334</v>
      </c>
      <c r="G675">
        <v>3</v>
      </c>
      <c r="O675" t="str">
        <f t="shared" si="10"/>
        <v>Fin Derr (D) - Currency interest rate  - Currency interest rate swaps YEN: Nominal value by maturity (net) - 1 to 2 years</v>
      </c>
    </row>
    <row r="676" spans="1:15">
      <c r="A676" t="s">
        <v>17333</v>
      </c>
      <c r="B676" t="str">
        <f>'4I'!$AG$212</f>
        <v>CR20013N1_FD_D</v>
      </c>
      <c r="D676" t="s">
        <v>16310</v>
      </c>
      <c r="E676" t="s">
        <v>4215</v>
      </c>
      <c r="F676" t="s">
        <v>17334</v>
      </c>
      <c r="G676">
        <v>3</v>
      </c>
      <c r="O676" t="str">
        <f t="shared" si="10"/>
        <v>Fin Derr (D) - Currency interest rate  - Currency interest rate swaps Other: Nominal value by maturity (net) - 1 to 2 years</v>
      </c>
    </row>
    <row r="677" spans="1:15">
      <c r="A677" t="s">
        <v>17333</v>
      </c>
      <c r="B677" t="str">
        <f>'4I'!$AG$213</f>
        <v>CR20014N1_FD_D</v>
      </c>
      <c r="D677" t="s">
        <v>16311</v>
      </c>
      <c r="E677" t="s">
        <v>4215</v>
      </c>
      <c r="F677" t="s">
        <v>17334</v>
      </c>
      <c r="G677">
        <v>3</v>
      </c>
      <c r="O677" t="str">
        <f t="shared" si="10"/>
        <v>Fin Derr (D) - Currency interest rate  - Total: Nominal value by maturity (net) - 1 to 2 years</v>
      </c>
    </row>
    <row r="678" spans="1:15">
      <c r="A678" t="s">
        <v>17333</v>
      </c>
      <c r="B678" t="str">
        <f>'4I'!$AG$216</f>
        <v>CR20015N1_FD_D</v>
      </c>
      <c r="D678" t="s">
        <v>16312</v>
      </c>
      <c r="E678" t="s">
        <v>4215</v>
      </c>
      <c r="F678" t="s">
        <v>17334</v>
      </c>
      <c r="G678">
        <v>3</v>
      </c>
      <c r="O678" t="str">
        <f t="shared" si="10"/>
        <v>Fin Derr (D) - Forward currency contracts - Forward currency contracts USD: Nominal value by maturity (net) - 1 to 2 years</v>
      </c>
    </row>
    <row r="679" spans="1:15">
      <c r="A679" t="s">
        <v>17333</v>
      </c>
      <c r="B679" t="str">
        <f>'4I'!$AG$217</f>
        <v>CR20016N1_FD_D</v>
      </c>
      <c r="D679" t="s">
        <v>16313</v>
      </c>
      <c r="E679" t="s">
        <v>4215</v>
      </c>
      <c r="F679" t="s">
        <v>17334</v>
      </c>
      <c r="G679">
        <v>3</v>
      </c>
      <c r="O679" t="str">
        <f t="shared" si="10"/>
        <v>Fin Derr (D) - Forward currency contracts - Forward currency contracts EUR: Nominal value by maturity (net) - 1 to 2 years</v>
      </c>
    </row>
    <row r="680" spans="1:15">
      <c r="A680" t="s">
        <v>17333</v>
      </c>
      <c r="B680" t="str">
        <f>'4I'!$AG$218</f>
        <v>CR20017N1_FD_D</v>
      </c>
      <c r="D680" t="s">
        <v>16314</v>
      </c>
      <c r="E680" t="s">
        <v>4215</v>
      </c>
      <c r="F680" t="s">
        <v>17334</v>
      </c>
      <c r="G680">
        <v>3</v>
      </c>
      <c r="O680" t="str">
        <f t="shared" si="10"/>
        <v>Fin Derr (D) - Forward currency contracts - Forward currency contracts YEN: Nominal value by maturity (net) - 1 to 2 years</v>
      </c>
    </row>
    <row r="681" spans="1:15">
      <c r="A681" t="s">
        <v>17333</v>
      </c>
      <c r="B681" t="str">
        <f>'4I'!$AG$219</f>
        <v>CR2029N1_FD_D</v>
      </c>
      <c r="D681" t="s">
        <v>16315</v>
      </c>
      <c r="E681" t="s">
        <v>4215</v>
      </c>
      <c r="F681" t="s">
        <v>17334</v>
      </c>
      <c r="G681">
        <v>3</v>
      </c>
      <c r="O681" t="str">
        <f t="shared" si="10"/>
        <v>Fin Derr (D) - Forward currency contracts CAD - Nominal value by maturity (net) - 1 to 2 years</v>
      </c>
    </row>
    <row r="682" spans="1:15">
      <c r="A682" t="s">
        <v>17333</v>
      </c>
      <c r="B682" t="str">
        <f>'4I'!$AG$220</f>
        <v>CR2030N1_FD_D</v>
      </c>
      <c r="D682" t="s">
        <v>16316</v>
      </c>
      <c r="E682" t="s">
        <v>4215</v>
      </c>
      <c r="F682" t="s">
        <v>17334</v>
      </c>
      <c r="G682">
        <v>3</v>
      </c>
      <c r="O682" t="str">
        <f t="shared" si="10"/>
        <v>Fin Derr (D) - Forward currency contracts AUD - Nominal value by maturity (net) - 1 to 2 years</v>
      </c>
    </row>
    <row r="683" spans="1:15">
      <c r="A683" t="s">
        <v>17333</v>
      </c>
      <c r="B683" t="str">
        <f>'4I'!$AG$221</f>
        <v>CR2031N1_FD_D</v>
      </c>
      <c r="D683" t="s">
        <v>16317</v>
      </c>
      <c r="E683" t="s">
        <v>4215</v>
      </c>
      <c r="F683" t="s">
        <v>17334</v>
      </c>
      <c r="G683">
        <v>3</v>
      </c>
      <c r="O683" t="str">
        <f t="shared" si="10"/>
        <v>Fin Derr (D) - Forward currency contracts HKD - Nominal value by maturity (net) - 1 to 2 years</v>
      </c>
    </row>
    <row r="684" spans="1:15">
      <c r="A684" t="s">
        <v>17333</v>
      </c>
      <c r="B684" t="str">
        <f>'4I'!$AG$222</f>
        <v>CR20018N1_FD_D</v>
      </c>
      <c r="D684" t="s">
        <v>16318</v>
      </c>
      <c r="E684" t="s">
        <v>4215</v>
      </c>
      <c r="F684" t="s">
        <v>17334</v>
      </c>
      <c r="G684">
        <v>3</v>
      </c>
      <c r="O684" t="str">
        <f t="shared" si="10"/>
        <v>Fin Derr (D) - Forward currency contracts - Forward currency contracts Other: Nominal value by maturity (net) - 1 to 2 years</v>
      </c>
    </row>
    <row r="685" spans="1:15">
      <c r="A685" t="s">
        <v>17333</v>
      </c>
      <c r="B685" t="str">
        <f>'4I'!$AG$223</f>
        <v>CR20019N1_FD_D</v>
      </c>
      <c r="D685" t="s">
        <v>16319</v>
      </c>
      <c r="E685" t="s">
        <v>4215</v>
      </c>
      <c r="F685" t="s">
        <v>17334</v>
      </c>
      <c r="G685">
        <v>3</v>
      </c>
      <c r="O685" t="str">
        <f t="shared" si="10"/>
        <v>Fin Derr (D) - Forward currency contracts - Total: Nominal value by maturity (net) - 1 to 2 years</v>
      </c>
    </row>
    <row r="686" spans="1:15">
      <c r="A686" t="s">
        <v>17333</v>
      </c>
      <c r="B686" t="str">
        <f>'4I'!$AG$226</f>
        <v>CR2028N1_FD_D</v>
      </c>
      <c r="D686" t="s">
        <v>16320</v>
      </c>
      <c r="E686" t="s">
        <v>4215</v>
      </c>
      <c r="F686" t="s">
        <v>17334</v>
      </c>
      <c r="G686">
        <v>3</v>
      </c>
      <c r="O686" t="str">
        <f t="shared" si="10"/>
        <v>Fin Derr (D) - Other financial derivatives: Nominal value by maturity (net) - 1 to 2 years</v>
      </c>
    </row>
    <row r="687" spans="1:15">
      <c r="A687" t="s">
        <v>17333</v>
      </c>
      <c r="B687" t="str">
        <f>'4I'!$AG$228</f>
        <v>CR20020N1_FD_D</v>
      </c>
      <c r="D687" t="s">
        <v>16321</v>
      </c>
      <c r="E687" t="s">
        <v>4215</v>
      </c>
      <c r="F687" t="s">
        <v>17334</v>
      </c>
      <c r="G687">
        <v>3</v>
      </c>
      <c r="O687" t="str">
        <f t="shared" si="10"/>
        <v>Fin Derr (D) - Total financial derivatives: Nominal value by maturity (net) - 1 to 2 years</v>
      </c>
    </row>
    <row r="688" spans="1:15">
      <c r="A688" t="s">
        <v>17333</v>
      </c>
      <c r="B688" t="str">
        <f>'4I'!$AH$192</f>
        <v>CR2021N2_FD_D</v>
      </c>
      <c r="D688" t="s">
        <v>16322</v>
      </c>
      <c r="E688" t="s">
        <v>4215</v>
      </c>
      <c r="F688" t="s">
        <v>17334</v>
      </c>
      <c r="G688">
        <v>3</v>
      </c>
      <c r="O688" t="str">
        <f t="shared" si="10"/>
        <v>Fin Derr (D) - Interest rate swap (sterling) - Floating to fixed rate: Nominal value by maturity (net) - 2 to 5 years</v>
      </c>
    </row>
    <row r="689" spans="1:15">
      <c r="A689" t="s">
        <v>17333</v>
      </c>
      <c r="B689" t="str">
        <f>'4I'!$AH$193</f>
        <v>CR2022N2_FD_D</v>
      </c>
      <c r="D689" t="s">
        <v>16323</v>
      </c>
      <c r="E689" t="s">
        <v>4215</v>
      </c>
      <c r="F689" t="s">
        <v>17334</v>
      </c>
      <c r="G689">
        <v>3</v>
      </c>
      <c r="O689" t="str">
        <f t="shared" si="10"/>
        <v>Fin Derr (D) - Interest rate swap (sterling) - Floating from fixed rate: Nominal value by maturity (net) - 2 to 5 years</v>
      </c>
    </row>
    <row r="690" spans="1:15">
      <c r="A690" t="s">
        <v>17333</v>
      </c>
      <c r="B690" t="str">
        <f>'4I'!$AH$194</f>
        <v>CR2023N2_FD_D</v>
      </c>
      <c r="D690" t="s">
        <v>16324</v>
      </c>
      <c r="E690" t="s">
        <v>4215</v>
      </c>
      <c r="F690" t="s">
        <v>17334</v>
      </c>
      <c r="G690">
        <v>3</v>
      </c>
      <c r="O690" t="str">
        <f t="shared" si="10"/>
        <v>Fin Derr (D) - Interest rate swap (sterling) - Floating to index linked: Nominal value by maturity (net) - 2 to 5 years</v>
      </c>
    </row>
    <row r="691" spans="1:15">
      <c r="A691" t="s">
        <v>17333</v>
      </c>
      <c r="B691" t="str">
        <f>'4I'!$AH$195</f>
        <v>CR2024N2_FD_D</v>
      </c>
      <c r="D691" t="s">
        <v>16325</v>
      </c>
      <c r="E691" t="s">
        <v>4215</v>
      </c>
      <c r="F691" t="s">
        <v>17334</v>
      </c>
      <c r="G691">
        <v>3</v>
      </c>
      <c r="O691" t="str">
        <f t="shared" si="10"/>
        <v>Fin Derr (D) - Interest rate swap (sterling) - Floating from index linked: Nominal value by maturity (net) - 2 to 5 years</v>
      </c>
    </row>
    <row r="692" spans="1:15">
      <c r="A692" t="s">
        <v>17333</v>
      </c>
      <c r="B692" t="str">
        <f>'4I'!$AH$196</f>
        <v>CR2025N2_FD_D</v>
      </c>
      <c r="D692" t="s">
        <v>16326</v>
      </c>
      <c r="E692" t="s">
        <v>4215</v>
      </c>
      <c r="F692" t="s">
        <v>17334</v>
      </c>
      <c r="G692">
        <v>3</v>
      </c>
      <c r="O692" t="str">
        <f t="shared" si="10"/>
        <v>Fin Derr (D) - Interest rate swap (sterling) - Fixed to index-linked: Nominal value by maturity (net) - 2 to 5 years</v>
      </c>
    </row>
    <row r="693" spans="1:15">
      <c r="A693" t="s">
        <v>17333</v>
      </c>
      <c r="B693" t="str">
        <f>'4I'!$AH$197</f>
        <v>CR2026N2_FD_D</v>
      </c>
      <c r="D693" t="s">
        <v>16327</v>
      </c>
      <c r="E693" t="s">
        <v>4215</v>
      </c>
      <c r="F693" t="s">
        <v>17334</v>
      </c>
      <c r="G693">
        <v>3</v>
      </c>
      <c r="O693" t="str">
        <f t="shared" si="10"/>
        <v>Fin Derr (D) - Interest rate swap (sterling) - Fixed from index-linked: Nominal value by maturity (net) - 2 to 5 years</v>
      </c>
    </row>
    <row r="694" spans="1:15">
      <c r="A694" t="s">
        <v>17333</v>
      </c>
      <c r="B694" t="str">
        <f>'4I'!$AH$198</f>
        <v>CR4029N2_FD_D</v>
      </c>
      <c r="D694" t="s">
        <v>16328</v>
      </c>
      <c r="E694" t="s">
        <v>4215</v>
      </c>
      <c r="F694" t="s">
        <v>17334</v>
      </c>
      <c r="G694">
        <v>3</v>
      </c>
      <c r="O694" t="str">
        <f t="shared" si="10"/>
        <v>Fin Derr (D) - Interest rate swap (sterling) - Index-linked to index-linked - Nominal value by maturity (net) at 31 March - 2 to 5 years</v>
      </c>
    </row>
    <row r="695" spans="1:15">
      <c r="A695" t="s">
        <v>17333</v>
      </c>
      <c r="B695" t="str">
        <f>'4I'!$AH$199</f>
        <v>CR2027N2_FD_D</v>
      </c>
      <c r="D695" t="s">
        <v>16329</v>
      </c>
      <c r="E695" t="s">
        <v>4215</v>
      </c>
      <c r="F695" t="s">
        <v>17334</v>
      </c>
      <c r="G695">
        <v>3</v>
      </c>
      <c r="O695" t="str">
        <f t="shared" si="10"/>
        <v>Fin Derr (D) - Interest rate swap (sterling) - Total: Nominal value by maturity (net) - 2 to 5 years</v>
      </c>
    </row>
    <row r="696" spans="1:15">
      <c r="A696" t="s">
        <v>17333</v>
      </c>
      <c r="B696" t="str">
        <f>'4I'!$AH$202</f>
        <v>CR2005N2_FD_D</v>
      </c>
      <c r="D696" t="s">
        <v>16330</v>
      </c>
      <c r="E696" t="s">
        <v>4215</v>
      </c>
      <c r="F696" t="s">
        <v>17334</v>
      </c>
      <c r="G696">
        <v>3</v>
      </c>
      <c r="O696" t="str">
        <f t="shared" si="10"/>
        <v>Fin Derr (D) - Foreign Exchange - Cross currency swap USD: Nominal value by maturity (net) - 2 to 5 years</v>
      </c>
    </row>
    <row r="697" spans="1:15">
      <c r="A697" t="s">
        <v>17333</v>
      </c>
      <c r="B697" t="str">
        <f>'4I'!$AH$203</f>
        <v>CR2006N2_FD_D</v>
      </c>
      <c r="D697" t="s">
        <v>16331</v>
      </c>
      <c r="E697" t="s">
        <v>4215</v>
      </c>
      <c r="F697" t="s">
        <v>17334</v>
      </c>
      <c r="G697">
        <v>3</v>
      </c>
      <c r="O697" t="str">
        <f t="shared" si="10"/>
        <v>Fin Derr (D) - Foreign Exchange - Cross currency swap EUR: Nominal value by maturity (net) - 2 to 5 years</v>
      </c>
    </row>
    <row r="698" spans="1:15">
      <c r="A698" t="s">
        <v>17333</v>
      </c>
      <c r="B698" t="str">
        <f>'4I'!$AH$204</f>
        <v>CR2007N2_FD_D</v>
      </c>
      <c r="D698" t="s">
        <v>16332</v>
      </c>
      <c r="E698" t="s">
        <v>4215</v>
      </c>
      <c r="F698" t="s">
        <v>17334</v>
      </c>
      <c r="G698">
        <v>3</v>
      </c>
      <c r="O698" t="str">
        <f t="shared" si="10"/>
        <v>Fin Derr (D) - Foreign Exchange - Cross currency swap YEN: Nominal value by maturity (net) - 2 to 5 years</v>
      </c>
    </row>
    <row r="699" spans="1:15">
      <c r="A699" t="s">
        <v>17333</v>
      </c>
      <c r="B699" t="str">
        <f>'4I'!$AH$205</f>
        <v>CR2008N2_FD_D</v>
      </c>
      <c r="D699" t="s">
        <v>16333</v>
      </c>
      <c r="E699" t="s">
        <v>4215</v>
      </c>
      <c r="F699" t="s">
        <v>17334</v>
      </c>
      <c r="G699">
        <v>3</v>
      </c>
      <c r="O699" t="str">
        <f t="shared" si="10"/>
        <v>Fin Derr (D) - Foreign Exchange - Cross currency swap Other: Nominal value by maturity (net) - 2 to 5 years</v>
      </c>
    </row>
    <row r="700" spans="1:15">
      <c r="A700" t="s">
        <v>17333</v>
      </c>
      <c r="B700" t="str">
        <f>'4I'!$AH$206</f>
        <v>CR2009N2_FD_D</v>
      </c>
      <c r="D700" t="s">
        <v>16334</v>
      </c>
      <c r="E700" t="s">
        <v>4215</v>
      </c>
      <c r="F700" t="s">
        <v>17334</v>
      </c>
      <c r="G700">
        <v>3</v>
      </c>
      <c r="O700" t="str">
        <f t="shared" si="10"/>
        <v>Fin Derr (D) - Foreign Exchange - Total: Nominal value by maturity (net) - 2 to 5 years</v>
      </c>
    </row>
    <row r="701" spans="1:15">
      <c r="A701" t="s">
        <v>17333</v>
      </c>
      <c r="B701" t="str">
        <f>'4I'!$AH$209</f>
        <v>CR20010N2_FD_D</v>
      </c>
      <c r="D701" t="s">
        <v>16335</v>
      </c>
      <c r="E701" t="s">
        <v>4215</v>
      </c>
      <c r="F701" t="s">
        <v>17334</v>
      </c>
      <c r="G701">
        <v>3</v>
      </c>
      <c r="O701" t="str">
        <f t="shared" si="10"/>
        <v>Fin Derr (D) - Currency interest rate  - Currency interest rate swaps USD: Nominal value by maturity (net) - 2 to 5 years</v>
      </c>
    </row>
    <row r="702" spans="1:15">
      <c r="A702" t="s">
        <v>17333</v>
      </c>
      <c r="B702" t="str">
        <f>'4I'!$AH$210</f>
        <v>CR20011N2_FD_D</v>
      </c>
      <c r="D702" t="s">
        <v>16336</v>
      </c>
      <c r="E702" t="s">
        <v>4215</v>
      </c>
      <c r="F702" t="s">
        <v>17334</v>
      </c>
      <c r="G702">
        <v>3</v>
      </c>
      <c r="O702" t="str">
        <f t="shared" si="10"/>
        <v>Fin Derr (D) - Currency interest rate  - Currency interest rate swaps EUR: Nominal value by maturity (net) - 2 to 5 years</v>
      </c>
    </row>
    <row r="703" spans="1:15">
      <c r="A703" t="s">
        <v>17333</v>
      </c>
      <c r="B703" t="str">
        <f>'4I'!$AH$211</f>
        <v>CR20012N2_FD_D</v>
      </c>
      <c r="D703" t="s">
        <v>16337</v>
      </c>
      <c r="E703" t="s">
        <v>4215</v>
      </c>
      <c r="F703" t="s">
        <v>17334</v>
      </c>
      <c r="G703">
        <v>3</v>
      </c>
      <c r="O703" t="str">
        <f t="shared" si="10"/>
        <v>Fin Derr (D) - Currency interest rate  - Currency interest rate swaps YEN: Nominal value by maturity (net) - 2 to 5 years</v>
      </c>
    </row>
    <row r="704" spans="1:15">
      <c r="A704" t="s">
        <v>17333</v>
      </c>
      <c r="B704" t="str">
        <f>'4I'!$AH$212</f>
        <v>CR20013N2_FD_D</v>
      </c>
      <c r="D704" t="s">
        <v>16338</v>
      </c>
      <c r="E704" t="s">
        <v>4215</v>
      </c>
      <c r="F704" t="s">
        <v>17334</v>
      </c>
      <c r="G704">
        <v>3</v>
      </c>
      <c r="O704" t="str">
        <f t="shared" si="10"/>
        <v>Fin Derr (D) - Currency interest rate  - Currency interest rate swaps Other: Nominal value by maturity (net) - 2 to 5 years</v>
      </c>
    </row>
    <row r="705" spans="1:15">
      <c r="A705" t="s">
        <v>17333</v>
      </c>
      <c r="B705" t="str">
        <f>'4I'!$AH$213</f>
        <v>CR20014N2_FD_D</v>
      </c>
      <c r="D705" t="s">
        <v>16339</v>
      </c>
      <c r="E705" t="s">
        <v>4215</v>
      </c>
      <c r="F705" t="s">
        <v>17334</v>
      </c>
      <c r="G705">
        <v>3</v>
      </c>
      <c r="O705" t="str">
        <f t="shared" si="10"/>
        <v>Fin Derr (D) - Currency interest rate  - Total: Nominal value by maturity (net) - 2 to 5 years</v>
      </c>
    </row>
    <row r="706" spans="1:15">
      <c r="A706" t="s">
        <v>17333</v>
      </c>
      <c r="B706" t="str">
        <f>'4I'!$AH$216</f>
        <v>CR20015N2_FD_D</v>
      </c>
      <c r="D706" t="s">
        <v>16340</v>
      </c>
      <c r="E706" t="s">
        <v>4215</v>
      </c>
      <c r="F706" t="s">
        <v>17334</v>
      </c>
      <c r="G706">
        <v>3</v>
      </c>
      <c r="O706" t="str">
        <f t="shared" ref="O706:O769" si="11">D706</f>
        <v>Fin Derr (D) - Forward currency contracts - Forward currency contracts USD: Nominal value by maturity (net) - 2 to 5 years</v>
      </c>
    </row>
    <row r="707" spans="1:15">
      <c r="A707" t="s">
        <v>17333</v>
      </c>
      <c r="B707" t="str">
        <f>'4I'!$AH$217</f>
        <v>CR20016N2_FD_D</v>
      </c>
      <c r="D707" t="s">
        <v>16341</v>
      </c>
      <c r="E707" t="s">
        <v>4215</v>
      </c>
      <c r="F707" t="s">
        <v>17334</v>
      </c>
      <c r="G707">
        <v>3</v>
      </c>
      <c r="O707" t="str">
        <f t="shared" si="11"/>
        <v>Fin Derr (D) - Forward currency contracts - Forward currency contracts EUR: Nominal value by maturity (net) - 2 to 5 years</v>
      </c>
    </row>
    <row r="708" spans="1:15">
      <c r="A708" t="s">
        <v>17333</v>
      </c>
      <c r="B708" t="str">
        <f>'4I'!$AH$218</f>
        <v>CR20017N2_FD_D</v>
      </c>
      <c r="D708" t="s">
        <v>16342</v>
      </c>
      <c r="E708" t="s">
        <v>4215</v>
      </c>
      <c r="F708" t="s">
        <v>17334</v>
      </c>
      <c r="G708">
        <v>3</v>
      </c>
      <c r="O708" t="str">
        <f t="shared" si="11"/>
        <v>Fin Derr (D) - Forward currency contracts - Forward currency contracts YEN: Nominal value by maturity (net) - 2 to 5 years</v>
      </c>
    </row>
    <row r="709" spans="1:15">
      <c r="A709" t="s">
        <v>17333</v>
      </c>
      <c r="B709" t="str">
        <f>'4I'!$AH$219</f>
        <v>CR2029N2_FD_D</v>
      </c>
      <c r="D709" t="s">
        <v>16343</v>
      </c>
      <c r="E709" t="s">
        <v>4215</v>
      </c>
      <c r="F709" t="s">
        <v>17334</v>
      </c>
      <c r="G709">
        <v>3</v>
      </c>
      <c r="O709" t="str">
        <f t="shared" si="11"/>
        <v>Fin Derr (D) - Forward currency contracts CAD - Nominal value by maturity (net) - 2 to 5 years</v>
      </c>
    </row>
    <row r="710" spans="1:15">
      <c r="A710" t="s">
        <v>17333</v>
      </c>
      <c r="B710" t="str">
        <f>'4I'!$AH$220</f>
        <v>CR2030N2_FD_D</v>
      </c>
      <c r="D710" t="s">
        <v>16344</v>
      </c>
      <c r="E710" t="s">
        <v>4215</v>
      </c>
      <c r="F710" t="s">
        <v>17334</v>
      </c>
      <c r="G710">
        <v>3</v>
      </c>
      <c r="O710" t="str">
        <f t="shared" si="11"/>
        <v>Fin Derr (D) - Forward currency contracts AUD - Nominal value by maturity (net) - 2 to 5 years</v>
      </c>
    </row>
    <row r="711" spans="1:15">
      <c r="A711" t="s">
        <v>17333</v>
      </c>
      <c r="B711" t="str">
        <f>'4I'!$AH$221</f>
        <v>CR2031N2_FD_D</v>
      </c>
      <c r="D711" t="s">
        <v>16345</v>
      </c>
      <c r="E711" t="s">
        <v>4215</v>
      </c>
      <c r="F711" t="s">
        <v>17334</v>
      </c>
      <c r="G711">
        <v>3</v>
      </c>
      <c r="O711" t="str">
        <f t="shared" si="11"/>
        <v>Fin Derr (D) - Forward currency contracts HKD - Nominal value by maturity (net) - 2 to 5 years</v>
      </c>
    </row>
    <row r="712" spans="1:15">
      <c r="A712" t="s">
        <v>17333</v>
      </c>
      <c r="B712" t="str">
        <f>'4I'!$AH$222</f>
        <v>CR20018N2_FD_D</v>
      </c>
      <c r="D712" t="s">
        <v>16346</v>
      </c>
      <c r="E712" t="s">
        <v>4215</v>
      </c>
      <c r="F712" t="s">
        <v>17334</v>
      </c>
      <c r="G712">
        <v>3</v>
      </c>
      <c r="O712" t="str">
        <f t="shared" si="11"/>
        <v>Fin Derr (D) - Forward currency contracts - Forward currency contracts Other: Nominal value by maturity (net) - 2 to 5 years</v>
      </c>
    </row>
    <row r="713" spans="1:15">
      <c r="A713" t="s">
        <v>17333</v>
      </c>
      <c r="B713" t="str">
        <f>'4I'!$AH$223</f>
        <v>CR20019N2_FD_D</v>
      </c>
      <c r="D713" t="s">
        <v>16347</v>
      </c>
      <c r="E713" t="s">
        <v>4215</v>
      </c>
      <c r="F713" t="s">
        <v>17334</v>
      </c>
      <c r="G713">
        <v>3</v>
      </c>
      <c r="O713" t="str">
        <f t="shared" si="11"/>
        <v>Fin Derr (D) - Forward currency contracts - Total: Nominal value by maturity (net) - 2 to 5 years</v>
      </c>
    </row>
    <row r="714" spans="1:15">
      <c r="A714" t="s">
        <v>17333</v>
      </c>
      <c r="B714" t="str">
        <f>'4I'!$AH$226</f>
        <v>CR2028N2_FD_D</v>
      </c>
      <c r="D714" t="s">
        <v>16348</v>
      </c>
      <c r="E714" t="s">
        <v>4215</v>
      </c>
      <c r="F714" t="s">
        <v>17334</v>
      </c>
      <c r="G714">
        <v>3</v>
      </c>
      <c r="O714" t="str">
        <f t="shared" si="11"/>
        <v>Fin Derr (D) - Other financial derivatives: Nominal value by maturity (net) - 2 to 5 years</v>
      </c>
    </row>
    <row r="715" spans="1:15">
      <c r="A715" t="s">
        <v>17333</v>
      </c>
      <c r="B715" t="str">
        <f>'4I'!$AH$228</f>
        <v>CR20020N2_FD_D</v>
      </c>
      <c r="D715" t="s">
        <v>16349</v>
      </c>
      <c r="E715" t="s">
        <v>4215</v>
      </c>
      <c r="F715" t="s">
        <v>17334</v>
      </c>
      <c r="G715">
        <v>3</v>
      </c>
      <c r="O715" t="str">
        <f t="shared" si="11"/>
        <v>Fin Derr (D) - Total financial derivatives: Nominal value by maturity (net) - 2 to 5 years</v>
      </c>
    </row>
    <row r="716" spans="1:15">
      <c r="A716" t="s">
        <v>17333</v>
      </c>
      <c r="B716" t="str">
        <f>'4I'!$AI$192</f>
        <v>CR2021N5_FD_D</v>
      </c>
      <c r="D716" t="s">
        <v>16350</v>
      </c>
      <c r="E716" t="s">
        <v>4215</v>
      </c>
      <c r="F716" t="s">
        <v>17334</v>
      </c>
      <c r="G716">
        <v>3</v>
      </c>
      <c r="O716" t="str">
        <f t="shared" si="11"/>
        <v>Fin Derr (D) - Interest rate swap (sterling) - Floating to fixed rate: Nominal value by maturity (net) - Over 5 years</v>
      </c>
    </row>
    <row r="717" spans="1:15">
      <c r="A717" t="s">
        <v>17333</v>
      </c>
      <c r="B717" t="str">
        <f>'4I'!$AI$193</f>
        <v>CR2022N5_FD_D</v>
      </c>
      <c r="D717" t="s">
        <v>16351</v>
      </c>
      <c r="E717" t="s">
        <v>4215</v>
      </c>
      <c r="F717" t="s">
        <v>17334</v>
      </c>
      <c r="G717">
        <v>3</v>
      </c>
      <c r="O717" t="str">
        <f t="shared" si="11"/>
        <v>Fin Derr (D) - Interest rate swap (sterling) - Floating from fixed rate: Nominal value by maturity (net) - Over 5 years</v>
      </c>
    </row>
    <row r="718" spans="1:15">
      <c r="A718" t="s">
        <v>17333</v>
      </c>
      <c r="B718" t="str">
        <f>'4I'!$AI$194</f>
        <v>CR2023N5_FD_D</v>
      </c>
      <c r="D718" t="s">
        <v>16352</v>
      </c>
      <c r="E718" t="s">
        <v>4215</v>
      </c>
      <c r="F718" t="s">
        <v>17334</v>
      </c>
      <c r="G718">
        <v>3</v>
      </c>
      <c r="O718" t="str">
        <f t="shared" si="11"/>
        <v>Fin Derr (D) - Interest rate swap (sterling) - Floating to index linked: Nominal value by maturity (net) - Over 5 years</v>
      </c>
    </row>
    <row r="719" spans="1:15">
      <c r="A719" t="s">
        <v>17333</v>
      </c>
      <c r="B719" t="str">
        <f>'4I'!$AI$195</f>
        <v>CR2024N5_FD_D</v>
      </c>
      <c r="D719" t="s">
        <v>16353</v>
      </c>
      <c r="E719" t="s">
        <v>4215</v>
      </c>
      <c r="F719" t="s">
        <v>17334</v>
      </c>
      <c r="G719">
        <v>3</v>
      </c>
      <c r="O719" t="str">
        <f t="shared" si="11"/>
        <v>Fin Derr (D) - Interest rate swap (sterling) - Floating from index linked: Nominal value by maturity (net) - Over 5 years</v>
      </c>
    </row>
    <row r="720" spans="1:15">
      <c r="A720" t="s">
        <v>17333</v>
      </c>
      <c r="B720" t="str">
        <f>'4I'!$AI$196</f>
        <v>CR2025N5_FD_D</v>
      </c>
      <c r="D720" t="s">
        <v>16354</v>
      </c>
      <c r="E720" t="s">
        <v>4215</v>
      </c>
      <c r="F720" t="s">
        <v>17334</v>
      </c>
      <c r="G720">
        <v>3</v>
      </c>
      <c r="O720" t="str">
        <f t="shared" si="11"/>
        <v>Fin Derr (D) - Interest rate swap (sterling) - Fixed to index-linked: Nominal value by maturity (net) - Over 5 years</v>
      </c>
    </row>
    <row r="721" spans="1:15">
      <c r="A721" t="s">
        <v>17333</v>
      </c>
      <c r="B721" t="str">
        <f>'4I'!$AI$197</f>
        <v>CR2026N5_FD_D</v>
      </c>
      <c r="D721" t="s">
        <v>16355</v>
      </c>
      <c r="E721" t="s">
        <v>4215</v>
      </c>
      <c r="F721" t="s">
        <v>17334</v>
      </c>
      <c r="G721">
        <v>3</v>
      </c>
      <c r="O721" t="str">
        <f t="shared" si="11"/>
        <v>Fin Derr (D) - Interest rate swap (sterling) - Fixed from index-linked: Nominal value by maturity (net) - Over 5 years</v>
      </c>
    </row>
    <row r="722" spans="1:15">
      <c r="A722" t="s">
        <v>17333</v>
      </c>
      <c r="B722" t="str">
        <f>'4I'!$AI$198</f>
        <v>CR4029N5_FD_D</v>
      </c>
      <c r="D722" t="s">
        <v>16356</v>
      </c>
      <c r="E722" t="s">
        <v>4215</v>
      </c>
      <c r="F722" t="s">
        <v>17334</v>
      </c>
      <c r="G722">
        <v>3</v>
      </c>
      <c r="O722" t="str">
        <f t="shared" si="11"/>
        <v>Fin Derr (D) - Interest rate swap (sterling) - Index-linked to index-linked - Nominal value by maturity (net) at 31 March - over 5 years</v>
      </c>
    </row>
    <row r="723" spans="1:15">
      <c r="A723" t="s">
        <v>17333</v>
      </c>
      <c r="B723" t="str">
        <f>'4I'!$AI$199</f>
        <v>CR2027N5_FD_D</v>
      </c>
      <c r="D723" t="s">
        <v>16357</v>
      </c>
      <c r="E723" t="s">
        <v>4215</v>
      </c>
      <c r="F723" t="s">
        <v>17334</v>
      </c>
      <c r="G723">
        <v>3</v>
      </c>
      <c r="O723" t="str">
        <f t="shared" si="11"/>
        <v>Fin Derr (D) - Interest rate swap (sterling) - Total: Nominal value by maturity (net) - Over 5 years</v>
      </c>
    </row>
    <row r="724" spans="1:15">
      <c r="A724" t="s">
        <v>17333</v>
      </c>
      <c r="B724" t="str">
        <f>'4I'!$AI$202</f>
        <v>CR2005N5_FD_D</v>
      </c>
      <c r="D724" t="s">
        <v>16358</v>
      </c>
      <c r="E724" t="s">
        <v>4215</v>
      </c>
      <c r="F724" t="s">
        <v>17334</v>
      </c>
      <c r="G724">
        <v>3</v>
      </c>
      <c r="O724" t="str">
        <f t="shared" si="11"/>
        <v>Fin Derr (D) - Foreign Exchange - Cross currency swap USD: Nominal value by maturity (net) - Over 5 years</v>
      </c>
    </row>
    <row r="725" spans="1:15">
      <c r="A725" t="s">
        <v>17333</v>
      </c>
      <c r="B725" t="str">
        <f>'4I'!$AI$203</f>
        <v>CR2006N5_FD_D</v>
      </c>
      <c r="D725" t="s">
        <v>16359</v>
      </c>
      <c r="E725" t="s">
        <v>4215</v>
      </c>
      <c r="F725" t="s">
        <v>17334</v>
      </c>
      <c r="G725">
        <v>3</v>
      </c>
      <c r="O725" t="str">
        <f t="shared" si="11"/>
        <v>Fin Derr (D) - Foreign Exchange - Cross currency swap EUR: Nominal value by maturity (net) - Over 5 years</v>
      </c>
    </row>
    <row r="726" spans="1:15">
      <c r="A726" t="s">
        <v>17333</v>
      </c>
      <c r="B726" t="str">
        <f>'4I'!$AI$204</f>
        <v>CR2007N5_FD_D</v>
      </c>
      <c r="D726" t="s">
        <v>16360</v>
      </c>
      <c r="E726" t="s">
        <v>4215</v>
      </c>
      <c r="F726" t="s">
        <v>17334</v>
      </c>
      <c r="G726">
        <v>3</v>
      </c>
      <c r="O726" t="str">
        <f t="shared" si="11"/>
        <v>Fin Derr (D) - Foreign Exchange - Cross currency swap YEN: Nominal value by maturity (net) - Over 5 years</v>
      </c>
    </row>
    <row r="727" spans="1:15">
      <c r="A727" t="s">
        <v>17333</v>
      </c>
      <c r="B727" t="str">
        <f>'4I'!$AI$205</f>
        <v>CR2008N5_FD_D</v>
      </c>
      <c r="D727" t="s">
        <v>16361</v>
      </c>
      <c r="E727" t="s">
        <v>4215</v>
      </c>
      <c r="F727" t="s">
        <v>17334</v>
      </c>
      <c r="G727">
        <v>3</v>
      </c>
      <c r="O727" t="str">
        <f t="shared" si="11"/>
        <v>Fin Derr (D) - Foreign Exchange - Cross currency swap Other: Nominal value by maturity (net) - Over 5 years</v>
      </c>
    </row>
    <row r="728" spans="1:15">
      <c r="A728" t="s">
        <v>17333</v>
      </c>
      <c r="B728" t="str">
        <f>'4I'!$AI$206</f>
        <v>CR2009N5_FD_D</v>
      </c>
      <c r="D728" t="s">
        <v>16362</v>
      </c>
      <c r="E728" t="s">
        <v>4215</v>
      </c>
      <c r="F728" t="s">
        <v>17334</v>
      </c>
      <c r="G728">
        <v>3</v>
      </c>
      <c r="O728" t="str">
        <f t="shared" si="11"/>
        <v>Fin Derr (D) - Foreign Exchange - Total: Nominal value by maturity (net) - Over 5 years</v>
      </c>
    </row>
    <row r="729" spans="1:15">
      <c r="A729" t="s">
        <v>17333</v>
      </c>
      <c r="B729" t="str">
        <f>'4I'!$AI$209</f>
        <v>CR20010N5_FD_D</v>
      </c>
      <c r="D729" t="s">
        <v>16363</v>
      </c>
      <c r="E729" t="s">
        <v>4215</v>
      </c>
      <c r="F729" t="s">
        <v>17334</v>
      </c>
      <c r="G729">
        <v>3</v>
      </c>
      <c r="O729" t="str">
        <f t="shared" si="11"/>
        <v>Fin Derr (D) - Currency interest rate  - Currency interest rate swaps USD: Nominal value by maturity (net) - Over 5 years</v>
      </c>
    </row>
    <row r="730" spans="1:15">
      <c r="A730" t="s">
        <v>17333</v>
      </c>
      <c r="B730" t="str">
        <f>'4I'!$AI$210</f>
        <v>CR20011N5_FD_D</v>
      </c>
      <c r="D730" t="s">
        <v>16364</v>
      </c>
      <c r="E730" t="s">
        <v>4215</v>
      </c>
      <c r="F730" t="s">
        <v>17334</v>
      </c>
      <c r="G730">
        <v>3</v>
      </c>
      <c r="O730" t="str">
        <f t="shared" si="11"/>
        <v>Fin Derr (D) - Currency interest rate  - Currency interest rate swaps EUR: Nominal value by maturity (net) - Over 5 years</v>
      </c>
    </row>
    <row r="731" spans="1:15">
      <c r="A731" t="s">
        <v>17333</v>
      </c>
      <c r="B731" t="str">
        <f>'4I'!$AI$211</f>
        <v>CR20012N5_FD_D</v>
      </c>
      <c r="D731" t="s">
        <v>16365</v>
      </c>
      <c r="E731" t="s">
        <v>4215</v>
      </c>
      <c r="F731" t="s">
        <v>17334</v>
      </c>
      <c r="G731">
        <v>3</v>
      </c>
      <c r="O731" t="str">
        <f t="shared" si="11"/>
        <v>Fin Derr (D) - Currency interest rate  - Currency interest rate swaps YEN: Nominal value by maturity (net) - Over 5 years</v>
      </c>
    </row>
    <row r="732" spans="1:15">
      <c r="A732" t="s">
        <v>17333</v>
      </c>
      <c r="B732" t="str">
        <f>'4I'!$AI$212</f>
        <v>CR20013N5_FD_D</v>
      </c>
      <c r="D732" t="s">
        <v>16366</v>
      </c>
      <c r="E732" t="s">
        <v>4215</v>
      </c>
      <c r="F732" t="s">
        <v>17334</v>
      </c>
      <c r="G732">
        <v>3</v>
      </c>
      <c r="O732" t="str">
        <f t="shared" si="11"/>
        <v>Fin Derr (D) - Currency interest rate  - Currency interest rate swaps Other: Nominal value by maturity (net) - Over 5 years</v>
      </c>
    </row>
    <row r="733" spans="1:15">
      <c r="A733" t="s">
        <v>17333</v>
      </c>
      <c r="B733" t="str">
        <f>'4I'!$AI$213</f>
        <v>CR20014N5_FD_D</v>
      </c>
      <c r="D733" t="s">
        <v>16367</v>
      </c>
      <c r="E733" t="s">
        <v>4215</v>
      </c>
      <c r="F733" t="s">
        <v>17334</v>
      </c>
      <c r="G733">
        <v>3</v>
      </c>
      <c r="O733" t="str">
        <f t="shared" si="11"/>
        <v>Fin Derr (D) - Currency interest rate  - Total: Nominal value by maturity (net) - Over 5 years</v>
      </c>
    </row>
    <row r="734" spans="1:15">
      <c r="A734" t="s">
        <v>17333</v>
      </c>
      <c r="B734" t="str">
        <f>'4I'!$AI$216</f>
        <v>CR20015N5_FD_D</v>
      </c>
      <c r="D734" t="s">
        <v>16368</v>
      </c>
      <c r="E734" t="s">
        <v>4215</v>
      </c>
      <c r="F734" t="s">
        <v>17334</v>
      </c>
      <c r="G734">
        <v>3</v>
      </c>
      <c r="O734" t="str">
        <f t="shared" si="11"/>
        <v>Fin Derr (D) - Forward currency contracts - Forward currency contracts USD: Nominal value by maturity (net) - Over 5 years</v>
      </c>
    </row>
    <row r="735" spans="1:15">
      <c r="A735" t="s">
        <v>17333</v>
      </c>
      <c r="B735" t="str">
        <f>'4I'!$AI$217</f>
        <v>CR20016N5_FD_D</v>
      </c>
      <c r="D735" t="s">
        <v>16369</v>
      </c>
      <c r="E735" t="s">
        <v>4215</v>
      </c>
      <c r="F735" t="s">
        <v>17334</v>
      </c>
      <c r="G735">
        <v>3</v>
      </c>
      <c r="O735" t="str">
        <f t="shared" si="11"/>
        <v>Fin Derr (D) - Forward currency contracts - Forward currency contracts EUR: Nominal value by maturity (net) - Over 5 years</v>
      </c>
    </row>
    <row r="736" spans="1:15">
      <c r="A736" t="s">
        <v>17333</v>
      </c>
      <c r="B736" t="str">
        <f>'4I'!$AI$218</f>
        <v>CR20017N5_FD_D</v>
      </c>
      <c r="D736" t="s">
        <v>16370</v>
      </c>
      <c r="E736" t="s">
        <v>4215</v>
      </c>
      <c r="F736" t="s">
        <v>17334</v>
      </c>
      <c r="G736">
        <v>3</v>
      </c>
      <c r="O736" t="str">
        <f t="shared" si="11"/>
        <v>Fin Derr (D) - Forward currency contracts - Forward currency contracts YEN: Nominal value by maturity (net) - Over 5 years</v>
      </c>
    </row>
    <row r="737" spans="1:15">
      <c r="A737" t="s">
        <v>17333</v>
      </c>
      <c r="B737" t="str">
        <f>'4I'!$AI$219</f>
        <v>CR2029N5_FD_D</v>
      </c>
      <c r="D737" t="s">
        <v>16371</v>
      </c>
      <c r="E737" t="s">
        <v>4215</v>
      </c>
      <c r="F737" t="s">
        <v>17334</v>
      </c>
      <c r="G737">
        <v>3</v>
      </c>
      <c r="O737" t="str">
        <f t="shared" si="11"/>
        <v>Fin Derr (D) - Forward currency contracts CAD - Nominal value by maturity (net) - Over 5 years</v>
      </c>
    </row>
    <row r="738" spans="1:15">
      <c r="A738" t="s">
        <v>17333</v>
      </c>
      <c r="B738" t="str">
        <f>'4I'!$AI$220</f>
        <v>CR2030N5_FD_D</v>
      </c>
      <c r="D738" t="s">
        <v>16372</v>
      </c>
      <c r="E738" t="s">
        <v>4215</v>
      </c>
      <c r="F738" t="s">
        <v>17334</v>
      </c>
      <c r="G738">
        <v>3</v>
      </c>
      <c r="O738" t="str">
        <f t="shared" si="11"/>
        <v>Fin Derr (D) - Forward currency contracts AUD - Nominal value by maturity (net) - Over 5 years</v>
      </c>
    </row>
    <row r="739" spans="1:15">
      <c r="A739" t="s">
        <v>17333</v>
      </c>
      <c r="B739" t="str">
        <f>'4I'!$AI$221</f>
        <v>CR2031N5_FD_D</v>
      </c>
      <c r="D739" t="s">
        <v>16373</v>
      </c>
      <c r="E739" t="s">
        <v>4215</v>
      </c>
      <c r="F739" t="s">
        <v>17334</v>
      </c>
      <c r="G739">
        <v>3</v>
      </c>
      <c r="O739" t="str">
        <f t="shared" si="11"/>
        <v>Fin Derr (D) - Forward currency contracts HKD - Nominal value by maturity (net) - Over 5 years</v>
      </c>
    </row>
    <row r="740" spans="1:15">
      <c r="A740" t="s">
        <v>17333</v>
      </c>
      <c r="B740" t="str">
        <f>'4I'!$AI$222</f>
        <v>CR20018N5_FD_D</v>
      </c>
      <c r="D740" t="s">
        <v>16374</v>
      </c>
      <c r="E740" t="s">
        <v>4215</v>
      </c>
      <c r="F740" t="s">
        <v>17334</v>
      </c>
      <c r="G740">
        <v>3</v>
      </c>
      <c r="O740" t="str">
        <f t="shared" si="11"/>
        <v>Fin Derr (D) - Forward currency contracts - Forward currency contracts Other: Nominal value by maturity (net) - Over 5 years</v>
      </c>
    </row>
    <row r="741" spans="1:15">
      <c r="A741" t="s">
        <v>17333</v>
      </c>
      <c r="B741" t="str">
        <f>'4I'!$AI$223</f>
        <v>CR20019N5_FD_D</v>
      </c>
      <c r="D741" t="s">
        <v>16375</v>
      </c>
      <c r="E741" t="s">
        <v>4215</v>
      </c>
      <c r="F741" t="s">
        <v>17334</v>
      </c>
      <c r="G741">
        <v>3</v>
      </c>
      <c r="O741" t="str">
        <f t="shared" si="11"/>
        <v>Fin Derr (D) - Forward currency contracts - Total: Nominal value by maturity (net) - Over 5 years</v>
      </c>
    </row>
    <row r="742" spans="1:15">
      <c r="A742" t="s">
        <v>17333</v>
      </c>
      <c r="B742" t="str">
        <f>'4I'!$AI$226</f>
        <v>CR2028N5_FD_D</v>
      </c>
      <c r="D742" t="s">
        <v>16376</v>
      </c>
      <c r="E742" t="s">
        <v>4215</v>
      </c>
      <c r="F742" t="s">
        <v>17334</v>
      </c>
      <c r="G742">
        <v>3</v>
      </c>
      <c r="O742" t="str">
        <f t="shared" si="11"/>
        <v>Fin Derr (D) - Other financial derivatives: Nominal value by maturity (net) - Over 5 years</v>
      </c>
    </row>
    <row r="743" spans="1:15">
      <c r="A743" t="s">
        <v>17333</v>
      </c>
      <c r="B743" t="str">
        <f>'4I'!$AI$228</f>
        <v>CR20020N5_FD_D</v>
      </c>
      <c r="D743" t="s">
        <v>16377</v>
      </c>
      <c r="E743" t="s">
        <v>4215</v>
      </c>
      <c r="F743" t="s">
        <v>17334</v>
      </c>
      <c r="G743">
        <v>3</v>
      </c>
      <c r="O743" t="str">
        <f t="shared" si="11"/>
        <v>Fin Derr (D) - Total financial derivatives: Nominal value by maturity (net) - Over 5 years</v>
      </c>
    </row>
    <row r="744" spans="1:15">
      <c r="A744" t="s">
        <v>17333</v>
      </c>
      <c r="B744" t="str">
        <f>'4I'!$AJ$192</f>
        <v>CR2021N6_FD_D</v>
      </c>
      <c r="D744" t="s">
        <v>16378</v>
      </c>
      <c r="E744" t="s">
        <v>4215</v>
      </c>
      <c r="F744" t="s">
        <v>17334</v>
      </c>
      <c r="G744">
        <v>3</v>
      </c>
      <c r="O744" t="str">
        <f t="shared" si="11"/>
        <v>Fin Derr (D) - Interest rate swap (sterling) - Floating to fixed rate: Total value at 31 March 2018 - Nominal value (net)</v>
      </c>
    </row>
    <row r="745" spans="1:15">
      <c r="A745" t="s">
        <v>17333</v>
      </c>
      <c r="B745" t="str">
        <f>'4I'!$AJ$193</f>
        <v>CR2022N6_FD_D</v>
      </c>
      <c r="D745" t="s">
        <v>16379</v>
      </c>
      <c r="E745" t="s">
        <v>4215</v>
      </c>
      <c r="F745" t="s">
        <v>17334</v>
      </c>
      <c r="G745">
        <v>3</v>
      </c>
      <c r="O745" t="str">
        <f t="shared" si="11"/>
        <v>Fin Derr (D) - Interest rate swap (sterling) - Floating from fixed rate: Total value at 31 March 2018 - Nominal value (net)</v>
      </c>
    </row>
    <row r="746" spans="1:15">
      <c r="A746" t="s">
        <v>17333</v>
      </c>
      <c r="B746" t="str">
        <f>'4I'!$AJ$194</f>
        <v>CR2023N6_FD_D</v>
      </c>
      <c r="D746" t="s">
        <v>16380</v>
      </c>
      <c r="E746" t="s">
        <v>4215</v>
      </c>
      <c r="F746" t="s">
        <v>17334</v>
      </c>
      <c r="G746">
        <v>3</v>
      </c>
      <c r="O746" t="str">
        <f t="shared" si="11"/>
        <v>Fin Derr (D) - Interest rate swap (sterling) - Floating to index linked: Total value at 31 March 2018 - Nominal value (net)</v>
      </c>
    </row>
    <row r="747" spans="1:15">
      <c r="A747" t="s">
        <v>17333</v>
      </c>
      <c r="B747" t="str">
        <f>'4I'!$AJ$195</f>
        <v>CR2024N6_FD_D</v>
      </c>
      <c r="D747" t="s">
        <v>16381</v>
      </c>
      <c r="E747" t="s">
        <v>4215</v>
      </c>
      <c r="F747" t="s">
        <v>17334</v>
      </c>
      <c r="G747">
        <v>3</v>
      </c>
      <c r="O747" t="str">
        <f t="shared" si="11"/>
        <v>Fin Derr (D) - Interest rate swap (sterling) - Floating from index linked: Total value at 31 March 2018 - Nominal value (net)</v>
      </c>
    </row>
    <row r="748" spans="1:15">
      <c r="A748" t="s">
        <v>17333</v>
      </c>
      <c r="B748" t="str">
        <f>'4I'!$AJ$196</f>
        <v>CR2025N6_FD_D</v>
      </c>
      <c r="D748" t="s">
        <v>16382</v>
      </c>
      <c r="E748" t="s">
        <v>4215</v>
      </c>
      <c r="F748" t="s">
        <v>17334</v>
      </c>
      <c r="G748">
        <v>3</v>
      </c>
      <c r="O748" t="str">
        <f t="shared" si="11"/>
        <v>Fin Derr (D) - Interest rate swap (sterling) - Fixed to index-linked: Total value at 31 March 2018 - Nominal value (net)</v>
      </c>
    </row>
    <row r="749" spans="1:15">
      <c r="A749" t="s">
        <v>17333</v>
      </c>
      <c r="B749" t="str">
        <f>'4I'!$AJ$197</f>
        <v>CR2026N6_FD_D</v>
      </c>
      <c r="D749" t="s">
        <v>16383</v>
      </c>
      <c r="E749" t="s">
        <v>4215</v>
      </c>
      <c r="F749" t="s">
        <v>17334</v>
      </c>
      <c r="G749">
        <v>3</v>
      </c>
      <c r="O749" t="str">
        <f t="shared" si="11"/>
        <v>Fin Derr (D) - Interest rate swap (sterling) - Fixed from index-linked: Total value at 31 March 2018 - Nominal value (net)</v>
      </c>
    </row>
    <row r="750" spans="1:15">
      <c r="A750" t="s">
        <v>17333</v>
      </c>
      <c r="B750" t="str">
        <f>'4I'!$AJ$198</f>
        <v>CR4029N6_FD_D</v>
      </c>
      <c r="D750" t="s">
        <v>16384</v>
      </c>
      <c r="E750" t="s">
        <v>4215</v>
      </c>
      <c r="F750" t="s">
        <v>17334</v>
      </c>
      <c r="G750">
        <v>3</v>
      </c>
      <c r="O750" t="str">
        <f t="shared" si="11"/>
        <v>Fin Derr (D) - Interest rate swap (sterling) - Index-linked to index-linked - Total value at 31 March - Nominal value (net)</v>
      </c>
    </row>
    <row r="751" spans="1:15">
      <c r="A751" t="s">
        <v>17333</v>
      </c>
      <c r="B751" t="str">
        <f>'4I'!$AJ$199</f>
        <v>CR2027N6_FD_D</v>
      </c>
      <c r="D751" t="s">
        <v>16385</v>
      </c>
      <c r="E751" t="s">
        <v>4215</v>
      </c>
      <c r="F751" t="s">
        <v>17334</v>
      </c>
      <c r="G751">
        <v>3</v>
      </c>
      <c r="O751" t="str">
        <f t="shared" si="11"/>
        <v>Fin Derr (D) - Interest rate swap (sterling) - Total: Total value at 31 March 2018 - Nominal value (net)</v>
      </c>
    </row>
    <row r="752" spans="1:15">
      <c r="A752" t="s">
        <v>17333</v>
      </c>
      <c r="B752" t="str">
        <f>'4I'!$AJ$202</f>
        <v>CR2005N6_FD_D</v>
      </c>
      <c r="D752" t="s">
        <v>16386</v>
      </c>
      <c r="E752" t="s">
        <v>4215</v>
      </c>
      <c r="F752" t="s">
        <v>17334</v>
      </c>
      <c r="G752">
        <v>3</v>
      </c>
      <c r="O752" t="str">
        <f t="shared" si="11"/>
        <v>Fin Derr (D) - Foreign Exchange - Cross currency swap USD: Total value at 31 March 2018 - Nominal value (net)</v>
      </c>
    </row>
    <row r="753" spans="1:15">
      <c r="A753" t="s">
        <v>17333</v>
      </c>
      <c r="B753" t="str">
        <f>'4I'!$AJ$203</f>
        <v>CR2006N6_FD_D</v>
      </c>
      <c r="D753" t="s">
        <v>16387</v>
      </c>
      <c r="E753" t="s">
        <v>4215</v>
      </c>
      <c r="F753" t="s">
        <v>17334</v>
      </c>
      <c r="G753">
        <v>3</v>
      </c>
      <c r="O753" t="str">
        <f t="shared" si="11"/>
        <v>Fin Derr (D) - Foreign Exchange - Cross currency swap EUR: Total value at 31 March 2018 - Nominal value (net)</v>
      </c>
    </row>
    <row r="754" spans="1:15">
      <c r="A754" t="s">
        <v>17333</v>
      </c>
      <c r="B754" t="str">
        <f>'4I'!$AJ$204</f>
        <v>CR2007N6_FD_D</v>
      </c>
      <c r="D754" t="s">
        <v>16388</v>
      </c>
      <c r="E754" t="s">
        <v>4215</v>
      </c>
      <c r="F754" t="s">
        <v>17334</v>
      </c>
      <c r="G754">
        <v>3</v>
      </c>
      <c r="O754" t="str">
        <f t="shared" si="11"/>
        <v>Fin Derr (D) - Foreign Exchange - Cross currency swap YEN: Total value at 31 March 2018 - Nominal value (net)</v>
      </c>
    </row>
    <row r="755" spans="1:15">
      <c r="A755" t="s">
        <v>17333</v>
      </c>
      <c r="B755" t="str">
        <f>'4I'!$AJ$205</f>
        <v>CR2008N6_FD_D</v>
      </c>
      <c r="D755" t="s">
        <v>16389</v>
      </c>
      <c r="E755" t="s">
        <v>4215</v>
      </c>
      <c r="F755" t="s">
        <v>17334</v>
      </c>
      <c r="G755">
        <v>3</v>
      </c>
      <c r="O755" t="str">
        <f t="shared" si="11"/>
        <v>Fin Derr (D) - Foreign Exchange - Cross currency swap Other: Total value at 31 March 2018 - Nominal value (net)</v>
      </c>
    </row>
    <row r="756" spans="1:15">
      <c r="A756" t="s">
        <v>17333</v>
      </c>
      <c r="B756" t="str">
        <f>'4I'!$AJ$206</f>
        <v>CR2009N6_FD_D</v>
      </c>
      <c r="D756" t="s">
        <v>16390</v>
      </c>
      <c r="E756" t="s">
        <v>4215</v>
      </c>
      <c r="F756" t="s">
        <v>17334</v>
      </c>
      <c r="G756">
        <v>3</v>
      </c>
      <c r="O756" t="str">
        <f t="shared" si="11"/>
        <v>Fin Derr (D) - Foreign Exchange - Total: Total value at 31 March 2018 - Nominal value (net)</v>
      </c>
    </row>
    <row r="757" spans="1:15">
      <c r="A757" t="s">
        <v>17333</v>
      </c>
      <c r="B757" t="str">
        <f>'4I'!$AJ$209</f>
        <v>CR20010N6_FD_D</v>
      </c>
      <c r="D757" t="s">
        <v>16391</v>
      </c>
      <c r="E757" t="s">
        <v>4215</v>
      </c>
      <c r="F757" t="s">
        <v>17334</v>
      </c>
      <c r="G757">
        <v>3</v>
      </c>
      <c r="O757" t="str">
        <f t="shared" si="11"/>
        <v>Fin Derr (D) - Currency interest rate  - Currency interest rate swaps USD: Total value at 31 March 2018 - Nominal value (net)</v>
      </c>
    </row>
    <row r="758" spans="1:15">
      <c r="A758" t="s">
        <v>17333</v>
      </c>
      <c r="B758" t="str">
        <f>'4I'!$AJ$210</f>
        <v>CR20011N6_FD_D</v>
      </c>
      <c r="D758" t="s">
        <v>16392</v>
      </c>
      <c r="E758" t="s">
        <v>4215</v>
      </c>
      <c r="F758" t="s">
        <v>17334</v>
      </c>
      <c r="G758">
        <v>3</v>
      </c>
      <c r="O758" t="str">
        <f t="shared" si="11"/>
        <v>Fin Derr (D) - Currency interest rate  - Currency interest rate swaps EUR: Total value at 31 March 2018 - Nominal value (net)</v>
      </c>
    </row>
    <row r="759" spans="1:15">
      <c r="A759" t="s">
        <v>17333</v>
      </c>
      <c r="B759" t="str">
        <f>'4I'!$AJ$211</f>
        <v>CR20012N6_FD_D</v>
      </c>
      <c r="D759" t="s">
        <v>16393</v>
      </c>
      <c r="E759" t="s">
        <v>4215</v>
      </c>
      <c r="F759" t="s">
        <v>17334</v>
      </c>
      <c r="G759">
        <v>3</v>
      </c>
      <c r="O759" t="str">
        <f t="shared" si="11"/>
        <v>Fin Derr (D) - Currency interest rate  - Currency interest rate swaps YEN: Total value at 31 March 2018 - Nominal value (net)</v>
      </c>
    </row>
    <row r="760" spans="1:15">
      <c r="A760" t="s">
        <v>17333</v>
      </c>
      <c r="B760" t="str">
        <f>'4I'!$AJ$212</f>
        <v>CR20013N6_FD_D</v>
      </c>
      <c r="D760" t="s">
        <v>16394</v>
      </c>
      <c r="E760" t="s">
        <v>4215</v>
      </c>
      <c r="F760" t="s">
        <v>17334</v>
      </c>
      <c r="G760">
        <v>3</v>
      </c>
      <c r="O760" t="str">
        <f t="shared" si="11"/>
        <v>Fin Derr (D) - Currency interest rate  - Currency interest rate swaps Other: Total value at 31 March 2018 - Nominal value (net)</v>
      </c>
    </row>
    <row r="761" spans="1:15">
      <c r="A761" t="s">
        <v>17333</v>
      </c>
      <c r="B761" t="str">
        <f>'4I'!$AJ$213</f>
        <v>CR20014N6_FD_D</v>
      </c>
      <c r="D761" t="s">
        <v>16395</v>
      </c>
      <c r="E761" t="s">
        <v>4215</v>
      </c>
      <c r="F761" t="s">
        <v>17334</v>
      </c>
      <c r="G761">
        <v>3</v>
      </c>
      <c r="O761" t="str">
        <f t="shared" si="11"/>
        <v>Fin Derr (D) - Currency interest rate  - Total: Total value at 31 March 2018 - Nominal value (net)</v>
      </c>
    </row>
    <row r="762" spans="1:15">
      <c r="A762" t="s">
        <v>17333</v>
      </c>
      <c r="B762" t="str">
        <f>'4I'!$AJ$216</f>
        <v>CR20015N6_FD_D</v>
      </c>
      <c r="D762" t="s">
        <v>16396</v>
      </c>
      <c r="E762" t="s">
        <v>4215</v>
      </c>
      <c r="F762" t="s">
        <v>17334</v>
      </c>
      <c r="G762">
        <v>3</v>
      </c>
      <c r="O762" t="str">
        <f t="shared" si="11"/>
        <v>Fin Derr (D) - Forward currency contracts - Forward currency contracts USD: Total value at 31 March 2018 - Nominal value (net)</v>
      </c>
    </row>
    <row r="763" spans="1:15">
      <c r="A763" t="s">
        <v>17333</v>
      </c>
      <c r="B763" t="str">
        <f>'4I'!$AJ$217</f>
        <v>CR20016N6_FD_D</v>
      </c>
      <c r="D763" t="s">
        <v>16397</v>
      </c>
      <c r="E763" t="s">
        <v>4215</v>
      </c>
      <c r="F763" t="s">
        <v>17334</v>
      </c>
      <c r="G763">
        <v>3</v>
      </c>
      <c r="O763" t="str">
        <f t="shared" si="11"/>
        <v>Fin Derr (D) - Forward currency contracts - Forward currency contracts EUR: Total value at 31 March 2018 - Nominal value (net)</v>
      </c>
    </row>
    <row r="764" spans="1:15">
      <c r="A764" t="s">
        <v>17333</v>
      </c>
      <c r="B764" t="str">
        <f>'4I'!$AJ$218</f>
        <v>CR20017N6_FD_D</v>
      </c>
      <c r="D764" t="s">
        <v>16398</v>
      </c>
      <c r="E764" t="s">
        <v>4215</v>
      </c>
      <c r="F764" t="s">
        <v>17334</v>
      </c>
      <c r="G764">
        <v>3</v>
      </c>
      <c r="O764" t="str">
        <f t="shared" si="11"/>
        <v>Fin Derr (D) - Forward currency contracts - Forward currency contracts YEN: Total value at 31 March 2018 - Nominal value (net)</v>
      </c>
    </row>
    <row r="765" spans="1:15">
      <c r="A765" t="s">
        <v>17333</v>
      </c>
      <c r="B765" t="str">
        <f>'4I'!$AJ$219</f>
        <v>CR2029N6_FD_D</v>
      </c>
      <c r="D765" t="s">
        <v>16399</v>
      </c>
      <c r="E765" t="s">
        <v>4215</v>
      </c>
      <c r="F765" t="s">
        <v>17334</v>
      </c>
      <c r="G765">
        <v>3</v>
      </c>
      <c r="O765" t="str">
        <f t="shared" si="11"/>
        <v>Fin Derr (D) - Forward currency contracts CAD - Total value at 31 March 2018 - Nominal value (net)</v>
      </c>
    </row>
    <row r="766" spans="1:15">
      <c r="A766" t="s">
        <v>17333</v>
      </c>
      <c r="B766" t="str">
        <f>'4I'!$AJ$220</f>
        <v>CR2030N6_FD_D</v>
      </c>
      <c r="D766" t="s">
        <v>16400</v>
      </c>
      <c r="E766" t="s">
        <v>4215</v>
      </c>
      <c r="F766" t="s">
        <v>17334</v>
      </c>
      <c r="G766">
        <v>3</v>
      </c>
      <c r="O766" t="str">
        <f t="shared" si="11"/>
        <v>Fin Derr (D) - Forward currency contracts AUD - Total value at 31 March 2018 - Nominal value (net)</v>
      </c>
    </row>
    <row r="767" spans="1:15">
      <c r="A767" t="s">
        <v>17333</v>
      </c>
      <c r="B767" t="str">
        <f>'4I'!$AJ$221</f>
        <v>CR2031N6_FD_D</v>
      </c>
      <c r="D767" t="s">
        <v>16401</v>
      </c>
      <c r="E767" t="s">
        <v>4215</v>
      </c>
      <c r="F767" t="s">
        <v>17334</v>
      </c>
      <c r="G767">
        <v>3</v>
      </c>
      <c r="O767" t="str">
        <f t="shared" si="11"/>
        <v>Fin Derr (D) - Forward currency contracts HKD - Total value at 31 March 2018 - Nominal value (net)</v>
      </c>
    </row>
    <row r="768" spans="1:15">
      <c r="A768" t="s">
        <v>17333</v>
      </c>
      <c r="B768" t="str">
        <f>'4I'!$AJ$222</f>
        <v>CR20018N6_FD_D</v>
      </c>
      <c r="D768" t="s">
        <v>16402</v>
      </c>
      <c r="E768" t="s">
        <v>4215</v>
      </c>
      <c r="F768" t="s">
        <v>17334</v>
      </c>
      <c r="G768">
        <v>3</v>
      </c>
      <c r="O768" t="str">
        <f t="shared" si="11"/>
        <v>Fin Derr (D) - Forward currency contracts - Forward currency contracts Other: Total value at 31 March 2018 - Nominal value (net)</v>
      </c>
    </row>
    <row r="769" spans="1:15">
      <c r="A769" t="s">
        <v>17333</v>
      </c>
      <c r="B769" t="str">
        <f>'4I'!$AJ$223</f>
        <v>CR20019N6_FD_D</v>
      </c>
      <c r="D769" t="s">
        <v>16403</v>
      </c>
      <c r="E769" t="s">
        <v>4215</v>
      </c>
      <c r="F769" t="s">
        <v>17334</v>
      </c>
      <c r="G769">
        <v>3</v>
      </c>
      <c r="O769" t="str">
        <f t="shared" si="11"/>
        <v>Fin Derr (D) - Forward currency contracts - Total: Total value at 31 March 2018 - Nominal value (net)</v>
      </c>
    </row>
    <row r="770" spans="1:15">
      <c r="A770" t="s">
        <v>17333</v>
      </c>
      <c r="B770" t="str">
        <f>'4I'!$AJ$226</f>
        <v>CR2028N6_FD_D</v>
      </c>
      <c r="D770" t="s">
        <v>16404</v>
      </c>
      <c r="E770" t="s">
        <v>4215</v>
      </c>
      <c r="F770" t="s">
        <v>17334</v>
      </c>
      <c r="G770">
        <v>3</v>
      </c>
      <c r="O770" t="str">
        <f t="shared" ref="O770:O833" si="12">D770</f>
        <v>Fin Derr (D) - Other financial derivatives: Total value at 31 March 2018 - Nominal value (net)</v>
      </c>
    </row>
    <row r="771" spans="1:15">
      <c r="A771" t="s">
        <v>17333</v>
      </c>
      <c r="B771" t="str">
        <f>'4I'!$AJ$228</f>
        <v>CR20020N6_FD_D</v>
      </c>
      <c r="D771" t="s">
        <v>16405</v>
      </c>
      <c r="E771" t="s">
        <v>4215</v>
      </c>
      <c r="F771" t="s">
        <v>17334</v>
      </c>
      <c r="G771">
        <v>3</v>
      </c>
      <c r="O771" t="str">
        <f t="shared" si="12"/>
        <v>Fin Derr (D) - Total financial derivatives: Total value at 31 March 2018 - Nominal value (net)</v>
      </c>
    </row>
    <row r="772" spans="1:15">
      <c r="A772" t="s">
        <v>17333</v>
      </c>
      <c r="B772" t="str">
        <f>'4I'!$AK$192</f>
        <v>CR2021MM_FD_D</v>
      </c>
      <c r="D772" t="s">
        <v>16406</v>
      </c>
      <c r="E772" t="s">
        <v>4215</v>
      </c>
      <c r="F772" t="s">
        <v>17334</v>
      </c>
      <c r="G772">
        <v>3</v>
      </c>
      <c r="O772" t="str">
        <f t="shared" si="12"/>
        <v>Fin Derr (D) - Interest rate swap (sterling) - Floating to fixed rate: Total value at 31 March 2018 - Mark to Market</v>
      </c>
    </row>
    <row r="773" spans="1:15">
      <c r="A773" t="s">
        <v>17333</v>
      </c>
      <c r="B773" t="str">
        <f>'4I'!$AK$193</f>
        <v>CR2022MM_FD_D</v>
      </c>
      <c r="D773" t="s">
        <v>16407</v>
      </c>
      <c r="E773" t="s">
        <v>4215</v>
      </c>
      <c r="F773" t="s">
        <v>17334</v>
      </c>
      <c r="G773">
        <v>3</v>
      </c>
      <c r="O773" t="str">
        <f t="shared" si="12"/>
        <v>Fin Derr (D) - Interest rate swap (sterling) - Floating from fixed rate: Total value at 31 March 2018 - Mark to Market</v>
      </c>
    </row>
    <row r="774" spans="1:15">
      <c r="A774" t="s">
        <v>17333</v>
      </c>
      <c r="B774" t="str">
        <f>'4I'!$AK$194</f>
        <v>CR2023MM_FD_D</v>
      </c>
      <c r="D774" t="s">
        <v>16408</v>
      </c>
      <c r="E774" t="s">
        <v>4215</v>
      </c>
      <c r="F774" t="s">
        <v>17334</v>
      </c>
      <c r="G774">
        <v>3</v>
      </c>
      <c r="O774" t="str">
        <f t="shared" si="12"/>
        <v>Fin Derr (D) - Interest rate swap (sterling) - Floating to index linked: Total value at 31 March 2018 - Mark to Market</v>
      </c>
    </row>
    <row r="775" spans="1:15">
      <c r="A775" t="s">
        <v>17333</v>
      </c>
      <c r="B775" t="str">
        <f>'4I'!$AK$195</f>
        <v>CR2024MM_FD_D</v>
      </c>
      <c r="D775" t="s">
        <v>16409</v>
      </c>
      <c r="E775" t="s">
        <v>4215</v>
      </c>
      <c r="F775" t="s">
        <v>17334</v>
      </c>
      <c r="G775">
        <v>3</v>
      </c>
      <c r="O775" t="str">
        <f t="shared" si="12"/>
        <v>Fin Derr (D) - Interest rate swap (sterling) - Floating from index linked: Total value at 31 March 2018 - Mark to Market</v>
      </c>
    </row>
    <row r="776" spans="1:15">
      <c r="A776" t="s">
        <v>17333</v>
      </c>
      <c r="B776" t="str">
        <f>'4I'!$AK$196</f>
        <v>CR2025MM_FD_D</v>
      </c>
      <c r="D776" t="s">
        <v>16410</v>
      </c>
      <c r="E776" t="s">
        <v>4215</v>
      </c>
      <c r="F776" t="s">
        <v>17334</v>
      </c>
      <c r="G776">
        <v>3</v>
      </c>
      <c r="O776" t="str">
        <f t="shared" si="12"/>
        <v>Fin Derr (D) - Interest rate swap (sterling) - Fixed to index-linked: Total value at 31 March 2018 - Mark to Market</v>
      </c>
    </row>
    <row r="777" spans="1:15">
      <c r="A777" t="s">
        <v>17333</v>
      </c>
      <c r="B777" t="str">
        <f>'4I'!$AK$197</f>
        <v>CR2026MM_FD_D</v>
      </c>
      <c r="D777" t="s">
        <v>16411</v>
      </c>
      <c r="E777" t="s">
        <v>4215</v>
      </c>
      <c r="F777" t="s">
        <v>17334</v>
      </c>
      <c r="G777">
        <v>3</v>
      </c>
      <c r="O777" t="str">
        <f t="shared" si="12"/>
        <v>Fin Derr (D) - Interest rate swap (sterling) - Fixed from index-linked: Total value at 31 March 2018 - Mark to Market</v>
      </c>
    </row>
    <row r="778" spans="1:15">
      <c r="A778" t="s">
        <v>17333</v>
      </c>
      <c r="B778" t="str">
        <f>'4I'!$AK$198</f>
        <v>CR4029MM_FD_D</v>
      </c>
      <c r="D778" t="s">
        <v>16412</v>
      </c>
      <c r="E778" t="s">
        <v>4215</v>
      </c>
      <c r="F778" t="s">
        <v>17334</v>
      </c>
      <c r="G778">
        <v>3</v>
      </c>
      <c r="O778" t="str">
        <f t="shared" si="12"/>
        <v>Fin Derr (D) - Interest rate swap (sterling) - Index-linked to index-linked - Total value at 31 March - Mark to market</v>
      </c>
    </row>
    <row r="779" spans="1:15">
      <c r="A779" t="s">
        <v>17333</v>
      </c>
      <c r="B779" t="str">
        <f>'4I'!$AK$199</f>
        <v>CR2027MM_FD_D</v>
      </c>
      <c r="D779" t="s">
        <v>16413</v>
      </c>
      <c r="E779" t="s">
        <v>4215</v>
      </c>
      <c r="F779" t="s">
        <v>17334</v>
      </c>
      <c r="G779">
        <v>3</v>
      </c>
      <c r="O779" t="str">
        <f t="shared" si="12"/>
        <v>Fin Derr (D) - Interest rate swap (sterling) - Total: Total value at 31 March 2018 - Mark to Market</v>
      </c>
    </row>
    <row r="780" spans="1:15">
      <c r="A780" t="s">
        <v>17333</v>
      </c>
      <c r="B780" t="str">
        <f>'4I'!$AK$202</f>
        <v>CR2005MM_FD_D</v>
      </c>
      <c r="D780" t="s">
        <v>16414</v>
      </c>
      <c r="E780" t="s">
        <v>4215</v>
      </c>
      <c r="F780" t="s">
        <v>17334</v>
      </c>
      <c r="G780">
        <v>3</v>
      </c>
      <c r="O780" t="str">
        <f t="shared" si="12"/>
        <v>Fin Derr (D) - Foreign Exchange - Cross currency swap USD: Total value at 31 March 2018 - Mark to Market</v>
      </c>
    </row>
    <row r="781" spans="1:15">
      <c r="A781" t="s">
        <v>17333</v>
      </c>
      <c r="B781" t="str">
        <f>'4I'!$AK$203</f>
        <v>CR2006MM_FD_D</v>
      </c>
      <c r="D781" t="s">
        <v>16415</v>
      </c>
      <c r="E781" t="s">
        <v>4215</v>
      </c>
      <c r="F781" t="s">
        <v>17334</v>
      </c>
      <c r="G781">
        <v>3</v>
      </c>
      <c r="O781" t="str">
        <f t="shared" si="12"/>
        <v>Fin Derr (D) - Foreign Exchange - Cross currency swap EUR: Total value at 31 March 2018 - Mark to Market</v>
      </c>
    </row>
    <row r="782" spans="1:15">
      <c r="A782" t="s">
        <v>17333</v>
      </c>
      <c r="B782" t="str">
        <f>'4I'!$AK$204</f>
        <v>CR2007MM_FD_D</v>
      </c>
      <c r="D782" t="s">
        <v>16416</v>
      </c>
      <c r="E782" t="s">
        <v>4215</v>
      </c>
      <c r="F782" t="s">
        <v>17334</v>
      </c>
      <c r="G782">
        <v>3</v>
      </c>
      <c r="O782" t="str">
        <f t="shared" si="12"/>
        <v>Fin Derr (D) - Foreign Exchange - Cross currency swap YEN: Total value at 31 March 2018 - Mark to Market</v>
      </c>
    </row>
    <row r="783" spans="1:15">
      <c r="A783" t="s">
        <v>17333</v>
      </c>
      <c r="B783" t="str">
        <f>'4I'!$AK$205</f>
        <v>CR2008MM_FD_D</v>
      </c>
      <c r="D783" t="s">
        <v>16417</v>
      </c>
      <c r="E783" t="s">
        <v>4215</v>
      </c>
      <c r="F783" t="s">
        <v>17334</v>
      </c>
      <c r="G783">
        <v>3</v>
      </c>
      <c r="O783" t="str">
        <f t="shared" si="12"/>
        <v>Fin Derr (D) - Foreign Exchange - Cross currency swap Other: Total value at 31 March 2018 - Mark to Market</v>
      </c>
    </row>
    <row r="784" spans="1:15">
      <c r="A784" t="s">
        <v>17333</v>
      </c>
      <c r="B784" t="str">
        <f>'4I'!$AK$206</f>
        <v>CR2009MM_FD_D</v>
      </c>
      <c r="D784" t="s">
        <v>16418</v>
      </c>
      <c r="E784" t="s">
        <v>4215</v>
      </c>
      <c r="F784" t="s">
        <v>17334</v>
      </c>
      <c r="G784">
        <v>3</v>
      </c>
      <c r="O784" t="str">
        <f t="shared" si="12"/>
        <v>Fin Derr (D) - Foreign Exchange - Total: Total value at 31 March 2018 - Mark to Market</v>
      </c>
    </row>
    <row r="785" spans="1:15">
      <c r="A785" t="s">
        <v>17333</v>
      </c>
      <c r="B785" t="str">
        <f>'4I'!$AK$209</f>
        <v>CR20010MM_FD_D</v>
      </c>
      <c r="D785" t="s">
        <v>16419</v>
      </c>
      <c r="E785" t="s">
        <v>4215</v>
      </c>
      <c r="F785" t="s">
        <v>17334</v>
      </c>
      <c r="G785">
        <v>3</v>
      </c>
      <c r="O785" t="str">
        <f t="shared" si="12"/>
        <v>Fin Derr (D) - Currency interest rate  - Currency interest rate swaps USD: Total value at 31 March 2018 - Mark to Market</v>
      </c>
    </row>
    <row r="786" spans="1:15">
      <c r="A786" t="s">
        <v>17333</v>
      </c>
      <c r="B786" t="str">
        <f>'4I'!$AK$210</f>
        <v>CR20011MM_FD_D</v>
      </c>
      <c r="D786" t="s">
        <v>16420</v>
      </c>
      <c r="E786" t="s">
        <v>4215</v>
      </c>
      <c r="F786" t="s">
        <v>17334</v>
      </c>
      <c r="G786">
        <v>3</v>
      </c>
      <c r="O786" t="str">
        <f t="shared" si="12"/>
        <v>Fin Derr (D) - Currency interest rate  - Currency interest rate swaps EUR: Total value at 31 March 2018 - Mark to Market</v>
      </c>
    </row>
    <row r="787" spans="1:15">
      <c r="A787" t="s">
        <v>17333</v>
      </c>
      <c r="B787" t="str">
        <f>'4I'!$AK$211</f>
        <v>CR20012MM_FD_D</v>
      </c>
      <c r="D787" t="s">
        <v>16421</v>
      </c>
      <c r="E787" t="s">
        <v>4215</v>
      </c>
      <c r="F787" t="s">
        <v>17334</v>
      </c>
      <c r="G787">
        <v>3</v>
      </c>
      <c r="O787" t="str">
        <f t="shared" si="12"/>
        <v>Fin Derr (D) - Currency interest rate  - Currency interest rate swaps YEN: Total value at 31 March 2018 - Mark to Market</v>
      </c>
    </row>
    <row r="788" spans="1:15">
      <c r="A788" t="s">
        <v>17333</v>
      </c>
      <c r="B788" t="str">
        <f>'4I'!$AK$212</f>
        <v>CR20013MM_FD_D</v>
      </c>
      <c r="D788" t="s">
        <v>16422</v>
      </c>
      <c r="E788" t="s">
        <v>4215</v>
      </c>
      <c r="F788" t="s">
        <v>17334</v>
      </c>
      <c r="G788">
        <v>3</v>
      </c>
      <c r="O788" t="str">
        <f t="shared" si="12"/>
        <v>Fin Derr (D) - Currency interest rate  - Currency interest rate swaps Other: Total value at 31 March 2018 - Mark to Market</v>
      </c>
    </row>
    <row r="789" spans="1:15">
      <c r="A789" t="s">
        <v>17333</v>
      </c>
      <c r="B789" t="str">
        <f>'4I'!$AK$213</f>
        <v>CR20014MM_FD_D</v>
      </c>
      <c r="D789" t="s">
        <v>16423</v>
      </c>
      <c r="E789" t="s">
        <v>4215</v>
      </c>
      <c r="F789" t="s">
        <v>17334</v>
      </c>
      <c r="G789">
        <v>3</v>
      </c>
      <c r="O789" t="str">
        <f t="shared" si="12"/>
        <v>Fin Derr (D) - Currency interest rate  - Total: Total value at 31 March 2018 - Mark to Market</v>
      </c>
    </row>
    <row r="790" spans="1:15">
      <c r="A790" t="s">
        <v>17333</v>
      </c>
      <c r="B790" t="str">
        <f>'4I'!$AK$216</f>
        <v>CR20015MM_FD_D</v>
      </c>
      <c r="D790" t="s">
        <v>16424</v>
      </c>
      <c r="E790" t="s">
        <v>4215</v>
      </c>
      <c r="F790" t="s">
        <v>17334</v>
      </c>
      <c r="G790">
        <v>3</v>
      </c>
      <c r="O790" t="str">
        <f t="shared" si="12"/>
        <v>Fin Derr (D) - Forward currency contracts - Forward currency contracts USD: Total value at 31 March 2018 - Mark to Market</v>
      </c>
    </row>
    <row r="791" spans="1:15">
      <c r="A791" t="s">
        <v>17333</v>
      </c>
      <c r="B791" t="str">
        <f>'4I'!$AK$217</f>
        <v>CR20016MM_FD_D</v>
      </c>
      <c r="D791" t="s">
        <v>16425</v>
      </c>
      <c r="E791" t="s">
        <v>4215</v>
      </c>
      <c r="F791" t="s">
        <v>17334</v>
      </c>
      <c r="G791">
        <v>3</v>
      </c>
      <c r="O791" t="str">
        <f t="shared" si="12"/>
        <v>Fin Derr (D) - Forward currency contracts - Forward currency contracts EUR: Total value at 31 March 2018 - Mark to Market</v>
      </c>
    </row>
    <row r="792" spans="1:15">
      <c r="A792" t="s">
        <v>17333</v>
      </c>
      <c r="B792" t="str">
        <f>'4I'!$AK$218</f>
        <v>CR20017MM_FD_D</v>
      </c>
      <c r="D792" t="s">
        <v>16426</v>
      </c>
      <c r="E792" t="s">
        <v>4215</v>
      </c>
      <c r="F792" t="s">
        <v>17334</v>
      </c>
      <c r="G792">
        <v>3</v>
      </c>
      <c r="O792" t="str">
        <f t="shared" si="12"/>
        <v>Fin Derr (D) - Forward currency contracts - Forward currency contracts YEN: Total value at 31 March 2018 - Mark to Market</v>
      </c>
    </row>
    <row r="793" spans="1:15">
      <c r="A793" t="s">
        <v>17333</v>
      </c>
      <c r="B793" t="str">
        <f>'4I'!$AK$219</f>
        <v>CR2029MM_FD_D</v>
      </c>
      <c r="D793" t="s">
        <v>16427</v>
      </c>
      <c r="E793" t="s">
        <v>4215</v>
      </c>
      <c r="F793" t="s">
        <v>17334</v>
      </c>
      <c r="G793">
        <v>3</v>
      </c>
      <c r="O793" t="str">
        <f t="shared" si="12"/>
        <v>Fin Derr (D) - Forward currency contracts CAD - Total value at 31 March 2018 - Mark to Market</v>
      </c>
    </row>
    <row r="794" spans="1:15">
      <c r="A794" t="s">
        <v>17333</v>
      </c>
      <c r="B794" t="str">
        <f>'4I'!$AK$220</f>
        <v>CR2030MM_FD_D</v>
      </c>
      <c r="D794" t="s">
        <v>16428</v>
      </c>
      <c r="E794" t="s">
        <v>4215</v>
      </c>
      <c r="F794" t="s">
        <v>17334</v>
      </c>
      <c r="G794">
        <v>3</v>
      </c>
      <c r="O794" t="str">
        <f t="shared" si="12"/>
        <v>Fin Derr (D) - Forward currency contracts AUD - Total value at 31 March 2018 - Mark to Market</v>
      </c>
    </row>
    <row r="795" spans="1:15">
      <c r="A795" t="s">
        <v>17333</v>
      </c>
      <c r="B795" t="str">
        <f>'4I'!$AK$221</f>
        <v>CR2031MM_FD_D</v>
      </c>
      <c r="D795" t="s">
        <v>16429</v>
      </c>
      <c r="E795" t="s">
        <v>4215</v>
      </c>
      <c r="F795" t="s">
        <v>17334</v>
      </c>
      <c r="G795">
        <v>3</v>
      </c>
      <c r="O795" t="str">
        <f t="shared" si="12"/>
        <v>Fin Derr (D) - Forward currency contracts HKD - Total value at 31 March 2018 - Mark to Market</v>
      </c>
    </row>
    <row r="796" spans="1:15">
      <c r="A796" t="s">
        <v>17333</v>
      </c>
      <c r="B796" t="str">
        <f>'4I'!$AK$222</f>
        <v>CR20018MM_FD_D</v>
      </c>
      <c r="D796" t="s">
        <v>16430</v>
      </c>
      <c r="E796" t="s">
        <v>4215</v>
      </c>
      <c r="F796" t="s">
        <v>17334</v>
      </c>
      <c r="G796">
        <v>3</v>
      </c>
      <c r="O796" t="str">
        <f t="shared" si="12"/>
        <v>Fin Derr (D) - Forward currency contracts - Forward currency contracts Other: Total value at 31 March 2018 - Mark to Market</v>
      </c>
    </row>
    <row r="797" spans="1:15">
      <c r="A797" t="s">
        <v>17333</v>
      </c>
      <c r="B797" t="str">
        <f>'4I'!$AK$223</f>
        <v>CR20019MM_FD_D</v>
      </c>
      <c r="D797" t="s">
        <v>16431</v>
      </c>
      <c r="E797" t="s">
        <v>4215</v>
      </c>
      <c r="F797" t="s">
        <v>17334</v>
      </c>
      <c r="G797">
        <v>3</v>
      </c>
      <c r="O797" t="str">
        <f t="shared" si="12"/>
        <v>Fin Derr (D) - Forward currency contracts - Total: Total value at 31 March 2018 - Mark to Market</v>
      </c>
    </row>
    <row r="798" spans="1:15">
      <c r="A798" t="s">
        <v>17333</v>
      </c>
      <c r="B798" t="str">
        <f>'4I'!$AK$226</f>
        <v>CR2028MM_FD_D</v>
      </c>
      <c r="D798" t="s">
        <v>16432</v>
      </c>
      <c r="E798" t="s">
        <v>4215</v>
      </c>
      <c r="F798" t="s">
        <v>17334</v>
      </c>
      <c r="G798">
        <v>3</v>
      </c>
      <c r="O798" t="str">
        <f t="shared" si="12"/>
        <v>Fin Derr (D) - Other financial derivatives: Total value at 31 March 2018 - Mark to Market</v>
      </c>
    </row>
    <row r="799" spans="1:15">
      <c r="A799" t="s">
        <v>17333</v>
      </c>
      <c r="B799" t="str">
        <f>'4I'!$AK$228</f>
        <v>CR20020MM_FD_D</v>
      </c>
      <c r="D799" t="s">
        <v>16433</v>
      </c>
      <c r="E799" t="s">
        <v>4215</v>
      </c>
      <c r="F799" t="s">
        <v>17334</v>
      </c>
      <c r="G799">
        <v>3</v>
      </c>
      <c r="O799" t="str">
        <f t="shared" si="12"/>
        <v>Fin Derr (D) - Total financial derivatives: Total value at 31 March 2018 - Mark to Market</v>
      </c>
    </row>
    <row r="800" spans="1:15">
      <c r="A800" t="s">
        <v>17333</v>
      </c>
      <c r="B800" t="str">
        <f>'4I'!$AL$192</f>
        <v>CR2021TA_FD_D</v>
      </c>
      <c r="D800" t="s">
        <v>16434</v>
      </c>
      <c r="E800" t="s">
        <v>4215</v>
      </c>
      <c r="F800" t="s">
        <v>17334</v>
      </c>
      <c r="G800">
        <v>3</v>
      </c>
      <c r="O800" t="str">
        <f t="shared" si="12"/>
        <v>Fin Derr (D) - Interest rate swap (sterling) - Floating to fixed rate - Total accretion at 31 March 2018</v>
      </c>
    </row>
    <row r="801" spans="1:15">
      <c r="A801" t="s">
        <v>17333</v>
      </c>
      <c r="B801" t="str">
        <f>'4I'!$AL$193</f>
        <v>CR2022TA_FD_D</v>
      </c>
      <c r="D801" t="s">
        <v>16435</v>
      </c>
      <c r="E801" t="s">
        <v>4215</v>
      </c>
      <c r="F801" t="s">
        <v>17334</v>
      </c>
      <c r="G801">
        <v>3</v>
      </c>
      <c r="O801" t="str">
        <f t="shared" si="12"/>
        <v>Fin Derr (D) - Interest rate swap (sterling) - Floating from fixed rate - Total accretion at 31 March 2018</v>
      </c>
    </row>
    <row r="802" spans="1:15">
      <c r="A802" t="s">
        <v>17333</v>
      </c>
      <c r="B802" t="str">
        <f>'4I'!$AL$194</f>
        <v>CR2023TA_FD_D</v>
      </c>
      <c r="D802" t="s">
        <v>16436</v>
      </c>
      <c r="E802" t="s">
        <v>4215</v>
      </c>
      <c r="F802" t="s">
        <v>17334</v>
      </c>
      <c r="G802">
        <v>3</v>
      </c>
      <c r="O802" t="str">
        <f t="shared" si="12"/>
        <v>Fin Derr (D) - Interest rate swap (sterling) - Floating to index linked - Total accretion at 31 March 2018</v>
      </c>
    </row>
    <row r="803" spans="1:15">
      <c r="A803" t="s">
        <v>17333</v>
      </c>
      <c r="B803" t="str">
        <f>'4I'!$AL$195</f>
        <v>CR2024TA_FD_D</v>
      </c>
      <c r="D803" t="s">
        <v>16437</v>
      </c>
      <c r="E803" t="s">
        <v>4215</v>
      </c>
      <c r="F803" t="s">
        <v>17334</v>
      </c>
      <c r="G803">
        <v>3</v>
      </c>
      <c r="O803" t="str">
        <f t="shared" si="12"/>
        <v>Fin Derr (D) - Interest rate swap (sterling) - Floating from index linked - Total accretion at 31 March 2018</v>
      </c>
    </row>
    <row r="804" spans="1:15">
      <c r="A804" t="s">
        <v>17333</v>
      </c>
      <c r="B804" t="str">
        <f>'4I'!$AL$196</f>
        <v>CR2025TA_FD_D</v>
      </c>
      <c r="D804" t="s">
        <v>16438</v>
      </c>
      <c r="E804" t="s">
        <v>4215</v>
      </c>
      <c r="F804" t="s">
        <v>17334</v>
      </c>
      <c r="G804">
        <v>3</v>
      </c>
      <c r="O804" t="str">
        <f t="shared" si="12"/>
        <v>Fin Derr (D) - Interest rate swap (sterling) - Fixed to index-linked - Total accretion at 31 March 2018</v>
      </c>
    </row>
    <row r="805" spans="1:15">
      <c r="A805" t="s">
        <v>17333</v>
      </c>
      <c r="B805" t="str">
        <f>'4I'!$AL$197</f>
        <v>CR2026TA_FD_D</v>
      </c>
      <c r="D805" t="s">
        <v>16439</v>
      </c>
      <c r="E805" t="s">
        <v>4215</v>
      </c>
      <c r="F805" t="s">
        <v>17334</v>
      </c>
      <c r="G805">
        <v>3</v>
      </c>
      <c r="O805" t="str">
        <f t="shared" si="12"/>
        <v>Fin Derr (D) - Interest rate swap (sterling) - Fixed from index-linked - Total accretion at 31 March 2018</v>
      </c>
    </row>
    <row r="806" spans="1:15">
      <c r="A806" t="s">
        <v>17333</v>
      </c>
      <c r="B806" t="str">
        <f>'4I'!$AL$198</f>
        <v>CR4029TA_FD_D</v>
      </c>
      <c r="D806" t="s">
        <v>16440</v>
      </c>
      <c r="E806" t="s">
        <v>4215</v>
      </c>
      <c r="F806" t="s">
        <v>17334</v>
      </c>
      <c r="G806">
        <v>3</v>
      </c>
      <c r="O806" t="str">
        <f t="shared" si="12"/>
        <v>Fin Derr (D) - Interest rate swap (sterling) - Index-linked to index-linked - Total accretion at 31 March</v>
      </c>
    </row>
    <row r="807" spans="1:15">
      <c r="A807" t="s">
        <v>17333</v>
      </c>
      <c r="B807" t="str">
        <f>'4I'!$AL$199</f>
        <v>CR2027TA_FD_D</v>
      </c>
      <c r="D807" t="s">
        <v>16441</v>
      </c>
      <c r="E807" t="s">
        <v>4215</v>
      </c>
      <c r="F807" t="s">
        <v>17334</v>
      </c>
      <c r="G807">
        <v>3</v>
      </c>
      <c r="O807" t="str">
        <f t="shared" si="12"/>
        <v>Fin Derr (D) - Interest rate swap (sterling) - Total - Total accretion at 31 March 2018</v>
      </c>
    </row>
    <row r="808" spans="1:15">
      <c r="A808" t="s">
        <v>17333</v>
      </c>
      <c r="B808" t="str">
        <f>'4I'!$AL$202</f>
        <v>CR2005TA_FD_D</v>
      </c>
      <c r="D808" t="s">
        <v>16442</v>
      </c>
      <c r="E808" t="s">
        <v>4215</v>
      </c>
      <c r="F808" t="s">
        <v>17334</v>
      </c>
      <c r="G808">
        <v>3</v>
      </c>
      <c r="O808" t="str">
        <f t="shared" si="12"/>
        <v>Fin Derr (D) - Foreign Exchange - Cross currency swap USD - Total accretion at 31 March 2018</v>
      </c>
    </row>
    <row r="809" spans="1:15">
      <c r="A809" t="s">
        <v>17333</v>
      </c>
      <c r="B809" t="str">
        <f>'4I'!$AL$203</f>
        <v>CR2006TA_FD_D</v>
      </c>
      <c r="D809" t="s">
        <v>16443</v>
      </c>
      <c r="E809" t="s">
        <v>4215</v>
      </c>
      <c r="F809" t="s">
        <v>17334</v>
      </c>
      <c r="G809">
        <v>3</v>
      </c>
      <c r="O809" t="str">
        <f t="shared" si="12"/>
        <v>Fin Derr (D) - Foreign Exchange - Cross currency swap EUR - Total accretion at 31 March 2018</v>
      </c>
    </row>
    <row r="810" spans="1:15">
      <c r="A810" t="s">
        <v>17333</v>
      </c>
      <c r="B810" t="str">
        <f>'4I'!$AL$204</f>
        <v>CR2007TA_FD_D</v>
      </c>
      <c r="D810" t="s">
        <v>16444</v>
      </c>
      <c r="E810" t="s">
        <v>4215</v>
      </c>
      <c r="F810" t="s">
        <v>17334</v>
      </c>
      <c r="G810">
        <v>3</v>
      </c>
      <c r="O810" t="str">
        <f t="shared" si="12"/>
        <v>Fin Derr (D) - Foreign Exchange - Cross currency swap YEN - Total accretion at 31 March 2018</v>
      </c>
    </row>
    <row r="811" spans="1:15">
      <c r="A811" t="s">
        <v>17333</v>
      </c>
      <c r="B811" t="str">
        <f>'4I'!$AL$205</f>
        <v>CR2008TA_FD_D</v>
      </c>
      <c r="D811" t="s">
        <v>16445</v>
      </c>
      <c r="E811" t="s">
        <v>4215</v>
      </c>
      <c r="F811" t="s">
        <v>17334</v>
      </c>
      <c r="G811">
        <v>3</v>
      </c>
      <c r="O811" t="str">
        <f t="shared" si="12"/>
        <v>Fin Derr (D) - Foreign Exchange - Cross currency swap Other - Total accretion at 31 March 2018</v>
      </c>
    </row>
    <row r="812" spans="1:15">
      <c r="A812" t="s">
        <v>17333</v>
      </c>
      <c r="B812" t="str">
        <f>'4I'!$AL$206</f>
        <v>CR2009TA_FD_D</v>
      </c>
      <c r="D812" t="s">
        <v>16446</v>
      </c>
      <c r="E812" t="s">
        <v>4215</v>
      </c>
      <c r="F812" t="s">
        <v>17334</v>
      </c>
      <c r="G812">
        <v>3</v>
      </c>
      <c r="O812" t="str">
        <f t="shared" si="12"/>
        <v>Fin Derr (D) - Foreign Exchange - Total - Total accretion at 31 March 2018</v>
      </c>
    </row>
    <row r="813" spans="1:15">
      <c r="A813" t="s">
        <v>17333</v>
      </c>
      <c r="B813" t="str">
        <f>'4I'!$AL$209</f>
        <v>CR20010TA_FD_D</v>
      </c>
      <c r="D813" t="s">
        <v>16447</v>
      </c>
      <c r="E813" t="s">
        <v>4215</v>
      </c>
      <c r="F813" t="s">
        <v>17334</v>
      </c>
      <c r="G813">
        <v>3</v>
      </c>
      <c r="O813" t="str">
        <f t="shared" si="12"/>
        <v>Fin Derr (D) - Currency interest rate  - Currency interest rate swaps USD - Total accretion at 31 March 2018</v>
      </c>
    </row>
    <row r="814" spans="1:15">
      <c r="A814" t="s">
        <v>17333</v>
      </c>
      <c r="B814" t="str">
        <f>'4I'!$AL$210</f>
        <v>CR20011TA_FD_D</v>
      </c>
      <c r="D814" t="s">
        <v>16448</v>
      </c>
      <c r="E814" t="s">
        <v>4215</v>
      </c>
      <c r="F814" t="s">
        <v>17334</v>
      </c>
      <c r="G814">
        <v>3</v>
      </c>
      <c r="O814" t="str">
        <f t="shared" si="12"/>
        <v>Fin Derr (D) - Currency interest rate  - Currency interest rate swaps EUR - Total accretion at 31 March 2018</v>
      </c>
    </row>
    <row r="815" spans="1:15">
      <c r="A815" t="s">
        <v>17333</v>
      </c>
      <c r="B815" t="str">
        <f>'4I'!$AL$211</f>
        <v>CR20012TA_FD_D</v>
      </c>
      <c r="D815" t="s">
        <v>16449</v>
      </c>
      <c r="E815" t="s">
        <v>4215</v>
      </c>
      <c r="F815" t="s">
        <v>17334</v>
      </c>
      <c r="G815">
        <v>3</v>
      </c>
      <c r="O815" t="str">
        <f t="shared" si="12"/>
        <v>Fin Derr (D) - Currency interest rate  - Currency interest rate swaps YEN - Total accretion at 31 March 2018</v>
      </c>
    </row>
    <row r="816" spans="1:15">
      <c r="A816" t="s">
        <v>17333</v>
      </c>
      <c r="B816" t="str">
        <f>'4I'!$AL$212</f>
        <v>CR20013TA_FD_D</v>
      </c>
      <c r="D816" t="s">
        <v>16450</v>
      </c>
      <c r="E816" t="s">
        <v>4215</v>
      </c>
      <c r="F816" t="s">
        <v>17334</v>
      </c>
      <c r="G816">
        <v>3</v>
      </c>
      <c r="O816" t="str">
        <f t="shared" si="12"/>
        <v>Fin Derr (D) - Currency interest rate  - Currency interest rate swaps Other - Total accretion at 31 March 2018</v>
      </c>
    </row>
    <row r="817" spans="1:15">
      <c r="A817" t="s">
        <v>17333</v>
      </c>
      <c r="B817" t="str">
        <f>'4I'!$AL$213</f>
        <v>CR20014TA_FD_D</v>
      </c>
      <c r="D817" t="s">
        <v>16451</v>
      </c>
      <c r="E817" t="s">
        <v>4215</v>
      </c>
      <c r="F817" t="s">
        <v>17334</v>
      </c>
      <c r="G817">
        <v>3</v>
      </c>
      <c r="O817" t="str">
        <f t="shared" si="12"/>
        <v>Fin Derr (D) - Currency interest rate  - Total - Total accretion at 31 March 2018</v>
      </c>
    </row>
    <row r="818" spans="1:15">
      <c r="A818" t="s">
        <v>17333</v>
      </c>
      <c r="B818" t="str">
        <f>'4I'!$AL$216</f>
        <v>CR20015TA_FD_D</v>
      </c>
      <c r="D818" t="s">
        <v>16452</v>
      </c>
      <c r="E818" t="s">
        <v>4215</v>
      </c>
      <c r="F818" t="s">
        <v>17334</v>
      </c>
      <c r="G818">
        <v>3</v>
      </c>
      <c r="O818" t="str">
        <f t="shared" si="12"/>
        <v>Fin Derr (D) - Forward currency contracts - Forward currency contracts USD - Total accretion at 31 March 2018</v>
      </c>
    </row>
    <row r="819" spans="1:15">
      <c r="A819" t="s">
        <v>17333</v>
      </c>
      <c r="B819" t="str">
        <f>'4I'!$AL$217</f>
        <v>CR20016TA_FD_D</v>
      </c>
      <c r="D819" t="s">
        <v>16453</v>
      </c>
      <c r="E819" t="s">
        <v>4215</v>
      </c>
      <c r="F819" t="s">
        <v>17334</v>
      </c>
      <c r="G819">
        <v>3</v>
      </c>
      <c r="O819" t="str">
        <f t="shared" si="12"/>
        <v>Fin Derr (D) - Forward currency contracts - Forward currency contracts EUR - Total accretion at 31 March 2018</v>
      </c>
    </row>
    <row r="820" spans="1:15">
      <c r="A820" t="s">
        <v>17333</v>
      </c>
      <c r="B820" t="str">
        <f>'4I'!$AL$218</f>
        <v>CR20017TA_FD_D</v>
      </c>
      <c r="D820" t="s">
        <v>16454</v>
      </c>
      <c r="E820" t="s">
        <v>4215</v>
      </c>
      <c r="F820" t="s">
        <v>17334</v>
      </c>
      <c r="G820">
        <v>3</v>
      </c>
      <c r="O820" t="str">
        <f t="shared" si="12"/>
        <v>Fin Derr (D) - Forward currency contracts - Forward currency contracts YEN - Total accretion at 31 March 2018</v>
      </c>
    </row>
    <row r="821" spans="1:15">
      <c r="A821" t="s">
        <v>17333</v>
      </c>
      <c r="B821" t="str">
        <f>'4I'!$AL$219</f>
        <v>CR2029TA_FD_D</v>
      </c>
      <c r="D821" t="s">
        <v>16455</v>
      </c>
      <c r="E821" t="s">
        <v>4215</v>
      </c>
      <c r="F821" t="s">
        <v>17334</v>
      </c>
      <c r="G821">
        <v>3</v>
      </c>
      <c r="O821" t="str">
        <f t="shared" si="12"/>
        <v>Fin Derr (D) - Forward currency contracts CAD - Total accretion at 31 March 2018</v>
      </c>
    </row>
    <row r="822" spans="1:15">
      <c r="A822" t="s">
        <v>17333</v>
      </c>
      <c r="B822" t="str">
        <f>'4I'!$AL$220</f>
        <v>CR2030TA_FD_D</v>
      </c>
      <c r="D822" t="s">
        <v>16456</v>
      </c>
      <c r="E822" t="s">
        <v>4215</v>
      </c>
      <c r="F822" t="s">
        <v>17334</v>
      </c>
      <c r="G822">
        <v>3</v>
      </c>
      <c r="O822" t="str">
        <f t="shared" si="12"/>
        <v>Fin Derr (D) - Forward currency contracts AUD - Total accretion at 31 March 2018</v>
      </c>
    </row>
    <row r="823" spans="1:15">
      <c r="A823" t="s">
        <v>17333</v>
      </c>
      <c r="B823" t="str">
        <f>'4I'!$AL$221</f>
        <v>CR2031TA_FD_D</v>
      </c>
      <c r="D823" t="s">
        <v>16457</v>
      </c>
      <c r="E823" t="s">
        <v>4215</v>
      </c>
      <c r="F823" t="s">
        <v>17334</v>
      </c>
      <c r="G823">
        <v>3</v>
      </c>
      <c r="O823" t="str">
        <f t="shared" si="12"/>
        <v>Fin Derr (D) - Forward currency contracts HKD - Total accretion at 31 March 2018</v>
      </c>
    </row>
    <row r="824" spans="1:15">
      <c r="A824" t="s">
        <v>17333</v>
      </c>
      <c r="B824" t="str">
        <f>'4I'!$AL$222</f>
        <v>CR20018TA_FD_D</v>
      </c>
      <c r="D824" t="s">
        <v>16458</v>
      </c>
      <c r="E824" t="s">
        <v>4215</v>
      </c>
      <c r="F824" t="s">
        <v>17334</v>
      </c>
      <c r="G824">
        <v>3</v>
      </c>
      <c r="O824" t="str">
        <f t="shared" si="12"/>
        <v>Fin Derr (D) - Forward currency contracts - Forward currency contracts Other - Total accretion at 31 March 2018</v>
      </c>
    </row>
    <row r="825" spans="1:15">
      <c r="A825" t="s">
        <v>17333</v>
      </c>
      <c r="B825" t="str">
        <f>'4I'!$AL$223</f>
        <v>CR20019TA_FD_D</v>
      </c>
      <c r="D825" t="s">
        <v>16459</v>
      </c>
      <c r="E825" t="s">
        <v>4215</v>
      </c>
      <c r="F825" t="s">
        <v>17334</v>
      </c>
      <c r="G825">
        <v>3</v>
      </c>
      <c r="O825" t="str">
        <f t="shared" si="12"/>
        <v>Fin Derr (D) - Forward currency contracts - Total - Total accretion at 31 March 2018</v>
      </c>
    </row>
    <row r="826" spans="1:15">
      <c r="A826" t="s">
        <v>17333</v>
      </c>
      <c r="B826" t="str">
        <f>'4I'!$AL$226</f>
        <v>CR2028TA_FD_D</v>
      </c>
      <c r="D826" t="s">
        <v>16460</v>
      </c>
      <c r="E826" t="s">
        <v>4215</v>
      </c>
      <c r="F826" t="s">
        <v>17334</v>
      </c>
      <c r="G826">
        <v>3</v>
      </c>
      <c r="O826" t="str">
        <f t="shared" si="12"/>
        <v>Fin Derr (D) - Other financial derivatives - Total accretion at 31 March 2018</v>
      </c>
    </row>
    <row r="827" spans="1:15">
      <c r="A827" t="s">
        <v>17333</v>
      </c>
      <c r="B827" t="str">
        <f>'4I'!$AL$228</f>
        <v>CR20020TA_FD_D</v>
      </c>
      <c r="D827" t="s">
        <v>16461</v>
      </c>
      <c r="E827" t="s">
        <v>4215</v>
      </c>
      <c r="F827" t="s">
        <v>17334</v>
      </c>
      <c r="G827">
        <v>3</v>
      </c>
      <c r="O827" t="str">
        <f t="shared" si="12"/>
        <v>Fin Derr (D) - Total financial derivatives - Total accretion at 31 March 2018</v>
      </c>
    </row>
    <row r="828" spans="1:15">
      <c r="A828" t="s">
        <v>17333</v>
      </c>
      <c r="B828" t="str">
        <f>'4I'!$AM$192</f>
        <v>CR2021IRP_FD_D</v>
      </c>
      <c r="D828" t="s">
        <v>16462</v>
      </c>
      <c r="E828" t="s">
        <v>4215</v>
      </c>
      <c r="F828" t="s">
        <v>17334</v>
      </c>
      <c r="G828">
        <v>3</v>
      </c>
      <c r="O828" t="str">
        <f t="shared" si="12"/>
        <v>Fin Derr (D) - Interest rate swap (sterling) - Floating to fixed rate: Interest rate\n(weighted average for 12 months to 31 March 2018) - Payable</v>
      </c>
    </row>
    <row r="829" spans="1:15">
      <c r="A829" t="s">
        <v>17333</v>
      </c>
      <c r="B829" t="str">
        <f>'4I'!$AM$193</f>
        <v>CR2022IRP_FD_D</v>
      </c>
      <c r="D829" t="s">
        <v>16463</v>
      </c>
      <c r="E829" t="s">
        <v>4215</v>
      </c>
      <c r="F829" t="s">
        <v>17334</v>
      </c>
      <c r="G829">
        <v>3</v>
      </c>
      <c r="O829" t="str">
        <f t="shared" si="12"/>
        <v>Fin Derr (D) - Interest rate swap (sterling) - Floating from fixed rate: Interest rate\n(weighted average for 12 months to 31 March 2018) - Payable</v>
      </c>
    </row>
    <row r="830" spans="1:15">
      <c r="A830" t="s">
        <v>17333</v>
      </c>
      <c r="B830" t="str">
        <f>'4I'!$AM$194</f>
        <v>CR2023IRP_FD_D</v>
      </c>
      <c r="D830" t="s">
        <v>16464</v>
      </c>
      <c r="E830" t="s">
        <v>4215</v>
      </c>
      <c r="F830" t="s">
        <v>17334</v>
      </c>
      <c r="G830">
        <v>3</v>
      </c>
      <c r="O830" t="str">
        <f t="shared" si="12"/>
        <v>Fin Derr (D) - Interest rate swap (sterling) - Floating to index linked: Interest rate\n(weighted average for 12 months to 31 March 2018) - Payable</v>
      </c>
    </row>
    <row r="831" spans="1:15">
      <c r="A831" t="s">
        <v>17333</v>
      </c>
      <c r="B831" t="str">
        <f>'4I'!$AM$195</f>
        <v>CR2024IRP_FD_D</v>
      </c>
      <c r="D831" t="s">
        <v>16465</v>
      </c>
      <c r="E831" t="s">
        <v>4215</v>
      </c>
      <c r="F831" t="s">
        <v>17334</v>
      </c>
      <c r="G831">
        <v>3</v>
      </c>
      <c r="O831" t="str">
        <f t="shared" si="12"/>
        <v>Fin Derr (D) - Interest rate swap (sterling) - Floating from index linked: Interest rate\n(weighted average for 12 months to 31 March 2018) - Payable</v>
      </c>
    </row>
    <row r="832" spans="1:15">
      <c r="A832" t="s">
        <v>17333</v>
      </c>
      <c r="B832" t="str">
        <f>'4I'!$AM$196</f>
        <v>CR2025IRP_FD_D</v>
      </c>
      <c r="D832" t="s">
        <v>16466</v>
      </c>
      <c r="E832" t="s">
        <v>4215</v>
      </c>
      <c r="F832" t="s">
        <v>17334</v>
      </c>
      <c r="G832">
        <v>3</v>
      </c>
      <c r="O832" t="str">
        <f t="shared" si="12"/>
        <v>Fin Derr (D) - Interest rate swap (sterling) - Fixed to index-linked: Interest rate\n(weighted average for 12 months to 31 March 2018) - Payable</v>
      </c>
    </row>
    <row r="833" spans="1:15">
      <c r="A833" t="s">
        <v>17333</v>
      </c>
      <c r="B833" t="str">
        <f>'4I'!$AM$197</f>
        <v>CR2026IRP_FD_D</v>
      </c>
      <c r="D833" t="s">
        <v>16467</v>
      </c>
      <c r="E833" t="s">
        <v>4215</v>
      </c>
      <c r="F833" t="s">
        <v>17334</v>
      </c>
      <c r="G833">
        <v>3</v>
      </c>
      <c r="O833" t="str">
        <f t="shared" si="12"/>
        <v>Fin Derr (D) - Interest rate swap (sterling) - Fixed from index-linked: Interest rate\n(weighted average for 12 months to 31 March 2018) - Payable</v>
      </c>
    </row>
    <row r="834" spans="1:15">
      <c r="A834" t="s">
        <v>17333</v>
      </c>
      <c r="B834" t="str">
        <f>'4I'!$AM$198</f>
        <v>CR4029IRP_FD_D</v>
      </c>
      <c r="D834" t="s">
        <v>16468</v>
      </c>
      <c r="E834" t="s">
        <v>4215</v>
      </c>
      <c r="F834" t="s">
        <v>17334</v>
      </c>
      <c r="G834">
        <v>3</v>
      </c>
      <c r="O834" t="str">
        <f t="shared" ref="O834:O841" si="13">D834</f>
        <v>Fin Derr (D) - Interest rate swap (sterling) - Index-linked to index-linked - Interest rate\n(weighted average for 12 months to 31 March 2021) - Payable</v>
      </c>
    </row>
    <row r="835" spans="1:15">
      <c r="A835" t="s">
        <v>17333</v>
      </c>
      <c r="B835" t="str">
        <f>'4I'!$AN$192</f>
        <v>CR2021IRR_FD_D</v>
      </c>
      <c r="D835" t="s">
        <v>16469</v>
      </c>
      <c r="E835" t="s">
        <v>4215</v>
      </c>
      <c r="F835" t="s">
        <v>17334</v>
      </c>
      <c r="G835">
        <v>3</v>
      </c>
      <c r="O835" t="str">
        <f t="shared" si="13"/>
        <v>Fin Derr (D) - Interest rate swap (sterling) - Floating to fixed rate: Interest rate\n(weighted average for 12 months to 31 March 2018) - Receivable</v>
      </c>
    </row>
    <row r="836" spans="1:15">
      <c r="A836" t="s">
        <v>17333</v>
      </c>
      <c r="B836" t="str">
        <f>'4I'!$AN$193</f>
        <v>CR2022IRR_FD_D</v>
      </c>
      <c r="D836" t="s">
        <v>16470</v>
      </c>
      <c r="E836" t="s">
        <v>4215</v>
      </c>
      <c r="F836" t="s">
        <v>17334</v>
      </c>
      <c r="G836">
        <v>3</v>
      </c>
      <c r="O836" t="str">
        <f t="shared" si="13"/>
        <v>Fin Derr (D) - Interest rate swap (sterling) - Floating from fixed rate: Interest rate\n(weighted average for 12 months to 31 March 2018) - Receivable</v>
      </c>
    </row>
    <row r="837" spans="1:15">
      <c r="A837" t="s">
        <v>17333</v>
      </c>
      <c r="B837" t="str">
        <f>'4I'!$AN$194</f>
        <v>CR2023IRR_FD_D</v>
      </c>
      <c r="D837" t="s">
        <v>16471</v>
      </c>
      <c r="E837" t="s">
        <v>4215</v>
      </c>
      <c r="F837" t="s">
        <v>17334</v>
      </c>
      <c r="G837">
        <v>3</v>
      </c>
      <c r="O837" t="str">
        <f t="shared" si="13"/>
        <v>Fin Derr (D) - Interest rate swap (sterling) - Floating to index linked: Interest rate\n(weighted average for 12 months to 31 March 2018) - Receivable</v>
      </c>
    </row>
    <row r="838" spans="1:15">
      <c r="A838" t="s">
        <v>17333</v>
      </c>
      <c r="B838" t="str">
        <f>'4I'!$AN$195</f>
        <v>CR2024IRR_FD_D</v>
      </c>
      <c r="D838" t="s">
        <v>16472</v>
      </c>
      <c r="E838" t="s">
        <v>4215</v>
      </c>
      <c r="F838" t="s">
        <v>17334</v>
      </c>
      <c r="G838">
        <v>3</v>
      </c>
      <c r="O838" t="str">
        <f t="shared" si="13"/>
        <v>Fin Derr (D) - Interest rate swap (sterling) - Floating from index linked: Interest rate\n(weighted average for 12 months to 31 March 2018) - Receivable</v>
      </c>
    </row>
    <row r="839" spans="1:15">
      <c r="A839" t="s">
        <v>17333</v>
      </c>
      <c r="B839" t="str">
        <f>'4I'!$AN$196</f>
        <v>CR2025IRR_FD_D</v>
      </c>
      <c r="D839" t="s">
        <v>16473</v>
      </c>
      <c r="E839" t="s">
        <v>4215</v>
      </c>
      <c r="F839" t="s">
        <v>17334</v>
      </c>
      <c r="G839">
        <v>3</v>
      </c>
      <c r="O839" t="str">
        <f t="shared" si="13"/>
        <v>Fin Derr (D) - Interest rate swap (sterling) - Fixed to index-linked: Interest rate\n(weighted average for 12 months to 31 March 2018) - Receivable</v>
      </c>
    </row>
    <row r="840" spans="1:15">
      <c r="A840" t="s">
        <v>17333</v>
      </c>
      <c r="B840" t="str">
        <f>'4I'!$AN$197</f>
        <v>CR2026IRR_FD_D</v>
      </c>
      <c r="D840" t="s">
        <v>16474</v>
      </c>
      <c r="E840" t="s">
        <v>4215</v>
      </c>
      <c r="F840" t="s">
        <v>17334</v>
      </c>
      <c r="G840">
        <v>3</v>
      </c>
      <c r="O840" t="str">
        <f t="shared" si="13"/>
        <v>Fin Derr (D) - Interest rate swap (sterling) - Fixed from index-linked: Interest rate\n(weighted average for 12 months to 31 March 2018) - Receivable</v>
      </c>
    </row>
    <row r="841" spans="1:15">
      <c r="A841" t="s">
        <v>17333</v>
      </c>
      <c r="B841" t="str">
        <f>'4I'!$AN$198</f>
        <v>CR4029IRR_FD_D</v>
      </c>
      <c r="D841" t="s">
        <v>16475</v>
      </c>
      <c r="E841" t="s">
        <v>4215</v>
      </c>
      <c r="F841" t="s">
        <v>17334</v>
      </c>
      <c r="G841">
        <v>3</v>
      </c>
      <c r="O841" t="str">
        <f t="shared" si="13"/>
        <v>Fin Derr (D) - Interest rate swap (sterling) - Index-linked to index-linked - Interest rate\n(weighted average for 12 months to 31 March 2021) - Receivable</v>
      </c>
    </row>
    <row r="842" spans="1:15">
      <c r="A842" t="s">
        <v>17340</v>
      </c>
      <c r="B842" s="2590" t="str">
        <f>'5A'!R37</f>
        <v>B4860_TOT</v>
      </c>
      <c r="D842" t="str">
        <f>'5A'!B37</f>
        <v>Total number of completed investigations (WINEP/NEP), cumulative for AMP</v>
      </c>
      <c r="E842" t="str">
        <f>'5A'!C37</f>
        <v>nr</v>
      </c>
      <c r="F842" t="s">
        <v>17334</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17334</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17334</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17334</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17334</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17334</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17334</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17334</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17334</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17334</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17334</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17334</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17334</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17334</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17334</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17334</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17334</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17334</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17334</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17334</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17334</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17334</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17334</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17334</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17334</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17334</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17334</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17334</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17334</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17334</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17334</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17334</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17334</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17334</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17334</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17334</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17334</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17334</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17334</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17334</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17334</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17334</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17334</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17334</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17334</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17334</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17334</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17334</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17334</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17334</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17334</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17334</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17334</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17334</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17334</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17334</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17334</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17334</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17334</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17334</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17334</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17334</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17334</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17334</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17334</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17334</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17334</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17334</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17334</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17334</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17334</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17334</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17334</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17334</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17334</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17334</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17334</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17334</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17334</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17334</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17334</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17334</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17334</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17334</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17334</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17334</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17334</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17334</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17334</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17334</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17334</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17334</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17334</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17334</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17334</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17334</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17334</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17334</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17334</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17334</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17334</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17334</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17334</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17334</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17334</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17334</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17334</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17334</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17334</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17334</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17334</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17334</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17334</v>
      </c>
      <c r="G954" t="str">
        <f>'4L'!$D$25</f>
        <v>£m</v>
      </c>
      <c r="O954" t="str">
        <f>_xlfn.CONCAT('4L'!$B$9, "-", '4L'!$B$25, "-", '4L'!$K$6, "-", '4L'!$K$6, "-", '4L'!$F$5)</f>
        <v>EA/NRW environmental programme (WINEP/NEP)-Investigations-Total-Total-Expenditure in report year</v>
      </c>
    </row>
    <row r="955" spans="1:15">
      <c r="A955" t="s">
        <v>4187</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17334</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17334</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17334</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17334</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17334</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9" t="str">
        <f>_xlfn.CONCAT('4L'!$B$9, "-", '4L'!$B$25, "-", '4L'!$Q$6, "-", '4L'!$Q$6, "-", '4L'!$L$5)</f>
        <v>EA/NRW environmental programme (WINEP/NEP)-Investigations-Total-Total-Cumulative expenditure on schemes completed in the report year</v>
      </c>
      <c r="E960" t="str">
        <f>'4L'!$C$25</f>
        <v>Capex</v>
      </c>
      <c r="F960" t="s">
        <v>17334</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17334</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17334</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17334</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17334</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17334</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17334</v>
      </c>
      <c r="G966" t="str">
        <f>'4L'!$D$26</f>
        <v>£m</v>
      </c>
      <c r="O966" t="str">
        <f>_xlfn.CONCAT('4L'!$B$9, "-", '4L'!$B$26, "-", '4L'!$K$6, "-", '4L'!$K$6, "-", '4L'!$F$5)</f>
        <v>EA/NRW environmental programme (WINEP/NEP)-Investigations-Total-Total-Expenditure in report year</v>
      </c>
    </row>
    <row r="967" spans="1:15">
      <c r="A967" t="s">
        <v>4187</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17334</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17334</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17334</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17334</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17334</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9" t="str">
        <f>_xlfn.CONCAT('4L'!$B$9, "-", '4L'!$B$26, "-", '4L'!$Q$6, "-", '4L'!$Q$6, "-", '4L'!$L$5)</f>
        <v>EA/NRW environmental programme (WINEP/NEP)-Investigations-Total-Total-Cumulative expenditure on schemes completed in the report year</v>
      </c>
      <c r="E972" t="str">
        <f>'4L'!$C$26</f>
        <v>Opex</v>
      </c>
      <c r="F972" t="s">
        <v>17334</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17334</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17334</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17334</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17334</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17334</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17334</v>
      </c>
      <c r="G978" t="str">
        <f>'4L'!$D$27</f>
        <v>£m</v>
      </c>
      <c r="O978" t="str">
        <f>_xlfn.CONCAT('4L'!$B$9, "-", '4L'!$B$27, "-", '4L'!$K$6, "-", '4L'!$K$6, "-", '4L'!$F$5)</f>
        <v>EA/NRW environmental programme (WINEP/NEP)-Investigations-Total-Total-Expenditure in report year</v>
      </c>
    </row>
    <row r="979" spans="1:15">
      <c r="A979" t="s">
        <v>4187</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17334</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17334</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17334</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17334</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17334</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9" t="str">
        <f>_xlfn.CONCAT('4L'!$B$9, "-", '4L'!$B$27, "-", '4L'!$Q$6, "-", '4L'!$Q$6, "-", '4L'!$L$5)</f>
        <v>EA/NRW environmental programme (WINEP/NEP)-Investigations-Total-Total-Cumulative expenditure on schemes completed in the report year</v>
      </c>
      <c r="E984" t="str">
        <f>'4L'!$C$27</f>
        <v>Totex</v>
      </c>
      <c r="F984" t="s">
        <v>17334</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17334</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17334</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17334</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17334</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17334</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17334</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17334</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17334</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17334</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17334</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17334</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17334</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17334</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17334</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17334</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17334</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17334</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17334</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17334</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17334</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17334</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17334</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17334</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17334</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17334</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17334</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17334</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17334</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17334</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17334</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17334</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17334</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17334</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17334</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17334</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17334</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17334</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17334</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17334</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17334</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17334</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17334</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17334</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17334</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17334</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17334</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17334</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17334</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17334</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17334</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17334</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17334</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17334</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17334</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17334</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17334</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17334</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17334</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17334</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17334</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17334</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17334</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17334</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17334</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17334</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17334</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17334</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17334</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17334</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17334</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17334</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17334</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17334</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17334</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17334</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17334</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17334</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17334</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17334</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17334</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17334</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17334</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17334</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17334</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17334</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17334</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17334</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17334</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17334</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17334</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17334</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17334</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17334</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17334</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17334</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17334</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17334</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17334</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17334</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17334</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17334</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17334</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17334</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17334</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17334</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17334</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17334</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17334</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17334</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17334</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17334</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17334</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17334</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17334</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17334</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17334</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17334</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17334</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17334</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17334</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17334</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17334</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17334</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17334</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17334</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17334</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17334</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17334</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17334</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17334</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17334</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17334</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17334</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17334</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17334</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17334</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17334</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17334</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17334</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17334</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17334</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17334</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17334</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17334</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17334</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17334</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17334</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17334</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17334</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17334</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17334</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17334</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17334</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17334</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17334</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17334</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17334</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17334</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17334</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17334</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17334</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17334</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17334</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17334</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17334</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17334</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17334</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17334</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17334</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17334</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17334</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17334</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17334</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17334</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17334</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17334</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17334</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17334</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17334</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17334</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17334</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17334</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17334</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17334</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17334</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17334</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17334</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17334</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17334</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17334</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17334</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17334</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17334</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17334</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17334</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17334</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17334</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17334</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17334</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17334</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17334</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17334</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17334</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17334</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17334</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17334</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17334</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17334</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17334</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17334</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17334</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17334</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17334</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17334</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17334</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17334</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17334</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17334</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17334</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17334</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17334</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17334</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17334</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17334</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17334</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17334</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17334</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17334</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17334</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17334</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17334</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17334</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17334</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17334</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17334</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17334</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17334</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17334</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17334</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17334</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17334</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17334</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17334</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17334</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17334</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17334</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17334</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17334</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17334</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17334</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17334</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17334</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17334</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17334</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17334</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17334</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17334</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17334</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17334</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17334</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17334</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17334</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17334</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17334</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17334</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17334</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17334</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17334</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17334</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17334</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17334</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17334</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17334</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17334</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17334</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17334</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17334</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17334</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17334</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17334</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17334</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17334</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17334</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17334</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17334</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17334</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17334</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17334</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17334</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17334</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17334</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17334</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17334</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17334</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17334</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17334</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17334</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17334</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17334</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17334</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17334</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17334</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17334</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17334</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17334</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17334</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17334</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17334</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17334</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17334</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17334</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17334</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17334</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17334</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17334</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17334</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17334</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17334</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17334</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17334</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17334</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17334</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17334</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17334</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17334</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17334</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17334</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17334</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17334</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17334</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17334</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17334</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17334</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17334</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17334</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17334</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17334</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17334</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17334</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17334</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17334</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17334</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17334</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17334</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17334</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17334</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17334</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17334</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17334</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17334</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17334</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17334</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17334</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17334</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17334</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17334</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17334</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17334</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17334</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17334</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17334</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17334</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17334</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17334</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17334</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17334</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17334</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17334</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17334</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17334</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17334</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17334</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17334</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17334</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17334</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17334</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17334</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17334</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17334</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17334</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17334</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17334</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17334</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17334</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17334</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17334</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17334</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17334</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17334</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17334</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17334</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17334</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17334</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17334</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17334</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17334</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17334</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17334</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17334</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17334</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17334</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17334</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17334</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17334</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17334</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17334</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17334</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17334</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17334</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17334</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17334</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17334</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17334</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17334</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17334</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17334</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17334</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17334</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17334</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17334</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17334</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17334</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17334</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17334</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17334</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17334</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17334</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17334</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17334</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17334</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17334</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17334</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17334</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17334</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17334</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17334</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17334</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17334</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17334</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17334</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17334</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17334</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17334</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17334</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17334</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17334</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17334</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17334</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17334</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17334</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17334</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17334</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17334</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17334</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17334</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17334</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17334</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17334</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17334</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17334</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17334</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17334</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17334</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17334</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17334</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17334</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17334</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17334</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17334</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17334</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17334</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17334</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17334</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17334</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17334</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17334</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17334</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17334</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17334</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17334</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17334</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17334</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17334</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17334</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17334</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17334</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17334</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17334</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17334</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17334</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17334</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17334</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17334</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17334</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17334</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17334</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17334</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17334</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17334</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17334</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17334</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17334</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17334</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17334</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17334</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17334</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17334</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17334</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17334</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17334</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17334</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17334</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17334</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17334</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17334</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17334</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17334</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17334</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17334</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17334</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17334</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17334</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17334</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17334</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17334</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17334</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Impounding Reservoirs-Water resources-Water resources-Expenditure in report year</v>
      </c>
      <c r="E1511" t="str">
        <f>'4L'!$C$115</f>
        <v>Capex</v>
      </c>
      <c r="F1511" t="s">
        <v>17334</v>
      </c>
      <c r="G1511" t="str">
        <f>'4L'!$D$115</f>
        <v>£m</v>
      </c>
      <c r="O1511" t="str">
        <f>_xlfn.CONCAT('4L'!$B$78, "-", '4L'!$B$115, "-", '4L'!$F$6, "-", '4L'!$F$6, "-", '4L'!$F$5)</f>
        <v>Other enhancement-Additional Line- Impounding Reservoirs-Water resources-Water resources-Expenditure in report year</v>
      </c>
    </row>
    <row r="1512" spans="1:15">
      <c r="A1512" t="s">
        <v>4187</v>
      </c>
      <c r="B1512" t="str">
        <f>'4L'!$AW$115</f>
        <v>B0279ALC_RWT</v>
      </c>
      <c r="D1512" t="str">
        <f>_xlfn.CONCAT('4L'!$B$78, "-", '4L'!$B$115, "-", '4L'!$G$7, "-", '4L'!$G$6, "-", '4L'!$F$5)</f>
        <v>Other enhancement-Additional Line- Impounding Reservoirs-Raw water transport-Water network+-Expenditure in report year</v>
      </c>
      <c r="E1512" t="str">
        <f>'4L'!$C$115</f>
        <v>Capex</v>
      </c>
      <c r="F1512" t="s">
        <v>17334</v>
      </c>
      <c r="G1512" t="str">
        <f>'4L'!$D$115</f>
        <v>£m</v>
      </c>
      <c r="O1512" t="str">
        <f>_xlfn.CONCAT('4L'!$B$78, "-", '4L'!$B$115, "-", '4L'!$G$7, "-", '4L'!$G$6, "-", '4L'!$F$5)</f>
        <v>Other enhancement-Additional Line- Impounding Reservoirs-Raw water transport-Water network+-Expenditure in report year</v>
      </c>
    </row>
    <row r="1513" spans="1:15">
      <c r="A1513" t="s">
        <v>4187</v>
      </c>
      <c r="B1513" t="str">
        <f>'4L'!$AX$115</f>
        <v>B0279ALC_RWS</v>
      </c>
      <c r="D1513" t="str">
        <f>_xlfn.CONCAT('4L'!$B$78, "-", '4L'!$B$115, "-", '4L'!$H$7, "-", '4L'!$G$6, "-", '4L'!$F$5)</f>
        <v>Other enhancement-Additional Line- Impounding Reservoirs-Raw water storage-Water network+-Expenditure in report year</v>
      </c>
      <c r="E1513" t="str">
        <f>'4L'!$C$115</f>
        <v>Capex</v>
      </c>
      <c r="F1513" t="s">
        <v>17334</v>
      </c>
      <c r="G1513" t="str">
        <f>'4L'!$D$115</f>
        <v>£m</v>
      </c>
      <c r="O1513" t="str">
        <f>_xlfn.CONCAT('4L'!$B$78, "-", '4L'!$B$115, "-", '4L'!$H$7, "-", '4L'!$G$6, "-", '4L'!$F$5)</f>
        <v>Other enhancement-Additional Line- Impounding Reservoirs-Raw water storage-Water network+-Expenditure in report year</v>
      </c>
    </row>
    <row r="1514" spans="1:15">
      <c r="A1514" t="s">
        <v>4187</v>
      </c>
      <c r="B1514" t="str">
        <f>'4L'!$AY$115</f>
        <v>B0279ALC_WT</v>
      </c>
      <c r="D1514" t="str">
        <f>_xlfn.CONCAT('4L'!$B$78, "-", '4L'!$B$115, "-", '4L'!$I$7, "-", '4L'!$G$6, "-", '4L'!$F$5)</f>
        <v>Other enhancement-Additional Line- Impounding Reservoirs-Water treatment-Water network+-Expenditure in report year</v>
      </c>
      <c r="E1514" t="str">
        <f>'4L'!$C$115</f>
        <v>Capex</v>
      </c>
      <c r="F1514" t="s">
        <v>17334</v>
      </c>
      <c r="G1514" t="str">
        <f>'4L'!$D$115</f>
        <v>£m</v>
      </c>
      <c r="O1514" t="str">
        <f>_xlfn.CONCAT('4L'!$B$78, "-", '4L'!$B$115, "-", '4L'!$I$7, "-", '4L'!$G$6, "-", '4L'!$F$5)</f>
        <v>Other enhancement-Additional Line- Impounding Reservoirs-Water treatment-Water network+-Expenditure in report year</v>
      </c>
    </row>
    <row r="1515" spans="1:15">
      <c r="A1515" t="s">
        <v>4187</v>
      </c>
      <c r="B1515" t="str">
        <f>'4L'!$AZ$115</f>
        <v>B0279ALC_TWD</v>
      </c>
      <c r="D1515" t="str">
        <f>_xlfn.CONCAT('4L'!$B$78, "-", '4L'!$B$115, "-", '4L'!$J$7, "-", '4L'!$G$6, "-", '4L'!$F$5)</f>
        <v>Other enhancement-Additional Line- Impounding Reservoirs-Treated water distribution-Water network+-Expenditure in report year</v>
      </c>
      <c r="E1515" t="str">
        <f>'4L'!$C$115</f>
        <v>Capex</v>
      </c>
      <c r="F1515" t="s">
        <v>17334</v>
      </c>
      <c r="G1515" t="str">
        <f>'4L'!$D$115</f>
        <v>£m</v>
      </c>
      <c r="O1515" t="str">
        <f>_xlfn.CONCAT('4L'!$B$78, "-", '4L'!$B$115, "-", '4L'!$J$7, "-", '4L'!$G$6, "-", '4L'!$F$5)</f>
        <v>Other enhancement-Additional Line- Impounding Reservoirs-Treated water distribution-Water network+-Expenditure in report year</v>
      </c>
    </row>
    <row r="1516" spans="1:15">
      <c r="A1516" t="s">
        <v>4187</v>
      </c>
      <c r="B1516" t="str">
        <f>'4L'!$BA$115</f>
        <v>B0279ALC_TOT</v>
      </c>
      <c r="D1516" t="str">
        <f>_xlfn.CONCAT('4L'!$B$78, "-", '4L'!$B$115, "-", '4L'!$K$6, "-", '4L'!$K$6, "-", '4L'!$F$5)</f>
        <v>Other enhancement-Additional Line- Impounding Reservoirs-Total-Total-Expenditure in report year</v>
      </c>
      <c r="E1516" t="str">
        <f>'4L'!$C$115</f>
        <v>Capex</v>
      </c>
      <c r="F1516" t="s">
        <v>17334</v>
      </c>
      <c r="G1516" t="str">
        <f>'4L'!$D$115</f>
        <v>£m</v>
      </c>
      <c r="O1516" t="str">
        <f>_xlfn.CONCAT('4L'!$B$78, "-", '4L'!$B$115, "-", '4L'!$K$6, "-", '4L'!$K$6, "-", '4L'!$F$5)</f>
        <v>Other enhancement-Additional Line- Impounding Reservoirs-Total-Total-Expenditure in report year</v>
      </c>
    </row>
    <row r="1517" spans="1:15">
      <c r="A1517" t="s">
        <v>4187</v>
      </c>
      <c r="B1517" t="str">
        <f>'4L'!$BH$115</f>
        <v>B0402AL1C_CUMME</v>
      </c>
      <c r="D1517" t="str">
        <f>_xlfn.CONCAT('4L'!$B$78, "-", '4L'!$B$115, "-", '4L'!$R$7, "-", '4L'!$R$5, "-", '4L'!$R$5)</f>
        <v>Other enhancement-Additional Line- Impounding Reservoirs-Total-Cumulative expenditure on all schemes to reporting year end-Cumulative expenditure on all schemes to reporting year end</v>
      </c>
      <c r="E1517" t="str">
        <f>'4L'!$C$115</f>
        <v>Capex</v>
      </c>
      <c r="F1517" t="s">
        <v>17334</v>
      </c>
      <c r="G1517" t="str">
        <f>'4L'!$D$115</f>
        <v>£m</v>
      </c>
      <c r="O1517" t="str">
        <f>_xlfn.CONCAT('4L'!$B$78, "-", '4L'!$B$115, "-", '4L'!$R$7, "-", '4L'!$R$5, "-", '4L'!$R$5)</f>
        <v>Other enhancement-Additional Line- Impounding Reservoirs-Total-Cumulative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Impounding Reservoirs-Total-Cumulative allowed expenditure on all schemes to reporting year end-Cumulative allowed expenditure on all schemes to reporting year end</v>
      </c>
      <c r="E1518" t="str">
        <f>'4L'!$C$115</f>
        <v>Capex</v>
      </c>
      <c r="F1518" t="s">
        <v>17334</v>
      </c>
      <c r="G1518" t="str">
        <f>'4L'!$D$115</f>
        <v>£m</v>
      </c>
      <c r="O1518" t="str">
        <f>_xlfn.CONCAT('4L'!$B$78, "-", '4L'!$B$115, "-", '4L'!$S$7, "-", '4L'!$S$5, "-", '4L'!$S$5)</f>
        <v>Other enhancement-Additional Line- Impounding Reservoirs-Total-Cumulative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Impounding Reservoirs-Total-Cumulative allowed expenditure on all schemes 2020-25-Cumulative allowed expenditure on all schemes 2020-25</v>
      </c>
      <c r="E1519" t="str">
        <f>'4L'!$C$115</f>
        <v>Capex</v>
      </c>
      <c r="F1519" t="s">
        <v>17334</v>
      </c>
      <c r="G1519" t="str">
        <f>'4L'!$D$115</f>
        <v>£m</v>
      </c>
      <c r="O1519" t="str">
        <f>_xlfn.CONCAT('4L'!$B$78, "-", '4L'!$B$115, "-", '4L'!$T$7, "-", '4L'!$T$5, "-", '4L'!$T$5)</f>
        <v>Other enhancement-Additional Line- Impounding Reservoirs-Total-Cumulative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Impounding Reservoirs-Water resources-Water resources-Expenditure in report year</v>
      </c>
      <c r="E1520" t="str">
        <f>'4L'!$C$116</f>
        <v>Opex</v>
      </c>
      <c r="F1520" t="s">
        <v>17334</v>
      </c>
      <c r="G1520" t="str">
        <f>'4L'!$D$116</f>
        <v>£m</v>
      </c>
      <c r="O1520" t="str">
        <f>_xlfn.CONCAT('4L'!$B$78, "-", '4L'!$B$116, "-", '4L'!$F$6, "-", '4L'!$F$6, "-", '4L'!$F$5)</f>
        <v>Other enhancement-Additional Line- Impounding Reservoirs-Water resources-Water resources-Expenditure in report year</v>
      </c>
    </row>
    <row r="1521" spans="1:15">
      <c r="A1521" t="s">
        <v>4187</v>
      </c>
      <c r="B1521" t="str">
        <f>'4L'!$AW$116</f>
        <v>B0280ALO_RWT</v>
      </c>
      <c r="D1521" t="str">
        <f>_xlfn.CONCAT('4L'!$B$78, "-", '4L'!$B$116, "-", '4L'!$G$7, "-", '4L'!$G$6, "-", '4L'!$F$5)</f>
        <v>Other enhancement-Additional Line- Impounding Reservoirs-Raw water transport-Water network+-Expenditure in report year</v>
      </c>
      <c r="E1521" t="str">
        <f>'4L'!$C$116</f>
        <v>Opex</v>
      </c>
      <c r="F1521" t="s">
        <v>17334</v>
      </c>
      <c r="G1521" t="str">
        <f>'4L'!$D$116</f>
        <v>£m</v>
      </c>
      <c r="O1521" t="str">
        <f>_xlfn.CONCAT('4L'!$B$78, "-", '4L'!$B$116, "-", '4L'!$G$7, "-", '4L'!$G$6, "-", '4L'!$F$5)</f>
        <v>Other enhancement-Additional Line- Impounding Reservoirs-Raw water transport-Water network+-Expenditure in report year</v>
      </c>
    </row>
    <row r="1522" spans="1:15">
      <c r="A1522" t="s">
        <v>4187</v>
      </c>
      <c r="B1522" t="str">
        <f>'4L'!$AX$116</f>
        <v>B0280ALO_RWS</v>
      </c>
      <c r="D1522" t="str">
        <f>_xlfn.CONCAT('4L'!$B$78, "-", '4L'!$B$116, "-", '4L'!$H$7, "-", '4L'!$G$6, "-", '4L'!$F$5)</f>
        <v>Other enhancement-Additional Line- Impounding Reservoirs-Raw water storage-Water network+-Expenditure in report year</v>
      </c>
      <c r="E1522" t="str">
        <f>'4L'!$C$116</f>
        <v>Opex</v>
      </c>
      <c r="F1522" t="s">
        <v>17334</v>
      </c>
      <c r="G1522" t="str">
        <f>'4L'!$D$116</f>
        <v>£m</v>
      </c>
      <c r="O1522" t="str">
        <f>_xlfn.CONCAT('4L'!$B$78, "-", '4L'!$B$116, "-", '4L'!$H$7, "-", '4L'!$G$6, "-", '4L'!$F$5)</f>
        <v>Other enhancement-Additional Line- Impounding Reservoirs-Raw water storage-Water network+-Expenditure in report year</v>
      </c>
    </row>
    <row r="1523" spans="1:15">
      <c r="A1523" t="s">
        <v>4187</v>
      </c>
      <c r="B1523" t="str">
        <f>'4L'!$AY$116</f>
        <v>B0280ALO_WT</v>
      </c>
      <c r="D1523" t="str">
        <f>_xlfn.CONCAT('4L'!$B$78, "-", '4L'!$B$116, "-", '4L'!$I$7, "-", '4L'!$G$6, "-", '4L'!$F$5)</f>
        <v>Other enhancement-Additional Line- Impounding Reservoirs-Water treatment-Water network+-Expenditure in report year</v>
      </c>
      <c r="E1523" t="str">
        <f>'4L'!$C$116</f>
        <v>Opex</v>
      </c>
      <c r="F1523" t="s">
        <v>17334</v>
      </c>
      <c r="G1523" t="str">
        <f>'4L'!$D$116</f>
        <v>£m</v>
      </c>
      <c r="O1523" t="str">
        <f>_xlfn.CONCAT('4L'!$B$78, "-", '4L'!$B$116, "-", '4L'!$I$7, "-", '4L'!$G$6, "-", '4L'!$F$5)</f>
        <v>Other enhancement-Additional Line- Impounding Reservoirs-Water treatment-Water network+-Expenditure in report year</v>
      </c>
    </row>
    <row r="1524" spans="1:15">
      <c r="A1524" t="s">
        <v>4187</v>
      </c>
      <c r="B1524" t="str">
        <f>'4L'!$AZ$116</f>
        <v>B0280ALO_TWD</v>
      </c>
      <c r="D1524" t="str">
        <f>_xlfn.CONCAT('4L'!$B$78, "-", '4L'!$B$116, "-", '4L'!$J$7, "-", '4L'!$G$6, "-", '4L'!$F$5)</f>
        <v>Other enhancement-Additional Line- Impounding Reservoirs-Treated water distribution-Water network+-Expenditure in report year</v>
      </c>
      <c r="E1524" t="str">
        <f>'4L'!$C$116</f>
        <v>Opex</v>
      </c>
      <c r="F1524" t="s">
        <v>17334</v>
      </c>
      <c r="G1524" t="str">
        <f>'4L'!$D$116</f>
        <v>£m</v>
      </c>
      <c r="O1524" t="str">
        <f>_xlfn.CONCAT('4L'!$B$78, "-", '4L'!$B$116, "-", '4L'!$J$7, "-", '4L'!$G$6, "-", '4L'!$F$5)</f>
        <v>Other enhancement-Additional Line- Impounding Reservoirs-Treated water distribution-Water network+-Expenditure in report year</v>
      </c>
    </row>
    <row r="1525" spans="1:15">
      <c r="A1525" t="s">
        <v>4187</v>
      </c>
      <c r="B1525" t="str">
        <f>'4L'!$BA$116</f>
        <v>B0280ALO_TOT</v>
      </c>
      <c r="D1525" t="str">
        <f>_xlfn.CONCAT('4L'!$B$78, "-", '4L'!$B$116, "-", '4L'!$K$6, "-", '4L'!$K$6, "-", '4L'!$F$5)</f>
        <v>Other enhancement-Additional Line- Impounding Reservoirs-Total-Total-Expenditure in report year</v>
      </c>
      <c r="E1525" t="str">
        <f>'4L'!$C$116</f>
        <v>Opex</v>
      </c>
      <c r="F1525" t="s">
        <v>17334</v>
      </c>
      <c r="G1525" t="str">
        <f>'4L'!$D$116</f>
        <v>£m</v>
      </c>
      <c r="O1525" t="str">
        <f>_xlfn.CONCAT('4L'!$B$78, "-", '4L'!$B$116, "-", '4L'!$K$6, "-", '4L'!$K$6, "-", '4L'!$F$5)</f>
        <v>Other enhancement-Additional Line- Impounding Reservoirs-Total-Total-Expenditure in report year</v>
      </c>
    </row>
    <row r="1526" spans="1:15">
      <c r="A1526" t="s">
        <v>4187</v>
      </c>
      <c r="B1526" t="str">
        <f>'4L'!$BH$116</f>
        <v>B0403AL1O_CUMME</v>
      </c>
      <c r="D1526" t="str">
        <f>_xlfn.CONCAT('4L'!$B$78, "-", '4L'!$B$116, "-", '4L'!$R$7, "-", '4L'!$R$5, "-", '4L'!$R$5)</f>
        <v>Other enhancement-Additional Line- Impounding Reservoirs-Total-Cumulative expenditure on all schemes to reporting year end-Cumulative expenditure on all schemes to reporting year end</v>
      </c>
      <c r="E1526" t="str">
        <f>'4L'!$C$116</f>
        <v>Opex</v>
      </c>
      <c r="F1526" t="s">
        <v>17334</v>
      </c>
      <c r="G1526" t="str">
        <f>'4L'!$D$116</f>
        <v>£m</v>
      </c>
      <c r="O1526" t="str">
        <f>_xlfn.CONCAT('4L'!$B$78, "-", '4L'!$B$116, "-", '4L'!$R$7, "-", '4L'!$R$5, "-", '4L'!$R$5)</f>
        <v>Other enhancement-Additional Line- Impounding Reservoirs-Total-Cumulative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Impounding Reservoirs-Total-Cumulative allowed expenditure on all schemes to reporting year end-Cumulative allowed expenditure on all schemes to reporting year end</v>
      </c>
      <c r="E1527" t="str">
        <f>'4L'!$C$116</f>
        <v>Opex</v>
      </c>
      <c r="F1527" t="s">
        <v>17334</v>
      </c>
      <c r="G1527" t="str">
        <f>'4L'!$D$116</f>
        <v>£m</v>
      </c>
      <c r="O1527" t="str">
        <f>_xlfn.CONCAT('4L'!$B$78, "-", '4L'!$B$116, "-", '4L'!$S$7, "-", '4L'!$S$5, "-", '4L'!$S$5)</f>
        <v>Other enhancement-Additional Line- Impounding Reservoirs-Total-Cumulative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Impounding Reservoirs-Total-Cumulative allowed expenditure on all schemes 2020-25-Cumulative allowed expenditure on all schemes 2020-25</v>
      </c>
      <c r="E1528" t="str">
        <f>'4L'!$C$116</f>
        <v>Opex</v>
      </c>
      <c r="F1528" t="s">
        <v>17334</v>
      </c>
      <c r="G1528" t="str">
        <f>'4L'!$D$116</f>
        <v>£m</v>
      </c>
      <c r="O1528" t="str">
        <f>_xlfn.CONCAT('4L'!$B$78, "-", '4L'!$B$116, "-", '4L'!$T$7, "-", '4L'!$T$5, "-", '4L'!$T$5)</f>
        <v>Other enhancement-Additional Line- Impounding Reservoirs-Total-Cumulative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Cwm Taf Water Supply-Water resources-Water resources-Expenditure in report year</v>
      </c>
      <c r="E1529" t="str">
        <f>'4L'!$C$117</f>
        <v>Capex</v>
      </c>
      <c r="F1529" t="s">
        <v>17334</v>
      </c>
      <c r="G1529" t="str">
        <f>'4L'!$D$117</f>
        <v>£m</v>
      </c>
      <c r="O1529" t="str">
        <f>_xlfn.CONCAT('4L'!$B$78, "-", '4L'!$B$117, "-", '4L'!$F$6, "-", '4L'!$F$6, "-", '4L'!$F$5)</f>
        <v>Other enhancement-Additional Line- Cwm Taf Water Supply-Water resources-Water resources-Expenditure in report year</v>
      </c>
    </row>
    <row r="1530" spans="1:15">
      <c r="A1530" t="s">
        <v>4187</v>
      </c>
      <c r="B1530" t="str">
        <f>'4L'!$AW$117</f>
        <v>B0281ALC_RWT</v>
      </c>
      <c r="D1530" t="str">
        <f>_xlfn.CONCAT('4L'!$B$78, "-", '4L'!$B$117, "-", '4L'!$G$7, "-", '4L'!$G$6, "-", '4L'!$F$5)</f>
        <v>Other enhancement-Additional Line- Cwm Taf Water Supply-Raw water transport-Water network+-Expenditure in report year</v>
      </c>
      <c r="E1530" t="str">
        <f>'4L'!$C$117</f>
        <v>Capex</v>
      </c>
      <c r="F1530" t="s">
        <v>17334</v>
      </c>
      <c r="G1530" t="str">
        <f>'4L'!$D$117</f>
        <v>£m</v>
      </c>
      <c r="O1530" t="str">
        <f>_xlfn.CONCAT('4L'!$B$78, "-", '4L'!$B$117, "-", '4L'!$G$7, "-", '4L'!$G$6, "-", '4L'!$F$5)</f>
        <v>Other enhancement-Additional Line- Cwm Taf Water Supply-Raw water transport-Water network+-Expenditure in report year</v>
      </c>
    </row>
    <row r="1531" spans="1:15">
      <c r="A1531" t="s">
        <v>4187</v>
      </c>
      <c r="B1531" t="str">
        <f>'4L'!$AX$117</f>
        <v>B0281ALC_RWS</v>
      </c>
      <c r="D1531" t="str">
        <f>_xlfn.CONCAT('4L'!$B$78, "-", '4L'!$B$117, "-", '4L'!$H$7, "-", '4L'!$G$6, "-", '4L'!$F$5)</f>
        <v>Other enhancement-Additional Line- Cwm Taf Water Supply-Raw water storage-Water network+-Expenditure in report year</v>
      </c>
      <c r="E1531" t="str">
        <f>'4L'!$C$117</f>
        <v>Capex</v>
      </c>
      <c r="F1531" t="s">
        <v>17334</v>
      </c>
      <c r="G1531" t="str">
        <f>'4L'!$D$117</f>
        <v>£m</v>
      </c>
      <c r="O1531" t="str">
        <f>_xlfn.CONCAT('4L'!$B$78, "-", '4L'!$B$117, "-", '4L'!$H$7, "-", '4L'!$G$6, "-", '4L'!$F$5)</f>
        <v>Other enhancement-Additional Line- Cwm Taf Water Supply-Raw water storage-Water network+-Expenditure in report year</v>
      </c>
    </row>
    <row r="1532" spans="1:15">
      <c r="A1532" t="s">
        <v>4187</v>
      </c>
      <c r="B1532" t="str">
        <f>'4L'!$AY$117</f>
        <v>B0281ALC_WT</v>
      </c>
      <c r="D1532" t="str">
        <f>_xlfn.CONCAT('4L'!$B$78, "-", '4L'!$B$117, "-", '4L'!$I$7, "-", '4L'!$G$6, "-", '4L'!$F$5)</f>
        <v>Other enhancement-Additional Line- Cwm Taf Water Supply-Water treatment-Water network+-Expenditure in report year</v>
      </c>
      <c r="E1532" t="str">
        <f>'4L'!$C$117</f>
        <v>Capex</v>
      </c>
      <c r="F1532" t="s">
        <v>17334</v>
      </c>
      <c r="G1532" t="str">
        <f>'4L'!$D$117</f>
        <v>£m</v>
      </c>
      <c r="O1532" t="str">
        <f>_xlfn.CONCAT('4L'!$B$78, "-", '4L'!$B$117, "-", '4L'!$I$7, "-", '4L'!$G$6, "-", '4L'!$F$5)</f>
        <v>Other enhancement-Additional Line- Cwm Taf Water Supply-Water treatment-Water network+-Expenditure in report year</v>
      </c>
    </row>
    <row r="1533" spans="1:15">
      <c r="A1533" t="s">
        <v>4187</v>
      </c>
      <c r="B1533" t="str">
        <f>'4L'!$AZ$117</f>
        <v>B0281ALC_TWD</v>
      </c>
      <c r="D1533" t="str">
        <f>_xlfn.CONCAT('4L'!$B$78, "-", '4L'!$B$117, "-", '4L'!$J$7, "-", '4L'!$G$6, "-", '4L'!$F$5)</f>
        <v>Other enhancement-Additional Line- Cwm Taf Water Supply-Treated water distribution-Water network+-Expenditure in report year</v>
      </c>
      <c r="E1533" t="str">
        <f>'4L'!$C$117</f>
        <v>Capex</v>
      </c>
      <c r="F1533" t="s">
        <v>17334</v>
      </c>
      <c r="G1533" t="str">
        <f>'4L'!$D$117</f>
        <v>£m</v>
      </c>
      <c r="O1533" t="str">
        <f>_xlfn.CONCAT('4L'!$B$78, "-", '4L'!$B$117, "-", '4L'!$J$7, "-", '4L'!$G$6, "-", '4L'!$F$5)</f>
        <v>Other enhancement-Additional Line- Cwm Taf Water Supply-Treated water distribution-Water network+-Expenditure in report year</v>
      </c>
    </row>
    <row r="1534" spans="1:15">
      <c r="A1534" t="s">
        <v>4187</v>
      </c>
      <c r="B1534" t="str">
        <f>'4L'!$BA$117</f>
        <v>B0281ALC_TOT</v>
      </c>
      <c r="D1534" t="str">
        <f>_xlfn.CONCAT('4L'!$B$78, "-", '4L'!$B$117, "-", '4L'!$K$6, "-", '4L'!$K$6, "-", '4L'!$F$5)</f>
        <v>Other enhancement-Additional Line- Cwm Taf Water Supply-Total-Total-Expenditure in report year</v>
      </c>
      <c r="E1534" t="str">
        <f>'4L'!$C$117</f>
        <v>Capex</v>
      </c>
      <c r="F1534" t="s">
        <v>17334</v>
      </c>
      <c r="G1534" t="str">
        <f>'4L'!$D$117</f>
        <v>£m</v>
      </c>
      <c r="O1534" t="str">
        <f>_xlfn.CONCAT('4L'!$B$78, "-", '4L'!$B$117, "-", '4L'!$K$6, "-", '4L'!$K$6, "-", '4L'!$F$5)</f>
        <v>Other enhancement-Additional Line- Cwm Taf Water Supply-Total-Total-Expenditure in report year</v>
      </c>
    </row>
    <row r="1535" spans="1:15">
      <c r="A1535" t="s">
        <v>4187</v>
      </c>
      <c r="B1535" t="str">
        <f>'4L'!$BH$117</f>
        <v>B0403AL2C_CUMME</v>
      </c>
      <c r="D1535" t="str">
        <f>_xlfn.CONCAT('4L'!$B$78, "-", '4L'!$B$117, "-", '4L'!$R$7, "-", '4L'!$R$5, "-", '4L'!$R$5)</f>
        <v>Other enhancement-Additional Line- Cwm Taf Water Supply-Total-Cumulative expenditure on all schemes to reporting year end-Cumulative expenditure on all schemes to reporting year end</v>
      </c>
      <c r="E1535" t="str">
        <f>'4L'!$C$117</f>
        <v>Capex</v>
      </c>
      <c r="F1535" t="s">
        <v>17334</v>
      </c>
      <c r="G1535" t="str">
        <f>'4L'!$D$117</f>
        <v>£m</v>
      </c>
      <c r="O1535" t="str">
        <f>_xlfn.CONCAT('4L'!$B$78, "-", '4L'!$B$117, "-", '4L'!$R$7, "-", '4L'!$R$5, "-", '4L'!$R$5)</f>
        <v>Other enhancement-Additional Line- Cwm Taf Water Supply-Total-Cumulative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Cwm Taf Water Supply-Total-Cumulative allowed expenditure on all schemes to reporting year end-Cumulative allowed expenditure on all schemes to reporting year end</v>
      </c>
      <c r="E1536" t="str">
        <f>'4L'!$C$117</f>
        <v>Capex</v>
      </c>
      <c r="F1536" t="s">
        <v>17334</v>
      </c>
      <c r="G1536" t="str">
        <f>'4L'!$D$117</f>
        <v>£m</v>
      </c>
      <c r="O1536" t="str">
        <f>_xlfn.CONCAT('4L'!$B$78, "-", '4L'!$B$117, "-", '4L'!$S$7, "-", '4L'!$S$5, "-", '4L'!$S$5)</f>
        <v>Other enhancement-Additional Line- Cwm Taf Water Supply-Total-Cumulative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Cwm Taf Water Supply-Total-Cumulative allowed expenditure on all schemes 2020-25-Cumulative allowed expenditure on all schemes 2020-25</v>
      </c>
      <c r="E1537" t="str">
        <f>'4L'!$C$117</f>
        <v>Capex</v>
      </c>
      <c r="F1537" t="s">
        <v>17334</v>
      </c>
      <c r="G1537" t="str">
        <f>'4L'!$D$117</f>
        <v>£m</v>
      </c>
      <c r="O1537" t="str">
        <f>_xlfn.CONCAT('4L'!$B$78, "-", '4L'!$B$117, "-", '4L'!$T$7, "-", '4L'!$T$5, "-", '4L'!$T$5)</f>
        <v>Other enhancement-Additional Line- Cwm Taf Water Supply-Total-Cumulative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Cwm Taf Water Supply-Water resources-Water resources-Expenditure in report year</v>
      </c>
      <c r="E1538" t="str">
        <f>'4L'!$C$118</f>
        <v>Opex</v>
      </c>
      <c r="F1538" t="s">
        <v>17334</v>
      </c>
      <c r="G1538" t="str">
        <f>'4L'!$D$118</f>
        <v>£m</v>
      </c>
      <c r="O1538" t="str">
        <f>_xlfn.CONCAT('4L'!$B$78, "-", '4L'!$B$118, "-", '4L'!$F$6, "-", '4L'!$F$6, "-", '4L'!$F$5)</f>
        <v>Other enhancement-Additional Line- Cwm Taf Water Supply-Water resources-Water resources-Expenditure in report year</v>
      </c>
    </row>
    <row r="1539" spans="1:15">
      <c r="A1539" t="s">
        <v>4187</v>
      </c>
      <c r="B1539" t="str">
        <f>'4L'!$AW$118</f>
        <v>B0282ALO_RWT</v>
      </c>
      <c r="D1539" t="str">
        <f>_xlfn.CONCAT('4L'!$B$78, "-", '4L'!$B$118, "-", '4L'!$G$7, "-", '4L'!$G$6, "-", '4L'!$F$5)</f>
        <v>Other enhancement-Additional Line- Cwm Taf Water Supply-Raw water transport-Water network+-Expenditure in report year</v>
      </c>
      <c r="E1539" t="str">
        <f>'4L'!$C$118</f>
        <v>Opex</v>
      </c>
      <c r="F1539" t="s">
        <v>17334</v>
      </c>
      <c r="G1539" t="str">
        <f>'4L'!$D$118</f>
        <v>£m</v>
      </c>
      <c r="O1539" t="str">
        <f>_xlfn.CONCAT('4L'!$B$78, "-", '4L'!$B$118, "-", '4L'!$G$7, "-", '4L'!$G$6, "-", '4L'!$F$5)</f>
        <v>Other enhancement-Additional Line- Cwm Taf Water Supply-Raw water transport-Water network+-Expenditure in report year</v>
      </c>
    </row>
    <row r="1540" spans="1:15">
      <c r="A1540" t="s">
        <v>4187</v>
      </c>
      <c r="B1540" t="str">
        <f>'4L'!$AX$118</f>
        <v>B0282ALO_RWS</v>
      </c>
      <c r="D1540" t="str">
        <f>_xlfn.CONCAT('4L'!$B$78, "-", '4L'!$B$118, "-", '4L'!$H$7, "-", '4L'!$G$6, "-", '4L'!$F$5)</f>
        <v>Other enhancement-Additional Line- Cwm Taf Water Supply-Raw water storage-Water network+-Expenditure in report year</v>
      </c>
      <c r="E1540" t="str">
        <f>'4L'!$C$118</f>
        <v>Opex</v>
      </c>
      <c r="F1540" t="s">
        <v>17334</v>
      </c>
      <c r="G1540" t="str">
        <f>'4L'!$D$118</f>
        <v>£m</v>
      </c>
      <c r="O1540" t="str">
        <f>_xlfn.CONCAT('4L'!$B$78, "-", '4L'!$B$118, "-", '4L'!$H$7, "-", '4L'!$G$6, "-", '4L'!$F$5)</f>
        <v>Other enhancement-Additional Line- Cwm Taf Water Supply-Raw water storage-Water network+-Expenditure in report year</v>
      </c>
    </row>
    <row r="1541" spans="1:15">
      <c r="A1541" t="s">
        <v>4187</v>
      </c>
      <c r="B1541" t="str">
        <f>'4L'!$AY$118</f>
        <v>B0282ALO_WT</v>
      </c>
      <c r="D1541" t="str">
        <f>_xlfn.CONCAT('4L'!$B$78, "-", '4L'!$B$118, "-", '4L'!$I$7, "-", '4L'!$G$6, "-", '4L'!$F$5)</f>
        <v>Other enhancement-Additional Line- Cwm Taf Water Supply-Water treatment-Water network+-Expenditure in report year</v>
      </c>
      <c r="E1541" t="str">
        <f>'4L'!$C$118</f>
        <v>Opex</v>
      </c>
      <c r="F1541" t="s">
        <v>17334</v>
      </c>
      <c r="G1541" t="str">
        <f>'4L'!$D$118</f>
        <v>£m</v>
      </c>
      <c r="O1541" t="str">
        <f>_xlfn.CONCAT('4L'!$B$78, "-", '4L'!$B$118, "-", '4L'!$I$7, "-", '4L'!$G$6, "-", '4L'!$F$5)</f>
        <v>Other enhancement-Additional Line- Cwm Taf Water Supply-Water treatment-Water network+-Expenditure in report year</v>
      </c>
    </row>
    <row r="1542" spans="1:15">
      <c r="A1542" t="s">
        <v>4187</v>
      </c>
      <c r="B1542" t="str">
        <f>'4L'!$AZ$118</f>
        <v>B0282ALO_TWD</v>
      </c>
      <c r="D1542" t="str">
        <f>_xlfn.CONCAT('4L'!$B$78, "-", '4L'!$B$118, "-", '4L'!$J$7, "-", '4L'!$G$6, "-", '4L'!$F$5)</f>
        <v>Other enhancement-Additional Line- Cwm Taf Water Supply-Treated water distribution-Water network+-Expenditure in report year</v>
      </c>
      <c r="E1542" t="str">
        <f>'4L'!$C$118</f>
        <v>Opex</v>
      </c>
      <c r="F1542" t="s">
        <v>17334</v>
      </c>
      <c r="G1542" t="str">
        <f>'4L'!$D$118</f>
        <v>£m</v>
      </c>
      <c r="O1542" t="str">
        <f>_xlfn.CONCAT('4L'!$B$78, "-", '4L'!$B$118, "-", '4L'!$J$7, "-", '4L'!$G$6, "-", '4L'!$F$5)</f>
        <v>Other enhancement-Additional Line- Cwm Taf Water Supply-Treated water distribution-Water network+-Expenditure in report year</v>
      </c>
    </row>
    <row r="1543" spans="1:15">
      <c r="A1543" t="s">
        <v>4187</v>
      </c>
      <c r="B1543" t="str">
        <f>'4L'!$BA$118</f>
        <v>B0282ALO_TOT</v>
      </c>
      <c r="D1543" t="str">
        <f>_xlfn.CONCAT('4L'!$B$78, "-", '4L'!$B$118, "-", '4L'!$K$6, "-", '4L'!$K$6, "-", '4L'!$F$5)</f>
        <v>Other enhancement-Additional Line- Cwm Taf Water Supply-Total-Total-Expenditure in report year</v>
      </c>
      <c r="E1543" t="str">
        <f>'4L'!$C$118</f>
        <v>Opex</v>
      </c>
      <c r="F1543" t="s">
        <v>17334</v>
      </c>
      <c r="G1543" t="str">
        <f>'4L'!$D$118</f>
        <v>£m</v>
      </c>
      <c r="O1543" t="str">
        <f>_xlfn.CONCAT('4L'!$B$78, "-", '4L'!$B$118, "-", '4L'!$K$6, "-", '4L'!$K$6, "-", '4L'!$F$5)</f>
        <v>Other enhancement-Additional Line- Cwm Taf Water Supply-Total-Total-Expenditure in report year</v>
      </c>
    </row>
    <row r="1544" spans="1:15">
      <c r="A1544" t="s">
        <v>4187</v>
      </c>
      <c r="B1544" t="str">
        <f>'4L'!$BH$118</f>
        <v>B0404AL2O_CUMME</v>
      </c>
      <c r="D1544" t="str">
        <f>_xlfn.CONCAT('4L'!$B$78, "-", '4L'!$B$118, "-", '4L'!$R$7, "-", '4L'!$R$5, "-", '4L'!$R$5)</f>
        <v>Other enhancement-Additional Line- Cwm Taf Water Supply-Total-Cumulative expenditure on all schemes to reporting year end-Cumulative expenditure on all schemes to reporting year end</v>
      </c>
      <c r="E1544" t="str">
        <f>'4L'!$C$118</f>
        <v>Opex</v>
      </c>
      <c r="F1544" t="s">
        <v>17334</v>
      </c>
      <c r="G1544" t="str">
        <f>'4L'!$D$118</f>
        <v>£m</v>
      </c>
      <c r="O1544" t="str">
        <f>_xlfn.CONCAT('4L'!$B$78, "-", '4L'!$B$118, "-", '4L'!$R$7, "-", '4L'!$R$5, "-", '4L'!$R$5)</f>
        <v>Other enhancement-Additional Line- Cwm Taf Water Supply-Total-Cumulative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Cwm Taf Water Supply-Total-Cumulative allowed expenditure on all schemes to reporting year end-Cumulative allowed expenditure on all schemes to reporting year end</v>
      </c>
      <c r="E1545" t="str">
        <f>'4L'!$C$118</f>
        <v>Opex</v>
      </c>
      <c r="F1545" t="s">
        <v>17334</v>
      </c>
      <c r="G1545" t="str">
        <f>'4L'!$D$118</f>
        <v>£m</v>
      </c>
      <c r="O1545" t="str">
        <f>_xlfn.CONCAT('4L'!$B$78, "-", '4L'!$B$118, "-", '4L'!$S$7, "-", '4L'!$S$5, "-", '4L'!$S$5)</f>
        <v>Other enhancement-Additional Line- Cwm Taf Water Supply-Total-Cumulative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Cwm Taf Water Supply-Total-Cumulative allowed expenditure on all schemes 2020-25-Cumulative allowed expenditure on all schemes 2020-25</v>
      </c>
      <c r="E1546" t="str">
        <f>'4L'!$C$118</f>
        <v>Opex</v>
      </c>
      <c r="F1546" t="s">
        <v>17334</v>
      </c>
      <c r="G1546" t="str">
        <f>'4L'!$D$118</f>
        <v>£m</v>
      </c>
      <c r="O1546" t="str">
        <f>_xlfn.CONCAT('4L'!$B$78, "-", '4L'!$B$118, "-", '4L'!$T$7, "-", '4L'!$T$5, "-", '4L'!$T$5)</f>
        <v>Other enhancement-Additional Line- Cwm Taf Water Supply-Total-Cumulative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Visitor Centre-Water resources-Water resources-Expenditure in report year</v>
      </c>
      <c r="E1547" t="str">
        <f>'4L'!$C$119</f>
        <v>Capex</v>
      </c>
      <c r="F1547" t="s">
        <v>17334</v>
      </c>
      <c r="G1547" t="str">
        <f>'4L'!$D$119</f>
        <v>£m</v>
      </c>
      <c r="O1547" t="str">
        <f>_xlfn.CONCAT('4L'!$B$78, "-", '4L'!$B$119, "-", '4L'!$F$6, "-", '4L'!$F$6, "-", '4L'!$F$5)</f>
        <v>Other enhancement-Additional Line- Visitor Centre-Water resources-Water resources-Expenditure in report year</v>
      </c>
    </row>
    <row r="1548" spans="1:15">
      <c r="A1548" t="s">
        <v>4187</v>
      </c>
      <c r="B1548" t="str">
        <f>'4L'!$AW$119</f>
        <v>B0283ALC_RWT</v>
      </c>
      <c r="D1548" t="str">
        <f>_xlfn.CONCAT('4L'!$B$78, "-", '4L'!$B$119, "-", '4L'!$G$7, "-", '4L'!$G$6, "-", '4L'!$F$5)</f>
        <v>Other enhancement-Additional Line- Visitor Centre-Raw water transport-Water network+-Expenditure in report year</v>
      </c>
      <c r="E1548" t="str">
        <f>'4L'!$C$119</f>
        <v>Capex</v>
      </c>
      <c r="F1548" t="s">
        <v>17334</v>
      </c>
      <c r="G1548" t="str">
        <f>'4L'!$D$119</f>
        <v>£m</v>
      </c>
      <c r="O1548" t="str">
        <f>_xlfn.CONCAT('4L'!$B$78, "-", '4L'!$B$119, "-", '4L'!$G$7, "-", '4L'!$G$6, "-", '4L'!$F$5)</f>
        <v>Other enhancement-Additional Line- Visitor Centre-Raw water transport-Water network+-Expenditure in report year</v>
      </c>
    </row>
    <row r="1549" spans="1:15">
      <c r="A1549" t="s">
        <v>4187</v>
      </c>
      <c r="B1549" t="str">
        <f>'4L'!$AX$119</f>
        <v>B0283ALC_RWS</v>
      </c>
      <c r="D1549" t="str">
        <f>_xlfn.CONCAT('4L'!$B$78, "-", '4L'!$B$119, "-", '4L'!$H$7, "-", '4L'!$G$6, "-", '4L'!$F$5)</f>
        <v>Other enhancement-Additional Line- Visitor Centre-Raw water storage-Water network+-Expenditure in report year</v>
      </c>
      <c r="E1549" t="str">
        <f>'4L'!$C$119</f>
        <v>Capex</v>
      </c>
      <c r="F1549" t="s">
        <v>17334</v>
      </c>
      <c r="G1549" t="str">
        <f>'4L'!$D$119</f>
        <v>£m</v>
      </c>
      <c r="O1549" t="str">
        <f>_xlfn.CONCAT('4L'!$B$78, "-", '4L'!$B$119, "-", '4L'!$H$7, "-", '4L'!$G$6, "-", '4L'!$F$5)</f>
        <v>Other enhancement-Additional Line- Visitor Centre-Raw water storage-Water network+-Expenditure in report year</v>
      </c>
    </row>
    <row r="1550" spans="1:15">
      <c r="A1550" t="s">
        <v>4187</v>
      </c>
      <c r="B1550" t="str">
        <f>'4L'!$AY$119</f>
        <v>B0283ALC_WT</v>
      </c>
      <c r="D1550" t="str">
        <f>_xlfn.CONCAT('4L'!$B$78, "-", '4L'!$B$119, "-", '4L'!$I$7, "-", '4L'!$G$6, "-", '4L'!$F$5)</f>
        <v>Other enhancement-Additional Line- Visitor Centre-Water treatment-Water network+-Expenditure in report year</v>
      </c>
      <c r="E1550" t="str">
        <f>'4L'!$C$119</f>
        <v>Capex</v>
      </c>
      <c r="F1550" t="s">
        <v>17334</v>
      </c>
      <c r="G1550" t="str">
        <f>'4L'!$D$119</f>
        <v>£m</v>
      </c>
      <c r="O1550" t="str">
        <f>_xlfn.CONCAT('4L'!$B$78, "-", '4L'!$B$119, "-", '4L'!$I$7, "-", '4L'!$G$6, "-", '4L'!$F$5)</f>
        <v>Other enhancement-Additional Line- Visitor Centre-Water treatment-Water network+-Expenditure in report year</v>
      </c>
    </row>
    <row r="1551" spans="1:15">
      <c r="A1551" t="s">
        <v>4187</v>
      </c>
      <c r="B1551" t="str">
        <f>'4L'!$AZ$119</f>
        <v>B0283ALC_TWD</v>
      </c>
      <c r="D1551" t="str">
        <f>_xlfn.CONCAT('4L'!$B$78, "-", '4L'!$B$119, "-", '4L'!$J$7, "-", '4L'!$G$6, "-", '4L'!$F$5)</f>
        <v>Other enhancement-Additional Line- Visitor Centre-Treated water distribution-Water network+-Expenditure in report year</v>
      </c>
      <c r="E1551" t="str">
        <f>'4L'!$C$119</f>
        <v>Capex</v>
      </c>
      <c r="F1551" t="s">
        <v>17334</v>
      </c>
      <c r="G1551" t="str">
        <f>'4L'!$D$119</f>
        <v>£m</v>
      </c>
      <c r="O1551" t="str">
        <f>_xlfn.CONCAT('4L'!$B$78, "-", '4L'!$B$119, "-", '4L'!$J$7, "-", '4L'!$G$6, "-", '4L'!$F$5)</f>
        <v>Other enhancement-Additional Line- Visitor Centre-Treated water distribution-Water network+-Expenditure in report year</v>
      </c>
    </row>
    <row r="1552" spans="1:15">
      <c r="A1552" t="s">
        <v>4187</v>
      </c>
      <c r="B1552" t="str">
        <f>'4L'!$BA$119</f>
        <v>B0283ALC_TOT</v>
      </c>
      <c r="D1552" t="str">
        <f>_xlfn.CONCAT('4L'!$B$78, "-", '4L'!$B$119, "-", '4L'!$K$6, "-", '4L'!$K$6, "-", '4L'!$F$5)</f>
        <v>Other enhancement-Additional Line- Visitor Centre-Total-Total-Expenditure in report year</v>
      </c>
      <c r="E1552" t="str">
        <f>'4L'!$C$119</f>
        <v>Capex</v>
      </c>
      <c r="F1552" t="s">
        <v>17334</v>
      </c>
      <c r="G1552" t="str">
        <f>'4L'!$D$119</f>
        <v>£m</v>
      </c>
      <c r="O1552" t="str">
        <f>_xlfn.CONCAT('4L'!$B$78, "-", '4L'!$B$119, "-", '4L'!$K$6, "-", '4L'!$K$6, "-", '4L'!$F$5)</f>
        <v>Other enhancement-Additional Line- Visitor Centre-Total-Total-Expenditure in report year</v>
      </c>
    </row>
    <row r="1553" spans="1:15">
      <c r="A1553" t="s">
        <v>4187</v>
      </c>
      <c r="B1553" t="str">
        <f>'4L'!$BH$119</f>
        <v>B0405AL3C_CUMME</v>
      </c>
      <c r="D1553" t="str">
        <f>_xlfn.CONCAT('4L'!$B$78, "-", '4L'!$B$119, "-", '4L'!$R$7, "-", '4L'!$R$5, "-", '4L'!$R$5)</f>
        <v>Other enhancement-Additional Line- Visitor Centre-Total-Cumulative expenditure on all schemes to reporting year end-Cumulative expenditure on all schemes to reporting year end</v>
      </c>
      <c r="E1553" t="str">
        <f>'4L'!$C$119</f>
        <v>Capex</v>
      </c>
      <c r="F1553" t="s">
        <v>17334</v>
      </c>
      <c r="G1553" t="str">
        <f>'4L'!$D$119</f>
        <v>£m</v>
      </c>
      <c r="O1553" t="str">
        <f>_xlfn.CONCAT('4L'!$B$78, "-", '4L'!$B$119, "-", '4L'!$R$7, "-", '4L'!$R$5, "-", '4L'!$R$5)</f>
        <v>Other enhancement-Additional Line- Visitor Centre-Total-Cumulative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Visitor Centre-Total-Cumulative allowed expenditure on all schemes to reporting year end-Cumulative allowed expenditure on all schemes to reporting year end</v>
      </c>
      <c r="E1554" t="str">
        <f>'4L'!$C$119</f>
        <v>Capex</v>
      </c>
      <c r="F1554" t="s">
        <v>17334</v>
      </c>
      <c r="G1554" t="str">
        <f>'4L'!$D$119</f>
        <v>£m</v>
      </c>
      <c r="O1554" t="str">
        <f>_xlfn.CONCAT('4L'!$B$78, "-", '4L'!$B$119, "-", '4L'!$S$7, "-", '4L'!$S$5, "-", '4L'!$S$5)</f>
        <v>Other enhancement-Additional Line- Visitor Centre-Total-Cumulative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Visitor Centre-Total-Cumulative allowed expenditure on all schemes 2020-25-Cumulative allowed expenditure on all schemes 2020-25</v>
      </c>
      <c r="E1555" t="str">
        <f>'4L'!$C$119</f>
        <v>Capex</v>
      </c>
      <c r="F1555" t="s">
        <v>17334</v>
      </c>
      <c r="G1555" t="str">
        <f>'4L'!$D$119</f>
        <v>£m</v>
      </c>
      <c r="O1555" t="str">
        <f>_xlfn.CONCAT('4L'!$B$78, "-", '4L'!$B$119, "-", '4L'!$T$7, "-", '4L'!$T$5, "-", '4L'!$T$5)</f>
        <v>Other enhancement-Additional Line- Visitor Centre-Total-Cumulative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Visitor Centre-Water resources-Water resources-Expenditure in report year</v>
      </c>
      <c r="E1556" t="str">
        <f>'4L'!$C$120</f>
        <v>Opex</v>
      </c>
      <c r="F1556" t="s">
        <v>17334</v>
      </c>
      <c r="G1556" t="str">
        <f>'4L'!$D$120</f>
        <v>£m</v>
      </c>
      <c r="O1556" t="str">
        <f>_xlfn.CONCAT('4L'!$B$78, "-", '4L'!$B$120, "-", '4L'!$F$6, "-", '4L'!$F$6, "-", '4L'!$F$5)</f>
        <v>Other enhancement-Additional Line- Visitor Centre-Water resources-Water resources-Expenditure in report year</v>
      </c>
    </row>
    <row r="1557" spans="1:15">
      <c r="A1557" t="s">
        <v>4187</v>
      </c>
      <c r="B1557" t="str">
        <f>'4L'!$AW$120</f>
        <v>B0284ALO_RWT</v>
      </c>
      <c r="D1557" t="str">
        <f>_xlfn.CONCAT('4L'!$B$78, "-", '4L'!$B$120, "-", '4L'!$G$7, "-", '4L'!$G$6, "-", '4L'!$F$5)</f>
        <v>Other enhancement-Additional Line- Visitor Centre-Raw water transport-Water network+-Expenditure in report year</v>
      </c>
      <c r="E1557" t="str">
        <f>'4L'!$C$120</f>
        <v>Opex</v>
      </c>
      <c r="F1557" t="s">
        <v>17334</v>
      </c>
      <c r="G1557" t="str">
        <f>'4L'!$D$120</f>
        <v>£m</v>
      </c>
      <c r="O1557" t="str">
        <f>_xlfn.CONCAT('4L'!$B$78, "-", '4L'!$B$120, "-", '4L'!$G$7, "-", '4L'!$G$6, "-", '4L'!$F$5)</f>
        <v>Other enhancement-Additional Line- Visitor Centre-Raw water transport-Water network+-Expenditure in report year</v>
      </c>
    </row>
    <row r="1558" spans="1:15">
      <c r="A1558" t="s">
        <v>4187</v>
      </c>
      <c r="B1558" t="str">
        <f>'4L'!$AX$120</f>
        <v>B0284ALO_RWS</v>
      </c>
      <c r="D1558" t="str">
        <f>_xlfn.CONCAT('4L'!$B$78, "-", '4L'!$B$120, "-", '4L'!$H$7, "-", '4L'!$G$6, "-", '4L'!$F$5)</f>
        <v>Other enhancement-Additional Line- Visitor Centre-Raw water storage-Water network+-Expenditure in report year</v>
      </c>
      <c r="E1558" t="str">
        <f>'4L'!$C$120</f>
        <v>Opex</v>
      </c>
      <c r="F1558" t="s">
        <v>17334</v>
      </c>
      <c r="G1558" t="str">
        <f>'4L'!$D$120</f>
        <v>£m</v>
      </c>
      <c r="O1558" t="str">
        <f>_xlfn.CONCAT('4L'!$B$78, "-", '4L'!$B$120, "-", '4L'!$H$7, "-", '4L'!$G$6, "-", '4L'!$F$5)</f>
        <v>Other enhancement-Additional Line- Visitor Centre-Raw water storage-Water network+-Expenditure in report year</v>
      </c>
    </row>
    <row r="1559" spans="1:15">
      <c r="A1559" t="s">
        <v>4187</v>
      </c>
      <c r="B1559" t="str">
        <f>'4L'!$AY$120</f>
        <v>B0284ALO_WT</v>
      </c>
      <c r="D1559" t="str">
        <f>_xlfn.CONCAT('4L'!$B$78, "-", '4L'!$B$120, "-", '4L'!$I$7, "-", '4L'!$G$6, "-", '4L'!$F$5)</f>
        <v>Other enhancement-Additional Line- Visitor Centre-Water treatment-Water network+-Expenditure in report year</v>
      </c>
      <c r="E1559" t="str">
        <f>'4L'!$C$120</f>
        <v>Opex</v>
      </c>
      <c r="F1559" t="s">
        <v>17334</v>
      </c>
      <c r="G1559" t="str">
        <f>'4L'!$D$120</f>
        <v>£m</v>
      </c>
      <c r="O1559" t="str">
        <f>_xlfn.CONCAT('4L'!$B$78, "-", '4L'!$B$120, "-", '4L'!$I$7, "-", '4L'!$G$6, "-", '4L'!$F$5)</f>
        <v>Other enhancement-Additional Line- Visitor Centre-Water treatment-Water network+-Expenditure in report year</v>
      </c>
    </row>
    <row r="1560" spans="1:15">
      <c r="A1560" t="s">
        <v>4187</v>
      </c>
      <c r="B1560" t="str">
        <f>'4L'!$AZ$120</f>
        <v>B0284ALO_TWD</v>
      </c>
      <c r="D1560" t="str">
        <f>_xlfn.CONCAT('4L'!$B$78, "-", '4L'!$B$120, "-", '4L'!$J$7, "-", '4L'!$G$6, "-", '4L'!$F$5)</f>
        <v>Other enhancement-Additional Line- Visitor Centre-Treated water distribution-Water network+-Expenditure in report year</v>
      </c>
      <c r="E1560" t="str">
        <f>'4L'!$C$120</f>
        <v>Opex</v>
      </c>
      <c r="F1560" t="s">
        <v>17334</v>
      </c>
      <c r="G1560" t="str">
        <f>'4L'!$D$120</f>
        <v>£m</v>
      </c>
      <c r="O1560" t="str">
        <f>_xlfn.CONCAT('4L'!$B$78, "-", '4L'!$B$120, "-", '4L'!$J$7, "-", '4L'!$G$6, "-", '4L'!$F$5)</f>
        <v>Other enhancement-Additional Line- Visitor Centre-Treated water distribution-Water network+-Expenditure in report year</v>
      </c>
    </row>
    <row r="1561" spans="1:15">
      <c r="A1561" t="s">
        <v>4187</v>
      </c>
      <c r="B1561" t="str">
        <f>'4L'!$BA$120</f>
        <v>B0284ALO_TOT</v>
      </c>
      <c r="D1561" t="str">
        <f>_xlfn.CONCAT('4L'!$B$78, "-", '4L'!$B$120, "-", '4L'!$K$6, "-", '4L'!$K$6, "-", '4L'!$F$5)</f>
        <v>Other enhancement-Additional Line- Visitor Centre-Total-Total-Expenditure in report year</v>
      </c>
      <c r="E1561" t="str">
        <f>'4L'!$C$120</f>
        <v>Opex</v>
      </c>
      <c r="F1561" t="s">
        <v>17334</v>
      </c>
      <c r="G1561" t="str">
        <f>'4L'!$D$120</f>
        <v>£m</v>
      </c>
      <c r="O1561" t="str">
        <f>_xlfn.CONCAT('4L'!$B$78, "-", '4L'!$B$120, "-", '4L'!$K$6, "-", '4L'!$K$6, "-", '4L'!$F$5)</f>
        <v>Other enhancement-Additional Line- Visitor Centre-Total-Total-Expenditure in report year</v>
      </c>
    </row>
    <row r="1562" spans="1:15">
      <c r="A1562" t="s">
        <v>4187</v>
      </c>
      <c r="B1562" t="str">
        <f>'4L'!$BH$120</f>
        <v>B0406AL3O_CUMME</v>
      </c>
      <c r="D1562" t="str">
        <f>_xlfn.CONCAT('4L'!$B$78, "-", '4L'!$B$120, "-", '4L'!$R$7, "-", '4L'!$R$5, "-", '4L'!$R$5)</f>
        <v>Other enhancement-Additional Line- Visitor Centre-Total-Cumulative expenditure on all schemes to reporting year end-Cumulative expenditure on all schemes to reporting year end</v>
      </c>
      <c r="E1562" t="str">
        <f>'4L'!$C$120</f>
        <v>Opex</v>
      </c>
      <c r="F1562" t="s">
        <v>17334</v>
      </c>
      <c r="G1562" t="str">
        <f>'4L'!$D$120</f>
        <v>£m</v>
      </c>
      <c r="O1562" t="str">
        <f>_xlfn.CONCAT('4L'!$B$78, "-", '4L'!$B$120, "-", '4L'!$R$7, "-", '4L'!$R$5, "-", '4L'!$R$5)</f>
        <v>Other enhancement-Additional Line- Visitor Centre-Total-Cumulative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Visitor Centre-Total-Cumulative allowed expenditure on all schemes to reporting year end-Cumulative allowed expenditure on all schemes to reporting year end</v>
      </c>
      <c r="E1563" t="str">
        <f>'4L'!$C$120</f>
        <v>Opex</v>
      </c>
      <c r="F1563" t="s">
        <v>17334</v>
      </c>
      <c r="G1563" t="str">
        <f>'4L'!$D$120</f>
        <v>£m</v>
      </c>
      <c r="O1563" t="str">
        <f>_xlfn.CONCAT('4L'!$B$78, "-", '4L'!$B$120, "-", '4L'!$S$7, "-", '4L'!$S$5, "-", '4L'!$S$5)</f>
        <v>Other enhancement-Additional Line- Visitor Centre-Total-Cumulative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Visitor Centre-Total-Cumulative allowed expenditure on all schemes 2020-25-Cumulative allowed expenditure on all schemes 2020-25</v>
      </c>
      <c r="E1564" t="str">
        <f>'4L'!$C$120</f>
        <v>Opex</v>
      </c>
      <c r="F1564" t="s">
        <v>17334</v>
      </c>
      <c r="G1564" t="str">
        <f>'4L'!$D$120</f>
        <v>£m</v>
      </c>
      <c r="O1564" t="str">
        <f>_xlfn.CONCAT('4L'!$B$78, "-", '4L'!$B$120, "-", '4L'!$T$7, "-", '4L'!$T$5, "-", '4L'!$T$5)</f>
        <v>Other enhancement-Additional Line- Visitor Centre-Total-Cumulative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LOW PRESSURE-Water resources-Water resources-Expenditure in report year</v>
      </c>
      <c r="E1565" t="str">
        <f>'4L'!$C$121</f>
        <v>Capex</v>
      </c>
      <c r="F1565" t="s">
        <v>17334</v>
      </c>
      <c r="G1565" t="str">
        <f>'4L'!$D$121</f>
        <v>£m</v>
      </c>
      <c r="O1565" t="str">
        <f>_xlfn.CONCAT('4L'!$B$78, "-", '4L'!$B$121, "-", '4L'!$F$6, "-", '4L'!$F$6, "-", '4L'!$F$5)</f>
        <v>Other enhancement-Additional Line- LOW PRESSURE-Water resources-Water resources-Expenditure in report year</v>
      </c>
    </row>
    <row r="1566" spans="1:15">
      <c r="A1566" t="s">
        <v>4187</v>
      </c>
      <c r="B1566" t="str">
        <f>'4L'!$AW$121</f>
        <v>B0285ALC_RWT</v>
      </c>
      <c r="D1566" t="str">
        <f>_xlfn.CONCAT('4L'!$B$78, "-", '4L'!$B$121, "-", '4L'!$G$7, "-", '4L'!$G$6, "-", '4L'!$F$5)</f>
        <v>Other enhancement-Additional Line- LOW PRESSURE-Raw water transport-Water network+-Expenditure in report year</v>
      </c>
      <c r="E1566" t="str">
        <f>'4L'!$C$121</f>
        <v>Capex</v>
      </c>
      <c r="F1566" t="s">
        <v>17334</v>
      </c>
      <c r="G1566" t="str">
        <f>'4L'!$D$121</f>
        <v>£m</v>
      </c>
      <c r="O1566" t="str">
        <f>_xlfn.CONCAT('4L'!$B$78, "-", '4L'!$B$121, "-", '4L'!$G$7, "-", '4L'!$G$6, "-", '4L'!$F$5)</f>
        <v>Other enhancement-Additional Line- LOW PRESSURE-Raw water transport-Water network+-Expenditure in report year</v>
      </c>
    </row>
    <row r="1567" spans="1:15">
      <c r="A1567" t="s">
        <v>4187</v>
      </c>
      <c r="B1567" t="str">
        <f>'4L'!$AX$121</f>
        <v>B0285ALC_RWS</v>
      </c>
      <c r="D1567" t="str">
        <f>_xlfn.CONCAT('4L'!$B$78, "-", '4L'!$B$121, "-", '4L'!$H$7, "-", '4L'!$G$6, "-", '4L'!$F$5)</f>
        <v>Other enhancement-Additional Line- LOW PRESSURE-Raw water storage-Water network+-Expenditure in report year</v>
      </c>
      <c r="E1567" t="str">
        <f>'4L'!$C$121</f>
        <v>Capex</v>
      </c>
      <c r="F1567" t="s">
        <v>17334</v>
      </c>
      <c r="G1567" t="str">
        <f>'4L'!$D$121</f>
        <v>£m</v>
      </c>
      <c r="O1567" t="str">
        <f>_xlfn.CONCAT('4L'!$B$78, "-", '4L'!$B$121, "-", '4L'!$H$7, "-", '4L'!$G$6, "-", '4L'!$F$5)</f>
        <v>Other enhancement-Additional Line- LOW PRESSURE-Raw water storage-Water network+-Expenditure in report year</v>
      </c>
    </row>
    <row r="1568" spans="1:15">
      <c r="A1568" t="s">
        <v>4187</v>
      </c>
      <c r="B1568" t="str">
        <f>'4L'!$AY$121</f>
        <v>B0285ALC_WT</v>
      </c>
      <c r="D1568" t="str">
        <f>_xlfn.CONCAT('4L'!$B$78, "-", '4L'!$B$121, "-", '4L'!$I$7, "-", '4L'!$G$6, "-", '4L'!$F$5)</f>
        <v>Other enhancement-Additional Line- LOW PRESSURE-Water treatment-Water network+-Expenditure in report year</v>
      </c>
      <c r="E1568" t="str">
        <f>'4L'!$C$121</f>
        <v>Capex</v>
      </c>
      <c r="F1568" t="s">
        <v>17334</v>
      </c>
      <c r="G1568" t="str">
        <f>'4L'!$D$121</f>
        <v>£m</v>
      </c>
      <c r="O1568" t="str">
        <f>_xlfn.CONCAT('4L'!$B$78, "-", '4L'!$B$121, "-", '4L'!$I$7, "-", '4L'!$G$6, "-", '4L'!$F$5)</f>
        <v>Other enhancement-Additional Line- LOW PRESSURE-Water treatment-Water network+-Expenditure in report year</v>
      </c>
    </row>
    <row r="1569" spans="1:15">
      <c r="A1569" t="s">
        <v>4187</v>
      </c>
      <c r="B1569" t="str">
        <f>'4L'!$AZ$121</f>
        <v>B0285ALC_TWD</v>
      </c>
      <c r="D1569" t="str">
        <f>_xlfn.CONCAT('4L'!$B$78, "-", '4L'!$B$121, "-", '4L'!$J$7, "-", '4L'!$G$6, "-", '4L'!$F$5)</f>
        <v>Other enhancement-Additional Line- LOW PRESSURE-Treated water distribution-Water network+-Expenditure in report year</v>
      </c>
      <c r="E1569" t="str">
        <f>'4L'!$C$121</f>
        <v>Capex</v>
      </c>
      <c r="F1569" t="s">
        <v>17334</v>
      </c>
      <c r="G1569" t="str">
        <f>'4L'!$D$121</f>
        <v>£m</v>
      </c>
      <c r="O1569" t="str">
        <f>_xlfn.CONCAT('4L'!$B$78, "-", '4L'!$B$121, "-", '4L'!$J$7, "-", '4L'!$G$6, "-", '4L'!$F$5)</f>
        <v>Other enhancement-Additional Line- LOW PRESSURE-Treated water distribution-Water network+-Expenditure in report year</v>
      </c>
    </row>
    <row r="1570" spans="1:15">
      <c r="A1570" t="s">
        <v>4187</v>
      </c>
      <c r="B1570" t="str">
        <f>'4L'!$BA$121</f>
        <v>B0285ALC_TOT</v>
      </c>
      <c r="D1570" t="str">
        <f>_xlfn.CONCAT('4L'!$B$78, "-", '4L'!$B$121, "-", '4L'!$K$6, "-", '4L'!$K$6, "-", '4L'!$F$5)</f>
        <v>Other enhancement-Additional Line- LOW PRESSURE-Total-Total-Expenditure in report year</v>
      </c>
      <c r="E1570" t="str">
        <f>'4L'!$C$121</f>
        <v>Capex</v>
      </c>
      <c r="F1570" t="s">
        <v>17334</v>
      </c>
      <c r="G1570" t="str">
        <f>'4L'!$D$121</f>
        <v>£m</v>
      </c>
      <c r="O1570" t="str">
        <f>_xlfn.CONCAT('4L'!$B$78, "-", '4L'!$B$121, "-", '4L'!$K$6, "-", '4L'!$K$6, "-", '4L'!$F$5)</f>
        <v>Other enhancement-Additional Line- LOW PRESSURE-Total-Total-Expenditure in report year</v>
      </c>
    </row>
    <row r="1571" spans="1:15">
      <c r="A1571" t="s">
        <v>4187</v>
      </c>
      <c r="B1571" t="str">
        <f>'4L'!$BH$121</f>
        <v>B0407AL4C_CUMME</v>
      </c>
      <c r="D1571" t="str">
        <f>_xlfn.CONCAT('4L'!$B$78, "-", '4L'!$B$121, "-", '4L'!$R$7, "-", '4L'!$R$5, "-", '4L'!$R$5)</f>
        <v>Other enhancement-Additional Line- LOW PRESSURE-Total-Cumulative expenditure on all schemes to reporting year end-Cumulative expenditure on all schemes to reporting year end</v>
      </c>
      <c r="E1571" t="str">
        <f>'4L'!$C$121</f>
        <v>Capex</v>
      </c>
      <c r="F1571" t="s">
        <v>17334</v>
      </c>
      <c r="G1571" t="str">
        <f>'4L'!$D$121</f>
        <v>£m</v>
      </c>
      <c r="O1571" t="str">
        <f>_xlfn.CONCAT('4L'!$B$78, "-", '4L'!$B$121, "-", '4L'!$R$7, "-", '4L'!$R$5, "-", '4L'!$R$5)</f>
        <v>Other enhancement-Additional Line- LOW PRESSURE-Total-Cumulative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LOW PRESSURE-Total-Cumulative allowed expenditure on all schemes to reporting year end-Cumulative allowed expenditure on all schemes to reporting year end</v>
      </c>
      <c r="E1572" t="str">
        <f>'4L'!$C$121</f>
        <v>Capex</v>
      </c>
      <c r="F1572" t="s">
        <v>17334</v>
      </c>
      <c r="G1572" t="str">
        <f>'4L'!$D$121</f>
        <v>£m</v>
      </c>
      <c r="O1572" t="str">
        <f>_xlfn.CONCAT('4L'!$B$78, "-", '4L'!$B$121, "-", '4L'!$S$7, "-", '4L'!$S$5, "-", '4L'!$S$5)</f>
        <v>Other enhancement-Additional Line- LOW PRESSURE-Total-Cumulative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LOW PRESSURE-Total-Cumulative allowed expenditure on all schemes 2020-25-Cumulative allowed expenditure on all schemes 2020-25</v>
      </c>
      <c r="E1573" t="str">
        <f>'4L'!$C$121</f>
        <v>Capex</v>
      </c>
      <c r="F1573" t="s">
        <v>17334</v>
      </c>
      <c r="G1573" t="str">
        <f>'4L'!$D$121</f>
        <v>£m</v>
      </c>
      <c r="O1573" t="str">
        <f>_xlfn.CONCAT('4L'!$B$78, "-", '4L'!$B$121, "-", '4L'!$T$7, "-", '4L'!$T$5, "-", '4L'!$T$5)</f>
        <v>Other enhancement-Additional Line- LOW PRESSURE-Total-Cumulative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LOW PRESSURE-Water resources-Water resources-Expenditure in report year</v>
      </c>
      <c r="E1574" t="str">
        <f>'4L'!$C$122</f>
        <v>Opex</v>
      </c>
      <c r="F1574" t="s">
        <v>17334</v>
      </c>
      <c r="G1574" t="str">
        <f>'4L'!$D$122</f>
        <v>£m</v>
      </c>
      <c r="O1574" t="str">
        <f>_xlfn.CONCAT('4L'!$B$78, "-", '4L'!$B$122, "-", '4L'!$F$6, "-", '4L'!$F$6, "-", '4L'!$F$5)</f>
        <v>Other enhancement-Additional Line- LOW PRESSURE-Water resources-Water resources-Expenditure in report year</v>
      </c>
    </row>
    <row r="1575" spans="1:15">
      <c r="A1575" t="s">
        <v>4187</v>
      </c>
      <c r="B1575" t="str">
        <f>'4L'!$AW$122</f>
        <v>B0286ALO_RWT</v>
      </c>
      <c r="D1575" t="str">
        <f>_xlfn.CONCAT('4L'!$B$78, "-", '4L'!$B$122, "-", '4L'!$G$7, "-", '4L'!$G$6, "-", '4L'!$F$5)</f>
        <v>Other enhancement-Additional Line- LOW PRESSURE-Raw water transport-Water network+-Expenditure in report year</v>
      </c>
      <c r="E1575" t="str">
        <f>'4L'!$C$122</f>
        <v>Opex</v>
      </c>
      <c r="F1575" t="s">
        <v>17334</v>
      </c>
      <c r="G1575" t="str">
        <f>'4L'!$D$122</f>
        <v>£m</v>
      </c>
      <c r="O1575" t="str">
        <f>_xlfn.CONCAT('4L'!$B$78, "-", '4L'!$B$122, "-", '4L'!$G$7, "-", '4L'!$G$6, "-", '4L'!$F$5)</f>
        <v>Other enhancement-Additional Line- LOW PRESSURE-Raw water transport-Water network+-Expenditure in report year</v>
      </c>
    </row>
    <row r="1576" spans="1:15">
      <c r="A1576" t="s">
        <v>4187</v>
      </c>
      <c r="B1576" t="str">
        <f>'4L'!$AX$122</f>
        <v>B0286ALO_RWS</v>
      </c>
      <c r="D1576" t="str">
        <f>_xlfn.CONCAT('4L'!$B$78, "-", '4L'!$B$122, "-", '4L'!$H$7, "-", '4L'!$G$6, "-", '4L'!$F$5)</f>
        <v>Other enhancement-Additional Line- LOW PRESSURE-Raw water storage-Water network+-Expenditure in report year</v>
      </c>
      <c r="E1576" t="str">
        <f>'4L'!$C$122</f>
        <v>Opex</v>
      </c>
      <c r="F1576" t="s">
        <v>17334</v>
      </c>
      <c r="G1576" t="str">
        <f>'4L'!$D$122</f>
        <v>£m</v>
      </c>
      <c r="O1576" t="str">
        <f>_xlfn.CONCAT('4L'!$B$78, "-", '4L'!$B$122, "-", '4L'!$H$7, "-", '4L'!$G$6, "-", '4L'!$F$5)</f>
        <v>Other enhancement-Additional Line- LOW PRESSURE-Raw water storage-Water network+-Expenditure in report year</v>
      </c>
    </row>
    <row r="1577" spans="1:15">
      <c r="A1577" t="s">
        <v>4187</v>
      </c>
      <c r="B1577" t="str">
        <f>'4L'!$AY$122</f>
        <v>B0286ALO_WT</v>
      </c>
      <c r="D1577" t="str">
        <f>_xlfn.CONCAT('4L'!$B$78, "-", '4L'!$B$122, "-", '4L'!$I$7, "-", '4L'!$G$6, "-", '4L'!$F$5)</f>
        <v>Other enhancement-Additional Line- LOW PRESSURE-Water treatment-Water network+-Expenditure in report year</v>
      </c>
      <c r="E1577" t="str">
        <f>'4L'!$C$122</f>
        <v>Opex</v>
      </c>
      <c r="F1577" t="s">
        <v>17334</v>
      </c>
      <c r="G1577" t="str">
        <f>'4L'!$D$122</f>
        <v>£m</v>
      </c>
      <c r="O1577" t="str">
        <f>_xlfn.CONCAT('4L'!$B$78, "-", '4L'!$B$122, "-", '4L'!$I$7, "-", '4L'!$G$6, "-", '4L'!$F$5)</f>
        <v>Other enhancement-Additional Line- LOW PRESSURE-Water treatment-Water network+-Expenditure in report year</v>
      </c>
    </row>
    <row r="1578" spans="1:15">
      <c r="A1578" t="s">
        <v>4187</v>
      </c>
      <c r="B1578" t="str">
        <f>'4L'!$AZ$122</f>
        <v>B0286ALO_TWD</v>
      </c>
      <c r="D1578" t="str">
        <f>_xlfn.CONCAT('4L'!$B$78, "-", '4L'!$B$122, "-", '4L'!$J$7, "-", '4L'!$G$6, "-", '4L'!$F$5)</f>
        <v>Other enhancement-Additional Line- LOW PRESSURE-Treated water distribution-Water network+-Expenditure in report year</v>
      </c>
      <c r="E1578" t="str">
        <f>'4L'!$C$122</f>
        <v>Opex</v>
      </c>
      <c r="F1578" t="s">
        <v>17334</v>
      </c>
      <c r="G1578" t="str">
        <f>'4L'!$D$122</f>
        <v>£m</v>
      </c>
      <c r="O1578" t="str">
        <f>_xlfn.CONCAT('4L'!$B$78, "-", '4L'!$B$122, "-", '4L'!$J$7, "-", '4L'!$G$6, "-", '4L'!$F$5)</f>
        <v>Other enhancement-Additional Line- LOW PRESSURE-Treated water distribution-Water network+-Expenditure in report year</v>
      </c>
    </row>
    <row r="1579" spans="1:15">
      <c r="A1579" t="s">
        <v>4187</v>
      </c>
      <c r="B1579" t="str">
        <f>'4L'!$BA$122</f>
        <v>B0286ALO_TOT</v>
      </c>
      <c r="D1579" t="str">
        <f>_xlfn.CONCAT('4L'!$B$78, "-", '4L'!$B$122, "-", '4L'!$K$6, "-", '4L'!$K$6, "-", '4L'!$F$5)</f>
        <v>Other enhancement-Additional Line- LOW PRESSURE-Total-Total-Expenditure in report year</v>
      </c>
      <c r="E1579" t="str">
        <f>'4L'!$C$122</f>
        <v>Opex</v>
      </c>
      <c r="F1579" t="s">
        <v>17334</v>
      </c>
      <c r="G1579" t="str">
        <f>'4L'!$D$122</f>
        <v>£m</v>
      </c>
      <c r="O1579" t="str">
        <f>_xlfn.CONCAT('4L'!$B$78, "-", '4L'!$B$122, "-", '4L'!$K$6, "-", '4L'!$K$6, "-", '4L'!$F$5)</f>
        <v>Other enhancement-Additional Line- LOW PRESSURE-Total-Total-Expenditure in report year</v>
      </c>
    </row>
    <row r="1580" spans="1:15">
      <c r="A1580" t="s">
        <v>4187</v>
      </c>
      <c r="B1580" t="str">
        <f>'4L'!$BH$122</f>
        <v>B0408AL4O_CUMME</v>
      </c>
      <c r="D1580" t="str">
        <f>_xlfn.CONCAT('4L'!$B$78, "-", '4L'!$B$122, "-", '4L'!$R$7, "-", '4L'!$R$5, "-", '4L'!$R$5)</f>
        <v>Other enhancement-Additional Line- LOW PRESSURE-Total-Cumulative expenditure on all schemes to reporting year end-Cumulative expenditure on all schemes to reporting year end</v>
      </c>
      <c r="E1580" t="str">
        <f>'4L'!$C$122</f>
        <v>Opex</v>
      </c>
      <c r="F1580" t="s">
        <v>17334</v>
      </c>
      <c r="G1580" t="str">
        <f>'4L'!$D$122</f>
        <v>£m</v>
      </c>
      <c r="O1580" t="str">
        <f>_xlfn.CONCAT('4L'!$B$78, "-", '4L'!$B$122, "-", '4L'!$R$7, "-", '4L'!$R$5, "-", '4L'!$R$5)</f>
        <v>Other enhancement-Additional Line- LOW PRESSURE-Total-Cumulative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LOW PRESSURE-Total-Cumulative allowed expenditure on all schemes to reporting year end-Cumulative allowed expenditure on all schemes to reporting year end</v>
      </c>
      <c r="E1581" t="str">
        <f>'4L'!$C$122</f>
        <v>Opex</v>
      </c>
      <c r="F1581" t="s">
        <v>17334</v>
      </c>
      <c r="G1581" t="str">
        <f>'4L'!$D$122</f>
        <v>£m</v>
      </c>
      <c r="O1581" t="str">
        <f>_xlfn.CONCAT('4L'!$B$78, "-", '4L'!$B$122, "-", '4L'!$S$7, "-", '4L'!$S$5, "-", '4L'!$S$5)</f>
        <v>Other enhancement-Additional Line- LOW PRESSURE-Total-Cumulative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LOW PRESSURE-Total-Cumulative allowed expenditure on all schemes 2020-25-Cumulative allowed expenditure on all schemes 2020-25</v>
      </c>
      <c r="E1582" t="str">
        <f>'4L'!$C$122</f>
        <v>Opex</v>
      </c>
      <c r="F1582" t="s">
        <v>17334</v>
      </c>
      <c r="G1582" t="str">
        <f>'4L'!$D$122</f>
        <v>£m</v>
      </c>
      <c r="O1582" t="str">
        <f>_xlfn.CONCAT('4L'!$B$78, "-", '4L'!$B$122, "-", '4L'!$T$7, "-", '4L'!$T$5, "-", '4L'!$T$5)</f>
        <v>Other enhancement-Additional Line- LOW PRESSURE-Total-Cumulative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Water Growth Scheme-Water resources-Water resources-Expenditure in report year</v>
      </c>
      <c r="E1583" t="str">
        <f>'4L'!$C$123</f>
        <v>Capex</v>
      </c>
      <c r="F1583" t="s">
        <v>17334</v>
      </c>
      <c r="G1583" t="str">
        <f>'4L'!$D$123</f>
        <v>£m</v>
      </c>
      <c r="O1583" t="str">
        <f>_xlfn.CONCAT('4L'!$B$78, "-", '4L'!$B$123, "-", '4L'!$F$6, "-", '4L'!$F$6, "-", '4L'!$F$5)</f>
        <v>Other enhancement-Additional Line- Water Growth Scheme-Water resources-Water resources-Expenditure in report year</v>
      </c>
    </row>
    <row r="1584" spans="1:15">
      <c r="A1584" t="s">
        <v>4187</v>
      </c>
      <c r="B1584" t="str">
        <f>'4L'!$AW$123</f>
        <v>B0287ALC_RWT</v>
      </c>
      <c r="D1584" t="str">
        <f>_xlfn.CONCAT('4L'!$B$78, "-", '4L'!$B$123, "-", '4L'!$G$7, "-", '4L'!$G$6, "-", '4L'!$F$5)</f>
        <v>Other enhancement-Additional Line- Water Growth Scheme-Raw water transport-Water network+-Expenditure in report year</v>
      </c>
      <c r="E1584" t="str">
        <f>'4L'!$C$123</f>
        <v>Capex</v>
      </c>
      <c r="F1584" t="s">
        <v>17334</v>
      </c>
      <c r="G1584" t="str">
        <f>'4L'!$D$123</f>
        <v>£m</v>
      </c>
      <c r="O1584" t="str">
        <f>_xlfn.CONCAT('4L'!$B$78, "-", '4L'!$B$123, "-", '4L'!$G$7, "-", '4L'!$G$6, "-", '4L'!$F$5)</f>
        <v>Other enhancement-Additional Line- Water Growth Scheme-Raw water transport-Water network+-Expenditure in report year</v>
      </c>
    </row>
    <row r="1585" spans="1:15">
      <c r="A1585" t="s">
        <v>4187</v>
      </c>
      <c r="B1585" t="str">
        <f>'4L'!$AX$123</f>
        <v>B0287ALC_RWS</v>
      </c>
      <c r="D1585" t="str">
        <f>_xlfn.CONCAT('4L'!$B$78, "-", '4L'!$B$123, "-", '4L'!$H$7, "-", '4L'!$G$6, "-", '4L'!$F$5)</f>
        <v>Other enhancement-Additional Line- Water Growth Scheme-Raw water storage-Water network+-Expenditure in report year</v>
      </c>
      <c r="E1585" t="str">
        <f>'4L'!$C$123</f>
        <v>Capex</v>
      </c>
      <c r="F1585" t="s">
        <v>17334</v>
      </c>
      <c r="G1585" t="str">
        <f>'4L'!$D$123</f>
        <v>£m</v>
      </c>
      <c r="O1585" t="str">
        <f>_xlfn.CONCAT('4L'!$B$78, "-", '4L'!$B$123, "-", '4L'!$H$7, "-", '4L'!$G$6, "-", '4L'!$F$5)</f>
        <v>Other enhancement-Additional Line- Water Growth Scheme-Raw water storage-Water network+-Expenditure in report year</v>
      </c>
    </row>
    <row r="1586" spans="1:15">
      <c r="A1586" t="s">
        <v>4187</v>
      </c>
      <c r="B1586" t="str">
        <f>'4L'!$AY$123</f>
        <v>B0287ALC_WT</v>
      </c>
      <c r="D1586" t="str">
        <f>_xlfn.CONCAT('4L'!$B$78, "-", '4L'!$B$123, "-", '4L'!$I$7, "-", '4L'!$G$6, "-", '4L'!$F$5)</f>
        <v>Other enhancement-Additional Line- Water Growth Scheme-Water treatment-Water network+-Expenditure in report year</v>
      </c>
      <c r="E1586" t="str">
        <f>'4L'!$C$123</f>
        <v>Capex</v>
      </c>
      <c r="F1586" t="s">
        <v>17334</v>
      </c>
      <c r="G1586" t="str">
        <f>'4L'!$D$123</f>
        <v>£m</v>
      </c>
      <c r="O1586" t="str">
        <f>_xlfn.CONCAT('4L'!$B$78, "-", '4L'!$B$123, "-", '4L'!$I$7, "-", '4L'!$G$6, "-", '4L'!$F$5)</f>
        <v>Other enhancement-Additional Line- Water Growth Scheme-Water treatment-Water network+-Expenditure in report year</v>
      </c>
    </row>
    <row r="1587" spans="1:15">
      <c r="A1587" t="s">
        <v>4187</v>
      </c>
      <c r="B1587" t="str">
        <f>'4L'!$AZ$123</f>
        <v>B0287ALC_TWD</v>
      </c>
      <c r="D1587" t="str">
        <f>_xlfn.CONCAT('4L'!$B$78, "-", '4L'!$B$123, "-", '4L'!$J$7, "-", '4L'!$G$6, "-", '4L'!$F$5)</f>
        <v>Other enhancement-Additional Line- Water Growth Scheme-Treated water distribution-Water network+-Expenditure in report year</v>
      </c>
      <c r="E1587" t="str">
        <f>'4L'!$C$123</f>
        <v>Capex</v>
      </c>
      <c r="F1587" t="s">
        <v>17334</v>
      </c>
      <c r="G1587" t="str">
        <f>'4L'!$D$123</f>
        <v>£m</v>
      </c>
      <c r="O1587" t="str">
        <f>_xlfn.CONCAT('4L'!$B$78, "-", '4L'!$B$123, "-", '4L'!$J$7, "-", '4L'!$G$6, "-", '4L'!$F$5)</f>
        <v>Other enhancement-Additional Line- Water Growth Scheme-Treated water distribution-Water network+-Expenditure in report year</v>
      </c>
    </row>
    <row r="1588" spans="1:15">
      <c r="A1588" t="s">
        <v>4187</v>
      </c>
      <c r="B1588" t="str">
        <f>'4L'!$BA$123</f>
        <v>B0287ALC_TOT</v>
      </c>
      <c r="D1588" t="str">
        <f>_xlfn.CONCAT('4L'!$B$78, "-", '4L'!$B$123, "-", '4L'!$K$6, "-", '4L'!$K$6, "-", '4L'!$F$5)</f>
        <v>Other enhancement-Additional Line- Water Growth Scheme-Total-Total-Expenditure in report year</v>
      </c>
      <c r="E1588" t="str">
        <f>'4L'!$C$123</f>
        <v>Capex</v>
      </c>
      <c r="F1588" t="s">
        <v>17334</v>
      </c>
      <c r="G1588" t="str">
        <f>'4L'!$D$123</f>
        <v>£m</v>
      </c>
      <c r="O1588" t="str">
        <f>_xlfn.CONCAT('4L'!$B$78, "-", '4L'!$B$123, "-", '4L'!$K$6, "-", '4L'!$K$6, "-", '4L'!$F$5)</f>
        <v>Other enhancement-Additional Line- Water Growth Scheme-Total-Total-Expenditure in report year</v>
      </c>
    </row>
    <row r="1589" spans="1:15">
      <c r="A1589" t="s">
        <v>4187</v>
      </c>
      <c r="B1589" t="str">
        <f>'4L'!$BH$123</f>
        <v>B0409AL5C_CUMME</v>
      </c>
      <c r="D1589" t="str">
        <f>_xlfn.CONCAT('4L'!$B$78, "-", '4L'!$B$123, "-", '4L'!$R$7, "-", '4L'!$R$5, "-", '4L'!$R$5)</f>
        <v>Other enhancement-Additional Line- Water Growth Scheme-Total-Cumulative expenditure on all schemes to reporting year end-Cumulative expenditure on all schemes to reporting year end</v>
      </c>
      <c r="E1589" t="str">
        <f>'4L'!$C$123</f>
        <v>Capex</v>
      </c>
      <c r="F1589" t="s">
        <v>17334</v>
      </c>
      <c r="G1589" t="str">
        <f>'4L'!$D$123</f>
        <v>£m</v>
      </c>
      <c r="O1589" t="str">
        <f>_xlfn.CONCAT('4L'!$B$78, "-", '4L'!$B$123, "-", '4L'!$R$7, "-", '4L'!$R$5, "-", '4L'!$R$5)</f>
        <v>Other enhancement-Additional Line- Water Growth Scheme-Total-Cumulative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Water Growth Scheme-Total-Cumulative allowed expenditure on all schemes to reporting year end-Cumulative allowed expenditure on all schemes to reporting year end</v>
      </c>
      <c r="E1590" t="str">
        <f>'4L'!$C$123</f>
        <v>Capex</v>
      </c>
      <c r="F1590" t="s">
        <v>17334</v>
      </c>
      <c r="G1590" t="str">
        <f>'4L'!$D$123</f>
        <v>£m</v>
      </c>
      <c r="O1590" t="str">
        <f>_xlfn.CONCAT('4L'!$B$78, "-", '4L'!$B$123, "-", '4L'!$S$7, "-", '4L'!$S$5, "-", '4L'!$S$5)</f>
        <v>Other enhancement-Additional Line- Water Growth Scheme-Total-Cumulative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Water Growth Scheme-Total-Cumulative allowed expenditure on all schemes 2020-25-Cumulative allowed expenditure on all schemes 2020-25</v>
      </c>
      <c r="E1591" t="str">
        <f>'4L'!$C$123</f>
        <v>Capex</v>
      </c>
      <c r="F1591" t="s">
        <v>17334</v>
      </c>
      <c r="G1591" t="str">
        <f>'4L'!$D$123</f>
        <v>£m</v>
      </c>
      <c r="O1591" t="str">
        <f>_xlfn.CONCAT('4L'!$B$78, "-", '4L'!$B$123, "-", '4L'!$T$7, "-", '4L'!$T$5, "-", '4L'!$T$5)</f>
        <v>Other enhancement-Additional Line- Water Growth Scheme-Total-Cumulative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Water Growth Scheme-Water resources-Water resources-Expenditure in report year</v>
      </c>
      <c r="E1592" t="str">
        <f>'4L'!$C$124</f>
        <v>Opex</v>
      </c>
      <c r="F1592" t="s">
        <v>17334</v>
      </c>
      <c r="G1592" t="str">
        <f>'4L'!$D$124</f>
        <v>£m</v>
      </c>
      <c r="O1592" t="str">
        <f>_xlfn.CONCAT('4L'!$B$78, "-", '4L'!$B$124, "-", '4L'!$F$6, "-", '4L'!$F$6, "-", '4L'!$F$5)</f>
        <v>Other enhancement-Additional Line- Water Growth Scheme-Water resources-Water resources-Expenditure in report year</v>
      </c>
    </row>
    <row r="1593" spans="1:15">
      <c r="A1593" t="s">
        <v>4187</v>
      </c>
      <c r="B1593" t="str">
        <f>'4L'!$AW$124</f>
        <v>B0288ALO_RWT</v>
      </c>
      <c r="D1593" t="str">
        <f>_xlfn.CONCAT('4L'!$B$78, "-", '4L'!$B$124, "-", '4L'!$G$7, "-", '4L'!$G$6, "-", '4L'!$F$5)</f>
        <v>Other enhancement-Additional Line- Water Growth Scheme-Raw water transport-Water network+-Expenditure in report year</v>
      </c>
      <c r="E1593" t="str">
        <f>'4L'!$C$124</f>
        <v>Opex</v>
      </c>
      <c r="F1593" t="s">
        <v>17334</v>
      </c>
      <c r="G1593" t="str">
        <f>'4L'!$D$124</f>
        <v>£m</v>
      </c>
      <c r="O1593" t="str">
        <f>_xlfn.CONCAT('4L'!$B$78, "-", '4L'!$B$124, "-", '4L'!$G$7, "-", '4L'!$G$6, "-", '4L'!$F$5)</f>
        <v>Other enhancement-Additional Line- Water Growth Scheme-Raw water transport-Water network+-Expenditure in report year</v>
      </c>
    </row>
    <row r="1594" spans="1:15">
      <c r="A1594" t="s">
        <v>4187</v>
      </c>
      <c r="B1594" t="str">
        <f>'4L'!$AX$124</f>
        <v>B0288ALO_RWS</v>
      </c>
      <c r="D1594" t="str">
        <f>_xlfn.CONCAT('4L'!$B$78, "-", '4L'!$B$124, "-", '4L'!$H$7, "-", '4L'!$G$6, "-", '4L'!$F$5)</f>
        <v>Other enhancement-Additional Line- Water Growth Scheme-Raw water storage-Water network+-Expenditure in report year</v>
      </c>
      <c r="E1594" t="str">
        <f>'4L'!$C$124</f>
        <v>Opex</v>
      </c>
      <c r="F1594" t="s">
        <v>17334</v>
      </c>
      <c r="G1594" t="str">
        <f>'4L'!$D$124</f>
        <v>£m</v>
      </c>
      <c r="O1594" t="str">
        <f>_xlfn.CONCAT('4L'!$B$78, "-", '4L'!$B$124, "-", '4L'!$H$7, "-", '4L'!$G$6, "-", '4L'!$F$5)</f>
        <v>Other enhancement-Additional Line- Water Growth Scheme-Raw water storage-Water network+-Expenditure in report year</v>
      </c>
    </row>
    <row r="1595" spans="1:15">
      <c r="A1595" t="s">
        <v>4187</v>
      </c>
      <c r="B1595" t="str">
        <f>'4L'!$AY$124</f>
        <v>B0288ALO_WT</v>
      </c>
      <c r="D1595" t="str">
        <f>_xlfn.CONCAT('4L'!$B$78, "-", '4L'!$B$124, "-", '4L'!$I$7, "-", '4L'!$G$6, "-", '4L'!$F$5)</f>
        <v>Other enhancement-Additional Line- Water Growth Scheme-Water treatment-Water network+-Expenditure in report year</v>
      </c>
      <c r="E1595" t="str">
        <f>'4L'!$C$124</f>
        <v>Opex</v>
      </c>
      <c r="F1595" t="s">
        <v>17334</v>
      </c>
      <c r="G1595" t="str">
        <f>'4L'!$D$124</f>
        <v>£m</v>
      </c>
      <c r="O1595" t="str">
        <f>_xlfn.CONCAT('4L'!$B$78, "-", '4L'!$B$124, "-", '4L'!$I$7, "-", '4L'!$G$6, "-", '4L'!$F$5)</f>
        <v>Other enhancement-Additional Line- Water Growth Scheme-Water treatment-Water network+-Expenditure in report year</v>
      </c>
    </row>
    <row r="1596" spans="1:15">
      <c r="A1596" t="s">
        <v>4187</v>
      </c>
      <c r="B1596" t="str">
        <f>'4L'!$AZ$124</f>
        <v>B0288ALO_TWD</v>
      </c>
      <c r="D1596" t="str">
        <f>_xlfn.CONCAT('4L'!$B$78, "-", '4L'!$B$124, "-", '4L'!$J$7, "-", '4L'!$G$6, "-", '4L'!$F$5)</f>
        <v>Other enhancement-Additional Line- Water Growth Scheme-Treated water distribution-Water network+-Expenditure in report year</v>
      </c>
      <c r="E1596" t="str">
        <f>'4L'!$C$124</f>
        <v>Opex</v>
      </c>
      <c r="F1596" t="s">
        <v>17334</v>
      </c>
      <c r="G1596" t="str">
        <f>'4L'!$D$124</f>
        <v>£m</v>
      </c>
      <c r="O1596" t="str">
        <f>_xlfn.CONCAT('4L'!$B$78, "-", '4L'!$B$124, "-", '4L'!$J$7, "-", '4L'!$G$6, "-", '4L'!$F$5)</f>
        <v>Other enhancement-Additional Line- Water Growth Scheme-Treated water distribution-Water network+-Expenditure in report year</v>
      </c>
    </row>
    <row r="1597" spans="1:15">
      <c r="A1597" t="s">
        <v>4187</v>
      </c>
      <c r="B1597" t="str">
        <f>'4L'!$BA$124</f>
        <v>B0288ALO_TOT</v>
      </c>
      <c r="D1597" t="str">
        <f>_xlfn.CONCAT('4L'!$B$78, "-", '4L'!$B$124, "-", '4L'!$K$6, "-", '4L'!$K$6, "-", '4L'!$F$5)</f>
        <v>Other enhancement-Additional Line- Water Growth Scheme-Total-Total-Expenditure in report year</v>
      </c>
      <c r="E1597" t="str">
        <f>'4L'!$C$124</f>
        <v>Opex</v>
      </c>
      <c r="F1597" t="s">
        <v>17334</v>
      </c>
      <c r="G1597" t="str">
        <f>'4L'!$D$124</f>
        <v>£m</v>
      </c>
      <c r="O1597" t="str">
        <f>_xlfn.CONCAT('4L'!$B$78, "-", '4L'!$B$124, "-", '4L'!$K$6, "-", '4L'!$K$6, "-", '4L'!$F$5)</f>
        <v>Other enhancement-Additional Line- Water Growth Scheme-Total-Total-Expenditure in report year</v>
      </c>
    </row>
    <row r="1598" spans="1:15">
      <c r="A1598" t="s">
        <v>4187</v>
      </c>
      <c r="B1598" t="str">
        <f>'4L'!$BH$124</f>
        <v>B0410AL5O_CUMME</v>
      </c>
      <c r="D1598" t="str">
        <f>_xlfn.CONCAT('4L'!$B$78, "-", '4L'!$B$124, "-", '4L'!$R$7, "-", '4L'!$R$5, "-", '4L'!$R$5)</f>
        <v>Other enhancement-Additional Line- Water Growth Scheme-Total-Cumulative expenditure on all schemes to reporting year end-Cumulative expenditure on all schemes to reporting year end</v>
      </c>
      <c r="E1598" t="str">
        <f>'4L'!$C$124</f>
        <v>Opex</v>
      </c>
      <c r="F1598" t="s">
        <v>17334</v>
      </c>
      <c r="G1598" t="str">
        <f>'4L'!$D$124</f>
        <v>£m</v>
      </c>
      <c r="O1598" t="str">
        <f>_xlfn.CONCAT('4L'!$B$78, "-", '4L'!$B$124, "-", '4L'!$R$7, "-", '4L'!$R$5, "-", '4L'!$R$5)</f>
        <v>Other enhancement-Additional Line- Water Growth Scheme-Total-Cumulative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Water Growth Scheme-Total-Cumulative allowed expenditure on all schemes to reporting year end-Cumulative allowed expenditure on all schemes to reporting year end</v>
      </c>
      <c r="E1599" t="str">
        <f>'4L'!$C$124</f>
        <v>Opex</v>
      </c>
      <c r="F1599" t="s">
        <v>17334</v>
      </c>
      <c r="G1599" t="str">
        <f>'4L'!$D$124</f>
        <v>£m</v>
      </c>
      <c r="O1599" t="str">
        <f>_xlfn.CONCAT('4L'!$B$78, "-", '4L'!$B$124, "-", '4L'!$S$7, "-", '4L'!$S$5, "-", '4L'!$S$5)</f>
        <v>Other enhancement-Additional Line- Water Growth Scheme-Total-Cumulative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Water Growth Scheme-Total-Cumulative allowed expenditure on all schemes 2020-25-Cumulative allowed expenditure on all schemes 2020-25</v>
      </c>
      <c r="E1600" t="str">
        <f>'4L'!$C$124</f>
        <v>Opex</v>
      </c>
      <c r="F1600" t="s">
        <v>17334</v>
      </c>
      <c r="G1600" t="str">
        <f>'4L'!$D$124</f>
        <v>£m</v>
      </c>
      <c r="O1600" t="str">
        <f>_xlfn.CONCAT('4L'!$B$78, "-", '4L'!$B$124, "-", '4L'!$T$7, "-", '4L'!$T$5, "-", '4L'!$T$5)</f>
        <v>Other enhancement-Additional Line- Water Growth Scheme-Total-Cumulative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17334</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17334</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17334</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17334</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17334</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17334</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17334</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17334</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17334</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17334</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17334</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17334</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17334</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17334</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17334</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17334</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17334</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17334</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17334</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17334</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17334</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17334</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17334</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17334</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17334</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17334</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17334</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17334</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17334</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17334</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17334</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17334</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17334</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17334</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17334</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17334</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17334</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17334</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17334</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17334</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17334</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17334</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17334</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17334</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17334</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17334</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17334</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17334</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17334</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17334</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17334</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17334</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17334</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17334</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17334</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17334</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17334</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17334</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17334</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17334</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17334</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17334</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17334</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17334</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17334</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17334</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17334</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17334</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17334</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17334</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17334</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17334</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17334</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17334</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17334</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17334</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17334</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17334</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17334</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17334</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17334</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17334</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17334</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17334</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17334</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17334</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17334</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17334</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17334</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17334</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17334</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17334</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17334</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17334</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17334</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17334</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17334</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17334</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17334</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17334</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17334</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17334</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17334</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17334</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17334</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17334</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17334</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17334</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17334</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17334</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17334</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17334</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17334</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17334</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17334</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17334</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17334</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17334</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17334</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17334</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17334</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17334</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17334</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17334</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17334</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17334</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17334</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17334</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17334</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17334</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17334</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17334</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17334</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17334</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17334</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17334</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17334</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17334</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17334</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17334</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17334</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17334</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17334</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17334</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17334</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17334</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17334</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17334</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17334</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17334</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17334</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17334</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17334</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17334</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17334</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17334</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17334</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17334</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17334</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17334</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17334</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17334</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17334</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17334</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17334</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17334</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17334</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17334</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17334</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17334</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17334</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17334</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17334</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17334</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17334</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17334</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17334</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17334</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17334</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17334</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17334</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17334</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17334</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17334</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17334</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17334</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17334</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17334</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17334</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17334</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17334</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17334</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17334</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17334</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17334</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17334</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17334</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17334</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17334</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17334</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17334</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17334</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17334</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17334</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17334</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17334</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17334</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17334</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17334</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17334</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17334</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17334</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17334</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17334</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17334</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17334</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17334</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17334</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17334</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17334</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17334</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17334</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17334</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17334</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17334</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17334</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17334</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17334</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17334</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17334</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17334</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17334</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17334</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17334</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17334</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17334</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17334</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17334</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17334</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17334</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17334</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17334</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17334</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17334</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17334</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17334</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17334</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17334</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17334</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17334</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17334</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17334</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17334</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17334</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17334</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17334</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17334</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17334</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17334</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17334</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17334</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17334</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17334</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17334</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17334</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17334</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17334</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17334</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17334</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17334</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17334</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17334</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17334</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17334</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17334</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17334</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17334</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17334</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17334</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17334</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17334</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17334</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17334</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17334</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17334</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17334</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17334</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17334</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17334</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17334</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17334</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17334</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17334</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17334</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17334</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17334</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17334</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17334</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17334</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17334</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17334</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17334</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17334</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17334</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17334</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17334</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17334</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17334</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17334</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17334</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17334</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17334</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17334</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17334</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17334</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17334</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17334</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17334</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17334</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17334</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17334</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17334</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17334</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17334</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17334</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17334</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17334</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17334</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17334</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17334</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17334</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17334</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17334</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17334</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17334</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17334</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17334</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17334</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17334</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17334</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17334</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17334</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17334</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17334</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17334</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17334</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17334</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17334</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17334</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17334</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17334</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17334</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17334</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17334</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17334</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17334</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17334</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17334</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17334</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17334</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17334</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17334</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17334</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17334</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17334</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17334</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17334</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17334</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17334</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17334</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17334</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17334</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17334</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17334</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17334</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17334</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17334</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17334</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17334</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17334</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17334</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17334</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17334</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17334</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17334</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17334</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17334</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17334</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17334</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17334</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17334</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17334</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17334</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17334</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17334</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17334</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17334</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17334</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17334</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17334</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17334</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17334</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17334</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17334</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17334</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17334</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17334</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17334</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17334</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17334</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17334</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17334</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17334</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17334</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17334</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17334</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17334</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17334</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17334</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17334</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17334</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17334</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17334</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17334</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17334</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17334</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17334</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17334</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17334</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17334</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17334</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17334</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17334</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17334</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17334</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17334</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17334</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17334</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17334</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17334</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17334</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17334</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17334</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17334</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17334</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17334</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17334</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17334</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17334</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17334</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17334</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17334</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17334</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17334</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17334</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17334</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17334</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17334</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17334</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17334</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17334</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17334</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17334</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17334</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17334</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17334</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17334</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17334</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17334</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17334</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17334</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17334</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17334</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17334</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17334</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17334</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17334</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17334</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17334</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17334</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17334</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17334</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17334</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17334</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17334</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17334</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17334</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17334</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17334</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17334</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17334</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17334</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17334</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17334</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17334</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17334</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17334</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17334</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17334</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17334</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17334</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17334</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17334</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17334</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17334</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17334</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17334</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17334</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17334</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17334</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17334</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17334</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17334</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17334</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17334</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17334</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17334</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17334</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17334</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17334</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17334</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17334</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17334</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17334</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17334</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17334</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17334</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17334</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17334</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17334</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17334</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17334</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17334</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17334</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17334</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17334</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17334</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17334</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17334</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17334</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17334</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17334</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17334</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17334</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17334</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17334</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17334</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17334</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17334</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17334</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17334</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17334</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17334</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17334</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17334</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17334</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17334</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17334</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17334</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17334</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17334</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17334</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17334</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17334</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17334</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17334</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17334</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17334</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17334</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17334</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17334</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17334</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17334</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17334</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17334</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17334</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17334</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17334</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17334</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17334</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17334</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17334</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17334</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17334</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17334</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17334</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17334</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17334</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17334</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17334</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17334</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17334</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17334</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17334</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17334</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17334</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17334</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17334</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17334</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17334</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17334</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17334</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17334</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17334</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17334</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17334</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17334</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17334</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17334</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17334</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17334</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17334</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17334</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17334</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17334</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17334</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17334</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17334</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17334</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17334</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17334</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17334</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17334</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17334</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17334</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17334</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17334</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17334</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17334</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17334</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17334</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17334</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17334</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17334</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17334</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17334</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17334</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17334</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17334</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17334</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17334</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17334</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17334</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17334</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17334</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17334</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17334</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17334</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17334</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17334</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17334</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17334</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17334</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17334</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17334</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17334</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17334</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17334</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17334</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17334</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17334</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17334</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17334</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17334</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17334</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17334</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17334</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17334</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17334</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17334</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17334</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17334</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17334</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17334</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17334</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17334</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17334</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17334</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17334</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17334</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17334</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17334</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17334</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17334</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17334</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17334</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17334</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17334</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17334</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17334</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17334</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17334</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17334</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17334</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17334</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17334</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17334</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17334</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17334</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17334</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17334</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17334</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17334</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17334</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17334</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17334</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17334</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17334</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17334</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17334</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17334</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17334</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17334</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17334</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17334</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17334</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17334</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17334</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17334</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17334</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17334</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17334</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17334</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17334</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17334</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17334</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17334</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17334</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17334</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17334</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17334</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17334</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17334</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17334</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17334</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17334</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17334</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17334</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17334</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17334</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17334</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17334</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17334</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17334</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17334</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17334</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17334</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17334</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17334</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17334</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17334</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17334</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17334</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17334</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17334</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17334</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17334</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17334</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17334</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17334</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17334</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17334</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17334</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17334</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17334</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17334</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17334</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17334</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17334</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17334</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17334</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17334</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17334</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17334</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17334</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17334</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17334</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17334</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17334</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17334</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17334</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17334</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17334</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17334</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17334</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17334</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17334</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17334</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17334</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17334</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17334</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17334</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17334</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17334</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17334</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17334</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17334</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17334</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17334</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17334</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17334</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17334</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17334</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17334</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17334</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17334</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17334</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17334</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17334</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17334</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17334</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17334</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17334</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17334</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17334</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17334</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17334</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17334</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17334</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17334</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17334</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17334</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17334</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17334</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17334</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17334</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17334</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17334</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17334</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17334</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17334</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17334</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17334</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17334</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17334</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17334</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17334</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17334</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17334</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17334</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17334</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17334</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17334</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17334</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17334</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17334</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17334</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17334</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17334</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17334</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17334</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17334</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17334</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17334</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17334</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17334</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17334</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17334</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17334</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17334</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17334</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17334</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17334</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17334</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17334</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17334</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17334</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17334</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17334</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17334</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17334</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17334</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17334</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17334</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17334</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17334</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17334</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17334</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17334</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17334</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17334</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17334</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17334</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17334</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17334</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17334</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17334</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17334</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17334</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17334</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17334</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17334</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17334</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17334</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17334</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17334</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17334</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17334</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17334</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17334</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17334</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17334</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17334</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17334</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17334</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17334</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17334</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17334</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17334</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17334</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17334</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17334</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17334</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17334</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17334</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17334</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17334</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17334</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17334</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17334</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17334</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17334</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17334</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17334</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17334</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17334</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17334</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17334</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17334</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17334</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17334</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17334</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17334</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17334</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17334</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17334</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17334</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17334</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17334</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17334</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17334</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17334</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17334</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17334</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17334</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17334</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17334</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17334</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17334</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17334</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17334</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17334</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17334</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17334</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17334</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17334</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17334</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17334</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17334</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17334</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17334</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17334</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17334</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17334</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17334</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17334</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17334</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17334</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17334</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17334</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17334</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17334</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17334</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17334</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17334</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17334</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17334</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17334</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17334</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17334</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17334</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17334</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17334</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17334</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17334</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17334</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17334</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17334</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17334</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17334</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17334</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17334</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17334</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17334</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17334</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17334</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17334</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17334</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17334</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17334</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17334</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17334</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17334</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17334</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17334</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17334</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17334</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17334</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17334</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17334</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17334</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17334</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17334</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17334</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17334</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17334</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17334</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17334</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17334</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17334</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17334</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17334</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17334</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17334</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17334</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17334</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17334</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17334</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17334</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17334</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17334</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17334</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17334</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17334</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17334</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17334</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17334</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17334</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17334</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17334</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17334</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17334</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17334</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17334</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17334</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17334</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17334</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17334</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17334</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17334</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17334</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17334</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17334</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17334</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17334</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17334</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17334</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17334</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17334</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17334</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17334</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17334</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17334</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17334</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17334</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17334</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17334</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17334</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17334</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17334</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17334</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17334</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17334</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17334</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17334</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17334</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17334</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17334</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17334</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17334</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17334</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17334</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17334</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17334</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17334</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17334</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17334</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17334</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17334</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17334</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17334</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17334</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17334</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17334</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17334</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17334</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17334</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17334</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17334</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17334</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17334</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Line-DWMPs-Foul-Wastewater network+ -Expenditure in report year</v>
      </c>
      <c r="E2702" t="str">
        <f>'4M'!$C$86</f>
        <v>Capex</v>
      </c>
      <c r="F2702" t="s">
        <v>17334</v>
      </c>
      <c r="G2702" t="str">
        <f>'4M'!$D$86</f>
        <v>£m</v>
      </c>
      <c r="O2702" t="str">
        <f>_xlfn.CONCAT('4M'!$B$58, "-", '4M'!$B$86, "-", '4M'!$F$7, "-", '4M'!$F$6, "-", '4M'!$F$5)</f>
        <v>Other enhancement-Additional Line-DWMPs-Foul-Wastewater network+ -Expenditure in report year</v>
      </c>
    </row>
    <row r="2703" spans="1:15">
      <c r="A2703" t="s">
        <v>4189</v>
      </c>
      <c r="B2703" t="str">
        <f>'4M'!$BI$86</f>
        <v>B0360ADC_SWD</v>
      </c>
      <c r="D2703" t="str">
        <f>_xlfn.CONCAT('4M'!$B$58, "-", '4M'!$B$86, "-", '4M'!$G$7, "-", '4M'!$F$6, "-", '4M'!$F$5)</f>
        <v>Other enhancement-Additional Line-DWMPs-Surface water drainage-Wastewater network+ -Expenditure in report year</v>
      </c>
      <c r="E2703" t="str">
        <f>'4M'!$C$86</f>
        <v>Capex</v>
      </c>
      <c r="F2703" t="s">
        <v>17334</v>
      </c>
      <c r="G2703" t="str">
        <f>'4M'!$D$86</f>
        <v>£m</v>
      </c>
      <c r="O2703" t="str">
        <f>_xlfn.CONCAT('4M'!$B$58, "-", '4M'!$B$86, "-", '4M'!$G$7, "-", '4M'!$F$6, "-", '4M'!$F$5)</f>
        <v>Other enhancement-Additional Line-DWMPs-Surface water drainage-Wastewater network+ -Expenditure in report year</v>
      </c>
    </row>
    <row r="2704" spans="1:15">
      <c r="A2704" t="s">
        <v>4189</v>
      </c>
      <c r="B2704" t="str">
        <f>'4M'!$BJ$86</f>
        <v>B0360ADC_HD</v>
      </c>
      <c r="D2704" t="str">
        <f>_xlfn.CONCAT('4M'!$B$58, "-", '4M'!$B$86, "-", '4M'!$H$7, "-", '4M'!$F$6, "-", '4M'!$F$5)</f>
        <v>Other enhancement-Additional Line-DWMPs-Highway drainage-Wastewater network+ -Expenditure in report year</v>
      </c>
      <c r="E2704" t="str">
        <f>'4M'!$C$86</f>
        <v>Capex</v>
      </c>
      <c r="F2704" t="s">
        <v>17334</v>
      </c>
      <c r="G2704" t="str">
        <f>'4M'!$D$86</f>
        <v>£m</v>
      </c>
      <c r="O2704" t="str">
        <f>_xlfn.CONCAT('4M'!$B$58, "-", '4M'!$B$86, "-", '4M'!$H$7, "-", '4M'!$F$6, "-", '4M'!$F$5)</f>
        <v>Other enhancement-Additional Line-DWMPs-Highway drainage-Wastewater network+ -Expenditure in report year</v>
      </c>
    </row>
    <row r="2705" spans="1:15">
      <c r="A2705" t="s">
        <v>4189</v>
      </c>
      <c r="B2705" t="str">
        <f>'4M'!$BK$86</f>
        <v>B0360ADC_STD</v>
      </c>
      <c r="D2705" t="str">
        <f>_xlfn.CONCAT('4M'!$B$58, "-", '4M'!$B$86, "-", '4M'!$I$7, "-", '4M'!$F$6, "-", '4M'!$F$5)</f>
        <v>Other enhancement-Additional Line-DWMPs-Sewage treatment and disposal-Wastewater network+ -Expenditure in report year</v>
      </c>
      <c r="E2705" t="str">
        <f>'4M'!$C$86</f>
        <v>Capex</v>
      </c>
      <c r="F2705" t="s">
        <v>17334</v>
      </c>
      <c r="G2705" t="str">
        <f>'4M'!$D$86</f>
        <v>£m</v>
      </c>
      <c r="O2705" t="str">
        <f>_xlfn.CONCAT('4M'!$B$58, "-", '4M'!$B$86, "-", '4M'!$I$7, "-", '4M'!$F$6, "-", '4M'!$F$5)</f>
        <v>Other enhancement-Additional Line-DWMPs-Sewage treatment and disposal-Wastewater network+ -Expenditure in report year</v>
      </c>
    </row>
    <row r="2706" spans="1:15">
      <c r="A2706" t="s">
        <v>4189</v>
      </c>
      <c r="B2706" t="str">
        <f>'4M'!$BL$86</f>
        <v>B0360ADC_SLT</v>
      </c>
      <c r="D2706" t="str">
        <f>_xlfn.CONCAT('4M'!$B$58, "-", '4M'!$B$86, "-", '4M'!$J$7, "-", '4M'!$F$6, "-", '4M'!$F$5)</f>
        <v>Other enhancement-Additional Line-DWMPs-Sludge liquor treatment-Wastewater network+ -Expenditure in report year</v>
      </c>
      <c r="E2706" t="str">
        <f>'4M'!$C$86</f>
        <v>Capex</v>
      </c>
      <c r="F2706" t="s">
        <v>17334</v>
      </c>
      <c r="G2706" t="str">
        <f>'4M'!$D$86</f>
        <v>£m</v>
      </c>
      <c r="O2706" t="str">
        <f>_xlfn.CONCAT('4M'!$B$58, "-", '4M'!$B$86, "-", '4M'!$J$7, "-", '4M'!$F$6, "-", '4M'!$F$5)</f>
        <v>Other enhancement-Additional Line-DWMPs-Sludge liquor treatment-Wastewater network+ -Expenditure in report year</v>
      </c>
    </row>
    <row r="2707" spans="1:15">
      <c r="A2707" t="s">
        <v>4189</v>
      </c>
      <c r="B2707" t="str">
        <f>'4M'!$BM$86</f>
        <v>B0360ADC_STP</v>
      </c>
      <c r="D2707" t="str">
        <f>_xlfn.CONCAT('4M'!$B$58, "-", '4M'!$B$86, "-", '4M'!$K$7, "-", '4M'!$K$6, "-", '4M'!$F$5)</f>
        <v>Other enhancement-Additional Line-DWMPs-Sludge transport-Bioresources-Expenditure in report year</v>
      </c>
      <c r="E2707" t="str">
        <f>'4M'!$C$86</f>
        <v>Capex</v>
      </c>
      <c r="F2707" t="s">
        <v>17334</v>
      </c>
      <c r="G2707" t="str">
        <f>'4M'!$D$86</f>
        <v>£m</v>
      </c>
      <c r="O2707" t="str">
        <f>_xlfn.CONCAT('4M'!$B$58, "-", '4M'!$B$86, "-", '4M'!$K$7, "-", '4M'!$K$6, "-", '4M'!$F$5)</f>
        <v>Other enhancement-Additional Line-DWMPs-Sludge transport-Bioresources-Expenditure in report year</v>
      </c>
    </row>
    <row r="2708" spans="1:15">
      <c r="A2708" t="s">
        <v>4189</v>
      </c>
      <c r="B2708" t="str">
        <f>'4M'!$BN$86</f>
        <v>B0360ADC_SDT</v>
      </c>
      <c r="D2708" t="str">
        <f>_xlfn.CONCAT('4M'!$B$58, "-", '4M'!$B$86, "-", '4M'!$L$7, "-", '4M'!$K$6, "-", '4M'!$F$5)</f>
        <v>Other enhancement-Additional Line-DWMPs-Sludge treatment-Bioresources-Expenditure in report year</v>
      </c>
      <c r="E2708" t="str">
        <f>'4M'!$C$86</f>
        <v>Capex</v>
      </c>
      <c r="F2708" t="s">
        <v>17334</v>
      </c>
      <c r="G2708" t="str">
        <f>'4M'!$D$86</f>
        <v>£m</v>
      </c>
      <c r="O2708" t="str">
        <f>_xlfn.CONCAT('4M'!$B$58, "-", '4M'!$B$86, "-", '4M'!$L$7, "-", '4M'!$K$6, "-", '4M'!$F$5)</f>
        <v>Other enhancement-Additional Line-DWMPs-Sludge treatment-Bioresources-Expenditure in report year</v>
      </c>
    </row>
    <row r="2709" spans="1:15">
      <c r="A2709" t="s">
        <v>4189</v>
      </c>
      <c r="B2709" t="str">
        <f>'4M'!$BO$86</f>
        <v>B0360ADC_SD</v>
      </c>
      <c r="D2709" t="str">
        <f>_xlfn.CONCAT('4M'!$B$58, "-", '4M'!$B$86, "-", '4M'!$M$7, "-", '4M'!$K$6, "-", '4M'!$F$5)</f>
        <v>Other enhancement-Additional Line-DWMPs-Sludge disposal-Bioresources-Expenditure in report year</v>
      </c>
      <c r="E2709" t="str">
        <f>'4M'!$C$86</f>
        <v>Capex</v>
      </c>
      <c r="F2709" t="s">
        <v>17334</v>
      </c>
      <c r="G2709" t="str">
        <f>'4M'!$D$86</f>
        <v>£m</v>
      </c>
      <c r="O2709" t="str">
        <f>_xlfn.CONCAT('4M'!$B$58, "-", '4M'!$B$86, "-", '4M'!$M$7, "-", '4M'!$K$6, "-", '4M'!$F$5)</f>
        <v>Other enhancement-Additional Line-DWMPs-Sludge disposal-Bioresources-Expenditure in report year</v>
      </c>
    </row>
    <row r="2710" spans="1:15">
      <c r="A2710" t="s">
        <v>4189</v>
      </c>
      <c r="B2710" t="str">
        <f>'4M'!$BP$86</f>
        <v>B0360ADC_TOT</v>
      </c>
      <c r="D2710" t="str">
        <f>_xlfn.CONCAT('4M'!$B$58, "-", '4M'!$B$86, "-", '4M'!$N$6, "-", '4M'!$N$6, "-", '4M'!$F$5)</f>
        <v>Other enhancement-Additional Line-DWMPs-Total-Total-Expenditure in report year</v>
      </c>
      <c r="E2710" t="str">
        <f>'4M'!$C$86</f>
        <v>Capex</v>
      </c>
      <c r="F2710" t="s">
        <v>17334</v>
      </c>
      <c r="G2710" t="str">
        <f>'4M'!$D$86</f>
        <v>£m</v>
      </c>
      <c r="O2710" t="str">
        <f>_xlfn.CONCAT('4M'!$B$58, "-", '4M'!$B$86, "-", '4M'!$N$6, "-", '4M'!$N$6, "-", '4M'!$F$5)</f>
        <v>Other enhancement-Additional Line-DWMPs-Total-Total-Expenditure in report year</v>
      </c>
    </row>
    <row r="2711" spans="1:15">
      <c r="A2711" t="s">
        <v>4189</v>
      </c>
      <c r="B2711" t="str">
        <f>'4M'!$BZ$86</f>
        <v>B0401AL1C_TE</v>
      </c>
      <c r="D2711" t="str">
        <f>_xlfn.CONCAT('4M'!$B$58, "-", '4M'!$B$86, "-", '4M'!$X$7, "-", '4M'!$X$5, "-", '4M'!$X$5)</f>
        <v>Other enhancement-Additional Line-DWMPs-Total-Cumulative expenditure on all schemes to reporting year end-Cumulative expenditure on all schemes to reporting year end</v>
      </c>
      <c r="E2711" t="str">
        <f>'4M'!$C$86</f>
        <v>Capex</v>
      </c>
      <c r="F2711" t="s">
        <v>17334</v>
      </c>
      <c r="G2711" t="str">
        <f>'4M'!$D$86</f>
        <v>£m</v>
      </c>
      <c r="O2711" t="str">
        <f>_xlfn.CONCAT('4M'!$B$58, "-", '4M'!$B$86, "-", '4M'!$X$7, "-", '4M'!$X$5, "-", '4M'!$X$5)</f>
        <v>Other enhancement-Additional Line-DWMPs-Total-Cumulative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Line-DWMPs-Total-Cumulative allowed expenditure on all schemes to reporting year end-Cumulative allowed expenditure on all schemes to reporting year end</v>
      </c>
      <c r="E2712" t="str">
        <f>'4M'!$C$86</f>
        <v>Capex</v>
      </c>
      <c r="F2712" t="s">
        <v>17334</v>
      </c>
      <c r="G2712" t="str">
        <f>'4M'!$D$86</f>
        <v>£m</v>
      </c>
      <c r="O2712" t="str">
        <f>_xlfn.CONCAT('4M'!$B$58, "-", '4M'!$B$86, "-", '4M'!$Y$7, "-", '4M'!$Y$5, "-", '4M'!$Y$5)</f>
        <v>Other enhancement-Additional Line-DWMPs-Total-Cumulative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Line-DWMPs-Total-Cumulative allowed expenditure on all schemes 2020-25-Cumulative allowed expenditure on all schemes 2020-25</v>
      </c>
      <c r="E2713" t="str">
        <f>'4M'!$C$86</f>
        <v>Capex</v>
      </c>
      <c r="F2713" t="s">
        <v>17334</v>
      </c>
      <c r="G2713" t="str">
        <f>'4M'!$D$86</f>
        <v>£m</v>
      </c>
      <c r="O2713" t="str">
        <f>_xlfn.CONCAT('4M'!$B$58, "-", '4M'!$B$86, "-", '4M'!$Z$7, "-", '4M'!$Z$5, "-", '4M'!$Z$5)</f>
        <v>Other enhancement-Additional Line-DWMPs-Total-Cumulative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Line-DWMPs-Foul-Wastewater network+ -Expenditure in report year</v>
      </c>
      <c r="E2714" t="str">
        <f>'4M'!$C$87</f>
        <v>Opex</v>
      </c>
      <c r="F2714" t="s">
        <v>17334</v>
      </c>
      <c r="G2714" t="str">
        <f>'4M'!$D$87</f>
        <v>£m</v>
      </c>
      <c r="O2714" t="str">
        <f>_xlfn.CONCAT('4M'!$B$58, "-", '4M'!$B$87, "-", '4M'!$F$7, "-", '4M'!$F$6, "-", '4M'!$F$5)</f>
        <v>Other enhancement-Additional Line-DWMPs-Foul-Wastewater network+ -Expenditure in report year</v>
      </c>
    </row>
    <row r="2715" spans="1:15">
      <c r="A2715" t="s">
        <v>4189</v>
      </c>
      <c r="B2715" t="str">
        <f>'4M'!$BI$87</f>
        <v>B0361ADO_SWD</v>
      </c>
      <c r="D2715" t="str">
        <f>_xlfn.CONCAT('4M'!$B$58, "-", '4M'!$B$87, "-", '4M'!$G$7, "-", '4M'!$F$6, "-", '4M'!$F$5)</f>
        <v>Other enhancement-Additional Line-DWMPs-Surface water drainage-Wastewater network+ -Expenditure in report year</v>
      </c>
      <c r="E2715" t="str">
        <f>'4M'!$C$87</f>
        <v>Opex</v>
      </c>
      <c r="F2715" t="s">
        <v>17334</v>
      </c>
      <c r="G2715" t="str">
        <f>'4M'!$D$87</f>
        <v>£m</v>
      </c>
      <c r="O2715" t="str">
        <f>_xlfn.CONCAT('4M'!$B$58, "-", '4M'!$B$87, "-", '4M'!$G$7, "-", '4M'!$F$6, "-", '4M'!$F$5)</f>
        <v>Other enhancement-Additional Line-DWMPs-Surface water drainage-Wastewater network+ -Expenditure in report year</v>
      </c>
    </row>
    <row r="2716" spans="1:15">
      <c r="A2716" t="s">
        <v>4189</v>
      </c>
      <c r="B2716" t="str">
        <f>'4M'!$BJ$87</f>
        <v>B0361ADO_HD</v>
      </c>
      <c r="D2716" t="str">
        <f>_xlfn.CONCAT('4M'!$B$58, "-", '4M'!$B$87, "-", '4M'!$H$7, "-", '4M'!$F$6, "-", '4M'!$F$5)</f>
        <v>Other enhancement-Additional Line-DWMPs-Highway drainage-Wastewater network+ -Expenditure in report year</v>
      </c>
      <c r="E2716" t="str">
        <f>'4M'!$C$87</f>
        <v>Opex</v>
      </c>
      <c r="F2716" t="s">
        <v>17334</v>
      </c>
      <c r="G2716" t="str">
        <f>'4M'!$D$87</f>
        <v>£m</v>
      </c>
      <c r="O2716" t="str">
        <f>_xlfn.CONCAT('4M'!$B$58, "-", '4M'!$B$87, "-", '4M'!$H$7, "-", '4M'!$F$6, "-", '4M'!$F$5)</f>
        <v>Other enhancement-Additional Line-DWMPs-Highway drainage-Wastewater network+ -Expenditure in report year</v>
      </c>
    </row>
    <row r="2717" spans="1:15">
      <c r="A2717" t="s">
        <v>4189</v>
      </c>
      <c r="B2717" t="str">
        <f>'4M'!$BK$87</f>
        <v>B0361ADO_STD</v>
      </c>
      <c r="D2717" t="str">
        <f>_xlfn.CONCAT('4M'!$B$58, "-", '4M'!$B$87, "-", '4M'!$I$7, "-", '4M'!$F$6, "-", '4M'!$F$5)</f>
        <v>Other enhancement-Additional Line-DWMPs-Sewage treatment and disposal-Wastewater network+ -Expenditure in report year</v>
      </c>
      <c r="E2717" t="str">
        <f>'4M'!$C$87</f>
        <v>Opex</v>
      </c>
      <c r="F2717" t="s">
        <v>17334</v>
      </c>
      <c r="G2717" t="str">
        <f>'4M'!$D$87</f>
        <v>£m</v>
      </c>
      <c r="O2717" t="str">
        <f>_xlfn.CONCAT('4M'!$B$58, "-", '4M'!$B$87, "-", '4M'!$I$7, "-", '4M'!$F$6, "-", '4M'!$F$5)</f>
        <v>Other enhancement-Additional Line-DWMPs-Sewage treatment and disposal-Wastewater network+ -Expenditure in report year</v>
      </c>
    </row>
    <row r="2718" spans="1:15">
      <c r="A2718" t="s">
        <v>4189</v>
      </c>
      <c r="B2718" t="str">
        <f>'4M'!$BL$87</f>
        <v>B0361ADO_SLT</v>
      </c>
      <c r="D2718" t="str">
        <f>_xlfn.CONCAT('4M'!$B$58, "-", '4M'!$B$87, "-", '4M'!$J$7, "-", '4M'!$F$6, "-", '4M'!$F$5)</f>
        <v>Other enhancement-Additional Line-DWMPs-Sludge liquor treatment-Wastewater network+ -Expenditure in report year</v>
      </c>
      <c r="E2718" t="str">
        <f>'4M'!$C$87</f>
        <v>Opex</v>
      </c>
      <c r="F2718" t="s">
        <v>17334</v>
      </c>
      <c r="G2718" t="str">
        <f>'4M'!$D$87</f>
        <v>£m</v>
      </c>
      <c r="O2718" t="str">
        <f>_xlfn.CONCAT('4M'!$B$58, "-", '4M'!$B$87, "-", '4M'!$J$7, "-", '4M'!$F$6, "-", '4M'!$F$5)</f>
        <v>Other enhancement-Additional Line-DWMPs-Sludge liquor treatment-Wastewater network+ -Expenditure in report year</v>
      </c>
    </row>
    <row r="2719" spans="1:15">
      <c r="A2719" t="s">
        <v>4189</v>
      </c>
      <c r="B2719" t="str">
        <f>'4M'!$BM$87</f>
        <v>B0361ADO_STP</v>
      </c>
      <c r="D2719" t="str">
        <f>_xlfn.CONCAT('4M'!$B$58, "-", '4M'!$B$87, "-", '4M'!$K$7, "-", '4M'!$K$6, "-", '4M'!$F$5)</f>
        <v>Other enhancement-Additional Line-DWMPs-Sludge transport-Bioresources-Expenditure in report year</v>
      </c>
      <c r="E2719" t="str">
        <f>'4M'!$C$87</f>
        <v>Opex</v>
      </c>
      <c r="F2719" t="s">
        <v>17334</v>
      </c>
      <c r="G2719" t="str">
        <f>'4M'!$D$87</f>
        <v>£m</v>
      </c>
      <c r="O2719" t="str">
        <f>_xlfn.CONCAT('4M'!$B$58, "-", '4M'!$B$87, "-", '4M'!$K$7, "-", '4M'!$K$6, "-", '4M'!$F$5)</f>
        <v>Other enhancement-Additional Line-DWMPs-Sludge transport-Bioresources-Expenditure in report year</v>
      </c>
    </row>
    <row r="2720" spans="1:15">
      <c r="A2720" t="s">
        <v>4189</v>
      </c>
      <c r="B2720" t="str">
        <f>'4M'!$BN$87</f>
        <v>B0361ADO_SDT</v>
      </c>
      <c r="D2720" t="str">
        <f>_xlfn.CONCAT('4M'!$B$58, "-", '4M'!$B$87, "-", '4M'!$L$7, "-", '4M'!$K$6, "-", '4M'!$F$5)</f>
        <v>Other enhancement-Additional Line-DWMPs-Sludge treatment-Bioresources-Expenditure in report year</v>
      </c>
      <c r="E2720" t="str">
        <f>'4M'!$C$87</f>
        <v>Opex</v>
      </c>
      <c r="F2720" t="s">
        <v>17334</v>
      </c>
      <c r="G2720" t="str">
        <f>'4M'!$D$87</f>
        <v>£m</v>
      </c>
      <c r="O2720" t="str">
        <f>_xlfn.CONCAT('4M'!$B$58, "-", '4M'!$B$87, "-", '4M'!$L$7, "-", '4M'!$K$6, "-", '4M'!$F$5)</f>
        <v>Other enhancement-Additional Line-DWMPs-Sludge treatment-Bioresources-Expenditure in report year</v>
      </c>
    </row>
    <row r="2721" spans="1:15">
      <c r="A2721" t="s">
        <v>4189</v>
      </c>
      <c r="B2721" t="str">
        <f>'4M'!$BO$87</f>
        <v>B0361ADO_SD</v>
      </c>
      <c r="D2721" t="str">
        <f>_xlfn.CONCAT('4M'!$B$58, "-", '4M'!$B$87, "-", '4M'!$M$7, "-", '4M'!$K$6, "-", '4M'!$F$5)</f>
        <v>Other enhancement-Additional Line-DWMPs-Sludge disposal-Bioresources-Expenditure in report year</v>
      </c>
      <c r="E2721" t="str">
        <f>'4M'!$C$87</f>
        <v>Opex</v>
      </c>
      <c r="F2721" t="s">
        <v>17334</v>
      </c>
      <c r="G2721" t="str">
        <f>'4M'!$D$87</f>
        <v>£m</v>
      </c>
      <c r="O2721" t="str">
        <f>_xlfn.CONCAT('4M'!$B$58, "-", '4M'!$B$87, "-", '4M'!$M$7, "-", '4M'!$K$6, "-", '4M'!$F$5)</f>
        <v>Other enhancement-Additional Line-DWMPs-Sludge disposal-Bioresources-Expenditure in report year</v>
      </c>
    </row>
    <row r="2722" spans="1:15">
      <c r="A2722" t="s">
        <v>4189</v>
      </c>
      <c r="B2722" t="str">
        <f>'4M'!$BP$87</f>
        <v>B0361ADO_TOT</v>
      </c>
      <c r="D2722" t="str">
        <f>_xlfn.CONCAT('4M'!$B$58, "-", '4M'!$B$87, "-", '4M'!$N$6, "-", '4M'!$N$6, "-", '4M'!$F$5)</f>
        <v>Other enhancement-Additional Line-DWMPs-Total-Total-Expenditure in report year</v>
      </c>
      <c r="E2722" t="str">
        <f>'4M'!$C$87</f>
        <v>Opex</v>
      </c>
      <c r="F2722" t="s">
        <v>17334</v>
      </c>
      <c r="G2722" t="str">
        <f>'4M'!$D$87</f>
        <v>£m</v>
      </c>
      <c r="O2722" t="str">
        <f>_xlfn.CONCAT('4M'!$B$58, "-", '4M'!$B$87, "-", '4M'!$N$6, "-", '4M'!$N$6, "-", '4M'!$F$5)</f>
        <v>Other enhancement-Additional Line-DWMPs-Total-Total-Expenditure in report year</v>
      </c>
    </row>
    <row r="2723" spans="1:15">
      <c r="A2723" t="s">
        <v>4189</v>
      </c>
      <c r="B2723" t="str">
        <f>'4M'!$BZ$87</f>
        <v>B0402AL1O_TE</v>
      </c>
      <c r="D2723" t="str">
        <f>_xlfn.CONCAT('4M'!$B$58, "-", '4M'!$B$87, "-", '4M'!$X$7, "-", '4M'!$X$5, "-", '4M'!$X$5)</f>
        <v>Other enhancement-Additional Line-DWMPs-Total-Cumulative expenditure on all schemes to reporting year end-Cumulative expenditure on all schemes to reporting year end</v>
      </c>
      <c r="E2723" t="str">
        <f>'4M'!$C$87</f>
        <v>Opex</v>
      </c>
      <c r="F2723" t="s">
        <v>17334</v>
      </c>
      <c r="G2723" t="str">
        <f>'4M'!$D$87</f>
        <v>£m</v>
      </c>
      <c r="O2723" t="str">
        <f>_xlfn.CONCAT('4M'!$B$58, "-", '4M'!$B$87, "-", '4M'!$X$7, "-", '4M'!$X$5, "-", '4M'!$X$5)</f>
        <v>Other enhancement-Additional Line-DWMPs-Total-Cumulative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Line-DWMPs-Total-Cumulative allowed expenditure on all schemes to reporting year end-Cumulative allowed expenditure on all schemes to reporting year end</v>
      </c>
      <c r="E2724" t="str">
        <f>'4M'!$C$87</f>
        <v>Opex</v>
      </c>
      <c r="F2724" t="s">
        <v>17334</v>
      </c>
      <c r="G2724" t="str">
        <f>'4M'!$D$87</f>
        <v>£m</v>
      </c>
      <c r="O2724" t="str">
        <f>_xlfn.CONCAT('4M'!$B$58, "-", '4M'!$B$87, "-", '4M'!$Y$7, "-", '4M'!$Y$5, "-", '4M'!$Y$5)</f>
        <v>Other enhancement-Additional Line-DWMPs-Total-Cumulative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Line-DWMPs-Total-Cumulative allowed expenditure on all schemes 2020-25-Cumulative allowed expenditure on all schemes 2020-25</v>
      </c>
      <c r="E2725" t="str">
        <f>'4M'!$C$87</f>
        <v>Opex</v>
      </c>
      <c r="F2725" t="s">
        <v>17334</v>
      </c>
      <c r="G2725" t="str">
        <f>'4M'!$D$87</f>
        <v>£m</v>
      </c>
      <c r="O2725" t="str">
        <f>_xlfn.CONCAT('4M'!$B$58, "-", '4M'!$B$87, "-", '4M'!$Z$7, "-", '4M'!$Z$5, "-", '4M'!$Z$5)</f>
        <v>Other enhancement-Additional Line-DWMPs-Total-Cumulative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Loughor-Foul-Wastewater network+ -Expenditure in report year</v>
      </c>
      <c r="E2726" t="str">
        <f>'4M'!$C$88</f>
        <v>Capex</v>
      </c>
      <c r="F2726" t="s">
        <v>17334</v>
      </c>
      <c r="G2726" t="str">
        <f>'4M'!$D$88</f>
        <v>£m</v>
      </c>
      <c r="O2726" t="str">
        <f>_xlfn.CONCAT('4M'!$B$58, "-", '4M'!$B$88, "-", '4M'!$F$7, "-", '4M'!$F$6, "-", '4M'!$F$5)</f>
        <v>Other enhancement-Additional Line- Loughor-Foul-Wastewater network+ -Expenditure in report year</v>
      </c>
    </row>
    <row r="2727" spans="1:15">
      <c r="A2727" t="s">
        <v>4189</v>
      </c>
      <c r="B2727" t="str">
        <f>'4M'!$BI$88</f>
        <v>B0362ADC_SWD</v>
      </c>
      <c r="D2727" t="str">
        <f>_xlfn.CONCAT('4M'!$B$58, "-", '4M'!$B$88, "-", '4M'!$G$7, "-", '4M'!$F$6, "-", '4M'!$F$5)</f>
        <v>Other enhancement-Additional Line- Loughor-Surface water drainage-Wastewater network+ -Expenditure in report year</v>
      </c>
      <c r="E2727" t="str">
        <f>'4M'!$C$88</f>
        <v>Capex</v>
      </c>
      <c r="F2727" t="s">
        <v>17334</v>
      </c>
      <c r="G2727" t="str">
        <f>'4M'!$D$88</f>
        <v>£m</v>
      </c>
      <c r="O2727" t="str">
        <f>_xlfn.CONCAT('4M'!$B$58, "-", '4M'!$B$88, "-", '4M'!$G$7, "-", '4M'!$F$6, "-", '4M'!$F$5)</f>
        <v>Other enhancement-Additional Line- Loughor-Surface water drainage-Wastewater network+ -Expenditure in report year</v>
      </c>
    </row>
    <row r="2728" spans="1:15">
      <c r="A2728" t="s">
        <v>4189</v>
      </c>
      <c r="B2728" t="str">
        <f>'4M'!$BJ$88</f>
        <v>B0362ADC_HD</v>
      </c>
      <c r="D2728" t="str">
        <f>_xlfn.CONCAT('4M'!$B$58, "-", '4M'!$B$88, "-", '4M'!$H$7, "-", '4M'!$F$6, "-", '4M'!$F$5)</f>
        <v>Other enhancement-Additional Line- Loughor-Highway drainage-Wastewater network+ -Expenditure in report year</v>
      </c>
      <c r="E2728" t="str">
        <f>'4M'!$C$88</f>
        <v>Capex</v>
      </c>
      <c r="F2728" t="s">
        <v>17334</v>
      </c>
      <c r="G2728" t="str">
        <f>'4M'!$D$88</f>
        <v>£m</v>
      </c>
      <c r="O2728" t="str">
        <f>_xlfn.CONCAT('4M'!$B$58, "-", '4M'!$B$88, "-", '4M'!$H$7, "-", '4M'!$F$6, "-", '4M'!$F$5)</f>
        <v>Other enhancement-Additional Line- Loughor-Highway drainage-Wastewater network+ -Expenditure in report year</v>
      </c>
    </row>
    <row r="2729" spans="1:15">
      <c r="A2729" t="s">
        <v>4189</v>
      </c>
      <c r="B2729" t="str">
        <f>'4M'!$BK$88</f>
        <v>B0362ADC_STD</v>
      </c>
      <c r="D2729" t="str">
        <f>_xlfn.CONCAT('4M'!$B$58, "-", '4M'!$B$88, "-", '4M'!$I$7, "-", '4M'!$F$6, "-", '4M'!$F$5)</f>
        <v>Other enhancement-Additional Line- Loughor-Sewage treatment and disposal-Wastewater network+ -Expenditure in report year</v>
      </c>
      <c r="E2729" t="str">
        <f>'4M'!$C$88</f>
        <v>Capex</v>
      </c>
      <c r="F2729" t="s">
        <v>17334</v>
      </c>
      <c r="G2729" t="str">
        <f>'4M'!$D$88</f>
        <v>£m</v>
      </c>
      <c r="O2729" t="str">
        <f>_xlfn.CONCAT('4M'!$B$58, "-", '4M'!$B$88, "-", '4M'!$I$7, "-", '4M'!$F$6, "-", '4M'!$F$5)</f>
        <v>Other enhancement-Additional Line- Loughor-Sewage treatment and disposal-Wastewater network+ -Expenditure in report year</v>
      </c>
    </row>
    <row r="2730" spans="1:15">
      <c r="A2730" t="s">
        <v>4189</v>
      </c>
      <c r="B2730" t="str">
        <f>'4M'!$BL$88</f>
        <v>B0362ADC_SLT</v>
      </c>
      <c r="D2730" t="str">
        <f>_xlfn.CONCAT('4M'!$B$58, "-", '4M'!$B$88, "-", '4M'!$J$7, "-", '4M'!$F$6, "-", '4M'!$F$5)</f>
        <v>Other enhancement-Additional Line- Loughor-Sludge liquor treatment-Wastewater network+ -Expenditure in report year</v>
      </c>
      <c r="E2730" t="str">
        <f>'4M'!$C$88</f>
        <v>Capex</v>
      </c>
      <c r="F2730" t="s">
        <v>17334</v>
      </c>
      <c r="G2730" t="str">
        <f>'4M'!$D$88</f>
        <v>£m</v>
      </c>
      <c r="O2730" t="str">
        <f>_xlfn.CONCAT('4M'!$B$58, "-", '4M'!$B$88, "-", '4M'!$J$7, "-", '4M'!$F$6, "-", '4M'!$F$5)</f>
        <v>Other enhancement-Additional Line- Loughor-Sludge liquor treatment-Wastewater network+ -Expenditure in report year</v>
      </c>
    </row>
    <row r="2731" spans="1:15">
      <c r="A2731" t="s">
        <v>4189</v>
      </c>
      <c r="B2731" t="str">
        <f>'4M'!$BM$88</f>
        <v>B0362ADC_STP</v>
      </c>
      <c r="D2731" t="str">
        <f>_xlfn.CONCAT('4M'!$B$58, "-", '4M'!$B$88, "-", '4M'!$K$7, "-", '4M'!$K$6, "-", '4M'!$F$5)</f>
        <v>Other enhancement-Additional Line- Loughor-Sludge transport-Bioresources-Expenditure in report year</v>
      </c>
      <c r="E2731" t="str">
        <f>'4M'!$C$88</f>
        <v>Capex</v>
      </c>
      <c r="F2731" t="s">
        <v>17334</v>
      </c>
      <c r="G2731" t="str">
        <f>'4M'!$D$88</f>
        <v>£m</v>
      </c>
      <c r="O2731" t="str">
        <f>_xlfn.CONCAT('4M'!$B$58, "-", '4M'!$B$88, "-", '4M'!$K$7, "-", '4M'!$K$6, "-", '4M'!$F$5)</f>
        <v>Other enhancement-Additional Line- Loughor-Sludge transport-Bioresources-Expenditure in report year</v>
      </c>
    </row>
    <row r="2732" spans="1:15">
      <c r="A2732" t="s">
        <v>4189</v>
      </c>
      <c r="B2732" t="str">
        <f>'4M'!$BN$88</f>
        <v>B0362ADC_SDT</v>
      </c>
      <c r="D2732" t="str">
        <f>_xlfn.CONCAT('4M'!$B$58, "-", '4M'!$B$88, "-", '4M'!$L$7, "-", '4M'!$K$6, "-", '4M'!$F$5)</f>
        <v>Other enhancement-Additional Line- Loughor-Sludge treatment-Bioresources-Expenditure in report year</v>
      </c>
      <c r="E2732" t="str">
        <f>'4M'!$C$88</f>
        <v>Capex</v>
      </c>
      <c r="F2732" t="s">
        <v>17334</v>
      </c>
      <c r="G2732" t="str">
        <f>'4M'!$D$88</f>
        <v>£m</v>
      </c>
      <c r="O2732" t="str">
        <f>_xlfn.CONCAT('4M'!$B$58, "-", '4M'!$B$88, "-", '4M'!$L$7, "-", '4M'!$K$6, "-", '4M'!$F$5)</f>
        <v>Other enhancement-Additional Line- Loughor-Sludge treatment-Bioresources-Expenditure in report year</v>
      </c>
    </row>
    <row r="2733" spans="1:15">
      <c r="A2733" t="s">
        <v>4189</v>
      </c>
      <c r="B2733" t="str">
        <f>'4M'!$BO$88</f>
        <v>B0362ADC_SD</v>
      </c>
      <c r="D2733" t="str">
        <f>_xlfn.CONCAT('4M'!$B$58, "-", '4M'!$B$88, "-", '4M'!$M$7, "-", '4M'!$K$6, "-", '4M'!$F$5)</f>
        <v>Other enhancement-Additional Line- Loughor-Sludge disposal-Bioresources-Expenditure in report year</v>
      </c>
      <c r="E2733" t="str">
        <f>'4M'!$C$88</f>
        <v>Capex</v>
      </c>
      <c r="F2733" t="s">
        <v>17334</v>
      </c>
      <c r="G2733" t="str">
        <f>'4M'!$D$88</f>
        <v>£m</v>
      </c>
      <c r="O2733" t="str">
        <f>_xlfn.CONCAT('4M'!$B$58, "-", '4M'!$B$88, "-", '4M'!$M$7, "-", '4M'!$K$6, "-", '4M'!$F$5)</f>
        <v>Other enhancement-Additional Line- Loughor-Sludge disposal-Bioresources-Expenditure in report year</v>
      </c>
    </row>
    <row r="2734" spans="1:15">
      <c r="A2734" t="s">
        <v>4189</v>
      </c>
      <c r="B2734" t="str">
        <f>'4M'!$BP$88</f>
        <v>B0362ADC_TOT</v>
      </c>
      <c r="D2734" t="str">
        <f>_xlfn.CONCAT('4M'!$B$58, "-", '4M'!$B$88, "-", '4M'!$N$6, "-", '4M'!$N$6, "-", '4M'!$F$5)</f>
        <v>Other enhancement-Additional Line- Loughor-Total-Total-Expenditure in report year</v>
      </c>
      <c r="E2734" t="str">
        <f>'4M'!$C$88</f>
        <v>Capex</v>
      </c>
      <c r="F2734" t="s">
        <v>17334</v>
      </c>
      <c r="G2734" t="str">
        <f>'4M'!$D$88</f>
        <v>£m</v>
      </c>
      <c r="O2734" t="str">
        <f>_xlfn.CONCAT('4M'!$B$58, "-", '4M'!$B$88, "-", '4M'!$N$6, "-", '4M'!$N$6, "-", '4M'!$F$5)</f>
        <v>Other enhancement-Additional Line- Loughor-Total-Total-Expenditure in report year</v>
      </c>
    </row>
    <row r="2735" spans="1:15">
      <c r="A2735" t="s">
        <v>4189</v>
      </c>
      <c r="B2735" t="str">
        <f>'4M'!$BZ$88</f>
        <v>B0403AL2C_TE</v>
      </c>
      <c r="D2735" t="str">
        <f>_xlfn.CONCAT('4M'!$B$58, "-", '4M'!$B$88, "-", '4M'!$X$7, "-", '4M'!$X$5, "-", '4M'!$X$5)</f>
        <v>Other enhancement-Additional Line- Loughor-Total-Cumulative expenditure on all schemes to reporting year end-Cumulative expenditure on all schemes to reporting year end</v>
      </c>
      <c r="E2735" t="str">
        <f>'4M'!$C$88</f>
        <v>Capex</v>
      </c>
      <c r="F2735" t="s">
        <v>17334</v>
      </c>
      <c r="G2735" t="str">
        <f>'4M'!$D$88</f>
        <v>£m</v>
      </c>
      <c r="O2735" t="str">
        <f>_xlfn.CONCAT('4M'!$B$58, "-", '4M'!$B$88, "-", '4M'!$X$7, "-", '4M'!$X$5, "-", '4M'!$X$5)</f>
        <v>Other enhancement-Additional Line- Loughor-Total-Cumulative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Loughor-Total-Cumulative allowed expenditure on all schemes to reporting year end-Cumulative allowed expenditure on all schemes to reporting year end</v>
      </c>
      <c r="E2736" t="str">
        <f>'4M'!$C$88</f>
        <v>Capex</v>
      </c>
      <c r="F2736" t="s">
        <v>17334</v>
      </c>
      <c r="G2736" t="str">
        <f>'4M'!$D$88</f>
        <v>£m</v>
      </c>
      <c r="O2736" t="str">
        <f>_xlfn.CONCAT('4M'!$B$58, "-", '4M'!$B$88, "-", '4M'!$Y$7, "-", '4M'!$Y$5, "-", '4M'!$Y$5)</f>
        <v>Other enhancement-Additional Line- Loughor-Total-Cumulative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Loughor-Total-Cumulative allowed expenditure on all schemes 2020-25-Cumulative allowed expenditure on all schemes 2020-25</v>
      </c>
      <c r="E2737" t="str">
        <f>'4M'!$C$88</f>
        <v>Capex</v>
      </c>
      <c r="F2737" t="s">
        <v>17334</v>
      </c>
      <c r="G2737" t="str">
        <f>'4M'!$D$88</f>
        <v>£m</v>
      </c>
      <c r="O2737" t="str">
        <f>_xlfn.CONCAT('4M'!$B$58, "-", '4M'!$B$88, "-", '4M'!$Z$7, "-", '4M'!$Z$5, "-", '4M'!$Z$5)</f>
        <v>Other enhancement-Additional Line- Loughor-Total-Cumulative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Loughor-Foul-Wastewater network+ -Expenditure in report year</v>
      </c>
      <c r="E2738" t="str">
        <f>'4M'!$C$89</f>
        <v>Opex</v>
      </c>
      <c r="F2738" t="s">
        <v>17334</v>
      </c>
      <c r="G2738" t="str">
        <f>'4M'!$D$89</f>
        <v>£m</v>
      </c>
      <c r="O2738" t="str">
        <f>_xlfn.CONCAT('4M'!$B$58, "-", '4M'!$B$89, "-", '4M'!$F$7, "-", '4M'!$F$6, "-", '4M'!$F$5)</f>
        <v>Other enhancement-Additional Line- Loughor-Foul-Wastewater network+ -Expenditure in report year</v>
      </c>
    </row>
    <row r="2739" spans="1:15">
      <c r="A2739" t="s">
        <v>4189</v>
      </c>
      <c r="B2739" t="str">
        <f>'4M'!$BI$89</f>
        <v>B0363ADO_SWD</v>
      </c>
      <c r="D2739" t="str">
        <f>_xlfn.CONCAT('4M'!$B$58, "-", '4M'!$B$89, "-", '4M'!$G$7, "-", '4M'!$F$6, "-", '4M'!$F$5)</f>
        <v>Other enhancement-Additional Line- Loughor-Surface water drainage-Wastewater network+ -Expenditure in report year</v>
      </c>
      <c r="E2739" t="str">
        <f>'4M'!$C$89</f>
        <v>Opex</v>
      </c>
      <c r="F2739" t="s">
        <v>17334</v>
      </c>
      <c r="G2739" t="str">
        <f>'4M'!$D$89</f>
        <v>£m</v>
      </c>
      <c r="O2739" t="str">
        <f>_xlfn.CONCAT('4M'!$B$58, "-", '4M'!$B$89, "-", '4M'!$G$7, "-", '4M'!$F$6, "-", '4M'!$F$5)</f>
        <v>Other enhancement-Additional Line- Loughor-Surface water drainage-Wastewater network+ -Expenditure in report year</v>
      </c>
    </row>
    <row r="2740" spans="1:15">
      <c r="A2740" t="s">
        <v>4189</v>
      </c>
      <c r="B2740" t="str">
        <f>'4M'!$BJ$89</f>
        <v>B0363ADO_HD</v>
      </c>
      <c r="D2740" t="str">
        <f>_xlfn.CONCAT('4M'!$B$58, "-", '4M'!$B$89, "-", '4M'!$H$7, "-", '4M'!$F$6, "-", '4M'!$F$5)</f>
        <v>Other enhancement-Additional Line- Loughor-Highway drainage-Wastewater network+ -Expenditure in report year</v>
      </c>
      <c r="E2740" t="str">
        <f>'4M'!$C$89</f>
        <v>Opex</v>
      </c>
      <c r="F2740" t="s">
        <v>17334</v>
      </c>
      <c r="G2740" t="str">
        <f>'4M'!$D$89</f>
        <v>£m</v>
      </c>
      <c r="O2740" t="str">
        <f>_xlfn.CONCAT('4M'!$B$58, "-", '4M'!$B$89, "-", '4M'!$H$7, "-", '4M'!$F$6, "-", '4M'!$F$5)</f>
        <v>Other enhancement-Additional Line- Loughor-Highway drainage-Wastewater network+ -Expenditure in report year</v>
      </c>
    </row>
    <row r="2741" spans="1:15">
      <c r="A2741" t="s">
        <v>4189</v>
      </c>
      <c r="B2741" t="str">
        <f>'4M'!$BK$89</f>
        <v>B0363ADO_STD</v>
      </c>
      <c r="D2741" t="str">
        <f>_xlfn.CONCAT('4M'!$B$58, "-", '4M'!$B$89, "-", '4M'!$I$7, "-", '4M'!$F$6, "-", '4M'!$F$5)</f>
        <v>Other enhancement-Additional Line- Loughor-Sewage treatment and disposal-Wastewater network+ -Expenditure in report year</v>
      </c>
      <c r="E2741" t="str">
        <f>'4M'!$C$89</f>
        <v>Opex</v>
      </c>
      <c r="F2741" t="s">
        <v>17334</v>
      </c>
      <c r="G2741" t="str">
        <f>'4M'!$D$89</f>
        <v>£m</v>
      </c>
      <c r="O2741" t="str">
        <f>_xlfn.CONCAT('4M'!$B$58, "-", '4M'!$B$89, "-", '4M'!$I$7, "-", '4M'!$F$6, "-", '4M'!$F$5)</f>
        <v>Other enhancement-Additional Line- Loughor-Sewage treatment and disposal-Wastewater network+ -Expenditure in report year</v>
      </c>
    </row>
    <row r="2742" spans="1:15">
      <c r="A2742" t="s">
        <v>4189</v>
      </c>
      <c r="B2742" t="str">
        <f>'4M'!$BL$89</f>
        <v>B0363ADO_SLT</v>
      </c>
      <c r="D2742" t="str">
        <f>_xlfn.CONCAT('4M'!$B$58, "-", '4M'!$B$89, "-", '4M'!$J$7, "-", '4M'!$F$6, "-", '4M'!$F$5)</f>
        <v>Other enhancement-Additional Line- Loughor-Sludge liquor treatment-Wastewater network+ -Expenditure in report year</v>
      </c>
      <c r="E2742" t="str">
        <f>'4M'!$C$89</f>
        <v>Opex</v>
      </c>
      <c r="F2742" t="s">
        <v>17334</v>
      </c>
      <c r="G2742" t="str">
        <f>'4M'!$D$89</f>
        <v>£m</v>
      </c>
      <c r="O2742" t="str">
        <f>_xlfn.CONCAT('4M'!$B$58, "-", '4M'!$B$89, "-", '4M'!$J$7, "-", '4M'!$F$6, "-", '4M'!$F$5)</f>
        <v>Other enhancement-Additional Line- Loughor-Sludge liquor treatment-Wastewater network+ -Expenditure in report year</v>
      </c>
    </row>
    <row r="2743" spans="1:15">
      <c r="A2743" t="s">
        <v>4189</v>
      </c>
      <c r="B2743" t="str">
        <f>'4M'!$BM$89</f>
        <v>B0363ADO_STP</v>
      </c>
      <c r="D2743" t="str">
        <f>_xlfn.CONCAT('4M'!$B$58, "-", '4M'!$B$89, "-", '4M'!$K$7, "-", '4M'!$K$6, "-", '4M'!$F$5)</f>
        <v>Other enhancement-Additional Line- Loughor-Sludge transport-Bioresources-Expenditure in report year</v>
      </c>
      <c r="E2743" t="str">
        <f>'4M'!$C$89</f>
        <v>Opex</v>
      </c>
      <c r="F2743" t="s">
        <v>17334</v>
      </c>
      <c r="G2743" t="str">
        <f>'4M'!$D$89</f>
        <v>£m</v>
      </c>
      <c r="O2743" t="str">
        <f>_xlfn.CONCAT('4M'!$B$58, "-", '4M'!$B$89, "-", '4M'!$K$7, "-", '4M'!$K$6, "-", '4M'!$F$5)</f>
        <v>Other enhancement-Additional Line- Loughor-Sludge transport-Bioresources-Expenditure in report year</v>
      </c>
    </row>
    <row r="2744" spans="1:15">
      <c r="A2744" t="s">
        <v>4189</v>
      </c>
      <c r="B2744" t="str">
        <f>'4M'!$BN$89</f>
        <v>B0363ADO_SDT</v>
      </c>
      <c r="D2744" t="str">
        <f>_xlfn.CONCAT('4M'!$B$58, "-", '4M'!$B$89, "-", '4M'!$L$7, "-", '4M'!$K$6, "-", '4M'!$F$5)</f>
        <v>Other enhancement-Additional Line- Loughor-Sludge treatment-Bioresources-Expenditure in report year</v>
      </c>
      <c r="E2744" t="str">
        <f>'4M'!$C$89</f>
        <v>Opex</v>
      </c>
      <c r="F2744" t="s">
        <v>17334</v>
      </c>
      <c r="G2744" t="str">
        <f>'4M'!$D$89</f>
        <v>£m</v>
      </c>
      <c r="O2744" t="str">
        <f>_xlfn.CONCAT('4M'!$B$58, "-", '4M'!$B$89, "-", '4M'!$L$7, "-", '4M'!$K$6, "-", '4M'!$F$5)</f>
        <v>Other enhancement-Additional Line- Loughor-Sludge treatment-Bioresources-Expenditure in report year</v>
      </c>
    </row>
    <row r="2745" spans="1:15">
      <c r="A2745" t="s">
        <v>4189</v>
      </c>
      <c r="B2745" t="str">
        <f>'4M'!$BO$89</f>
        <v>B0363ADO_SD</v>
      </c>
      <c r="D2745" t="str">
        <f>_xlfn.CONCAT('4M'!$B$58, "-", '4M'!$B$89, "-", '4M'!$M$7, "-", '4M'!$K$6, "-", '4M'!$F$5)</f>
        <v>Other enhancement-Additional Line- Loughor-Sludge disposal-Bioresources-Expenditure in report year</v>
      </c>
      <c r="E2745" t="str">
        <f>'4M'!$C$89</f>
        <v>Opex</v>
      </c>
      <c r="F2745" t="s">
        <v>17334</v>
      </c>
      <c r="G2745" t="str">
        <f>'4M'!$D$89</f>
        <v>£m</v>
      </c>
      <c r="O2745" t="str">
        <f>_xlfn.CONCAT('4M'!$B$58, "-", '4M'!$B$89, "-", '4M'!$M$7, "-", '4M'!$K$6, "-", '4M'!$F$5)</f>
        <v>Other enhancement-Additional Line- Loughor-Sludge disposal-Bioresources-Expenditure in report year</v>
      </c>
    </row>
    <row r="2746" spans="1:15">
      <c r="A2746" t="s">
        <v>4189</v>
      </c>
      <c r="B2746" t="str">
        <f>'4M'!$BP$89</f>
        <v>B0363ADO_TOT</v>
      </c>
      <c r="D2746" t="str">
        <f>_xlfn.CONCAT('4M'!$B$58, "-", '4M'!$B$89, "-", '4M'!$N$6, "-", '4M'!$N$6, "-", '4M'!$F$5)</f>
        <v>Other enhancement-Additional Line- Loughor-Total-Total-Expenditure in report year</v>
      </c>
      <c r="E2746" t="str">
        <f>'4M'!$C$89</f>
        <v>Opex</v>
      </c>
      <c r="F2746" t="s">
        <v>17334</v>
      </c>
      <c r="G2746" t="str">
        <f>'4M'!$D$89</f>
        <v>£m</v>
      </c>
      <c r="O2746" t="str">
        <f>_xlfn.CONCAT('4M'!$B$58, "-", '4M'!$B$89, "-", '4M'!$N$6, "-", '4M'!$N$6, "-", '4M'!$F$5)</f>
        <v>Other enhancement-Additional Line- Loughor-Total-Total-Expenditure in report year</v>
      </c>
    </row>
    <row r="2747" spans="1:15">
      <c r="A2747" t="s">
        <v>4189</v>
      </c>
      <c r="B2747" t="str">
        <f>'4M'!$BZ$89</f>
        <v>B0404AL2O_TE</v>
      </c>
      <c r="D2747" t="str">
        <f>_xlfn.CONCAT('4M'!$B$58, "-", '4M'!$B$89, "-", '4M'!$X$7, "-", '4M'!$X$5, "-", '4M'!$X$5)</f>
        <v>Other enhancement-Additional Line- Loughor-Total-Cumulative expenditure on all schemes to reporting year end-Cumulative expenditure on all schemes to reporting year end</v>
      </c>
      <c r="E2747" t="str">
        <f>'4M'!$C$89</f>
        <v>Opex</v>
      </c>
      <c r="F2747" t="s">
        <v>17334</v>
      </c>
      <c r="G2747" t="str">
        <f>'4M'!$D$89</f>
        <v>£m</v>
      </c>
      <c r="O2747" t="str">
        <f>_xlfn.CONCAT('4M'!$B$58, "-", '4M'!$B$89, "-", '4M'!$X$7, "-", '4M'!$X$5, "-", '4M'!$X$5)</f>
        <v>Other enhancement-Additional Line- Loughor-Total-Cumulative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Loughor-Total-Cumulative allowed expenditure on all schemes to reporting year end-Cumulative allowed expenditure on all schemes to reporting year end</v>
      </c>
      <c r="E2748" t="str">
        <f>'4M'!$C$89</f>
        <v>Opex</v>
      </c>
      <c r="F2748" t="s">
        <v>17334</v>
      </c>
      <c r="G2748" t="str">
        <f>'4M'!$D$89</f>
        <v>£m</v>
      </c>
      <c r="O2748" t="str">
        <f>_xlfn.CONCAT('4M'!$B$58, "-", '4M'!$B$89, "-", '4M'!$Y$7, "-", '4M'!$Y$5, "-", '4M'!$Y$5)</f>
        <v>Other enhancement-Additional Line- Loughor-Total-Cumulative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Loughor-Total-Cumulative allowed expenditure on all schemes 2020-25-Cumulative allowed expenditure on all schemes 2020-25</v>
      </c>
      <c r="E2749" t="str">
        <f>'4M'!$C$89</f>
        <v>Opex</v>
      </c>
      <c r="F2749" t="s">
        <v>17334</v>
      </c>
      <c r="G2749" t="str">
        <f>'4M'!$D$89</f>
        <v>£m</v>
      </c>
      <c r="O2749" t="str">
        <f>_xlfn.CONCAT('4M'!$B$58, "-", '4M'!$B$89, "-", '4M'!$Z$7, "-", '4M'!$Z$5, "-", '4M'!$Z$5)</f>
        <v>Other enhancement-Additional Line- Loughor-Total-Cumulative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Gowerton /Llanelli UWWTD-Foul-Wastewater network+ -Expenditure in report year</v>
      </c>
      <c r="E2750" t="str">
        <f>'4M'!$C$90</f>
        <v>Capex</v>
      </c>
      <c r="F2750" t="s">
        <v>17334</v>
      </c>
      <c r="G2750" t="str">
        <f>'4M'!$D$90</f>
        <v>£m</v>
      </c>
      <c r="O2750" t="str">
        <f>_xlfn.CONCAT('4M'!$B$58, "-", '4M'!$B$90, "-", '4M'!$F$7, "-", '4M'!$F$6, "-", '4M'!$F$5)</f>
        <v>Other enhancement-Additional line- Gowerton /Llanelli UWWTD-Foul-Wastewater network+ -Expenditure in report year</v>
      </c>
    </row>
    <row r="2751" spans="1:15">
      <c r="A2751" t="s">
        <v>4189</v>
      </c>
      <c r="B2751" t="str">
        <f>'4M'!$BI$90</f>
        <v>B0364ADC_SWD</v>
      </c>
      <c r="D2751" t="str">
        <f>_xlfn.CONCAT('4M'!$B$58, "-", '4M'!$B$90, "-", '4M'!$G$7, "-", '4M'!$F$6, "-", '4M'!$F$5)</f>
        <v>Other enhancement-Additional line- Gowerton /Llanelli UWWTD-Surface water drainage-Wastewater network+ -Expenditure in report year</v>
      </c>
      <c r="E2751" t="str">
        <f>'4M'!$C$90</f>
        <v>Capex</v>
      </c>
      <c r="F2751" t="s">
        <v>17334</v>
      </c>
      <c r="G2751" t="str">
        <f>'4M'!$D$90</f>
        <v>£m</v>
      </c>
      <c r="O2751" t="str">
        <f>_xlfn.CONCAT('4M'!$B$58, "-", '4M'!$B$90, "-", '4M'!$G$7, "-", '4M'!$F$6, "-", '4M'!$F$5)</f>
        <v>Other enhancement-Additional line- Gowerton /Llanelli UWWTD-Surface water drainage-Wastewater network+ -Expenditure in report year</v>
      </c>
    </row>
    <row r="2752" spans="1:15">
      <c r="A2752" t="s">
        <v>4189</v>
      </c>
      <c r="B2752" t="str">
        <f>'4M'!$BJ$90</f>
        <v>B0364ADC_HD</v>
      </c>
      <c r="D2752" t="str">
        <f>_xlfn.CONCAT('4M'!$B$58, "-", '4M'!$B$90, "-", '4M'!$H$7, "-", '4M'!$F$6, "-", '4M'!$F$5)</f>
        <v>Other enhancement-Additional line- Gowerton /Llanelli UWWTD-Highway drainage-Wastewater network+ -Expenditure in report year</v>
      </c>
      <c r="E2752" t="str">
        <f>'4M'!$C$90</f>
        <v>Capex</v>
      </c>
      <c r="F2752" t="s">
        <v>17334</v>
      </c>
      <c r="G2752" t="str">
        <f>'4M'!$D$90</f>
        <v>£m</v>
      </c>
      <c r="O2752" t="str">
        <f>_xlfn.CONCAT('4M'!$B$58, "-", '4M'!$B$90, "-", '4M'!$H$7, "-", '4M'!$F$6, "-", '4M'!$F$5)</f>
        <v>Other enhancement-Additional line- Gowerton /Llanelli UWWTD-Highway drainage-Wastewater network+ -Expenditure in report year</v>
      </c>
    </row>
    <row r="2753" spans="1:15">
      <c r="A2753" t="s">
        <v>4189</v>
      </c>
      <c r="B2753" t="str">
        <f>'4M'!$BK$90</f>
        <v>B0364ADC_STD</v>
      </c>
      <c r="D2753" t="str">
        <f>_xlfn.CONCAT('4M'!$B$58, "-", '4M'!$B$90, "-", '4M'!$I$7, "-", '4M'!$F$6, "-", '4M'!$F$5)</f>
        <v>Other enhancement-Additional line- Gowerton /Llanelli UWWTD-Sewage treatment and disposal-Wastewater network+ -Expenditure in report year</v>
      </c>
      <c r="E2753" t="str">
        <f>'4M'!$C$90</f>
        <v>Capex</v>
      </c>
      <c r="F2753" t="s">
        <v>17334</v>
      </c>
      <c r="G2753" t="str">
        <f>'4M'!$D$90</f>
        <v>£m</v>
      </c>
      <c r="O2753" t="str">
        <f>_xlfn.CONCAT('4M'!$B$58, "-", '4M'!$B$90, "-", '4M'!$I$7, "-", '4M'!$F$6, "-", '4M'!$F$5)</f>
        <v>Other enhancement-Additional line- Gowerton /Llanelli UWWTD-Sewage treatment and disposal-Wastewater network+ -Expenditure in report year</v>
      </c>
    </row>
    <row r="2754" spans="1:15">
      <c r="A2754" t="s">
        <v>4189</v>
      </c>
      <c r="B2754" t="str">
        <f>'4M'!$BL$90</f>
        <v>B0364ADC_SLT</v>
      </c>
      <c r="D2754" t="str">
        <f>_xlfn.CONCAT('4M'!$B$58, "-", '4M'!$B$90, "-", '4M'!$J$7, "-", '4M'!$F$6, "-", '4M'!$F$5)</f>
        <v>Other enhancement-Additional line- Gowerton /Llanelli UWWTD-Sludge liquor treatment-Wastewater network+ -Expenditure in report year</v>
      </c>
      <c r="E2754" t="str">
        <f>'4M'!$C$90</f>
        <v>Capex</v>
      </c>
      <c r="F2754" t="s">
        <v>17334</v>
      </c>
      <c r="G2754" t="str">
        <f>'4M'!$D$90</f>
        <v>£m</v>
      </c>
      <c r="O2754" t="str">
        <f>_xlfn.CONCAT('4M'!$B$58, "-", '4M'!$B$90, "-", '4M'!$J$7, "-", '4M'!$F$6, "-", '4M'!$F$5)</f>
        <v>Other enhancement-Additional line- Gowerton /Llanelli UWWTD-Sludge liquor treatment-Wastewater network+ -Expenditure in report year</v>
      </c>
    </row>
    <row r="2755" spans="1:15">
      <c r="A2755" t="s">
        <v>4189</v>
      </c>
      <c r="B2755" t="str">
        <f>'4M'!$BM$90</f>
        <v>B0364ADC_STP</v>
      </c>
      <c r="D2755" t="str">
        <f>_xlfn.CONCAT('4M'!$B$58, "-", '4M'!$B$90, "-", '4M'!$K$7, "-", '4M'!$K$6, "-", '4M'!$F$5)</f>
        <v>Other enhancement-Additional line- Gowerton /Llanelli UWWTD-Sludge transport-Bioresources-Expenditure in report year</v>
      </c>
      <c r="E2755" t="str">
        <f>'4M'!$C$90</f>
        <v>Capex</v>
      </c>
      <c r="F2755" t="s">
        <v>17334</v>
      </c>
      <c r="G2755" t="str">
        <f>'4M'!$D$90</f>
        <v>£m</v>
      </c>
      <c r="O2755" t="str">
        <f>_xlfn.CONCAT('4M'!$B$58, "-", '4M'!$B$90, "-", '4M'!$K$7, "-", '4M'!$K$6, "-", '4M'!$F$5)</f>
        <v>Other enhancement-Additional line- Gowerton /Llanelli UWWTD-Sludge transport-Bioresources-Expenditure in report year</v>
      </c>
    </row>
    <row r="2756" spans="1:15">
      <c r="A2756" t="s">
        <v>4189</v>
      </c>
      <c r="B2756" t="str">
        <f>'4M'!$BN$90</f>
        <v>B0364ADC_SDT</v>
      </c>
      <c r="D2756" t="str">
        <f>_xlfn.CONCAT('4M'!$B$58, "-", '4M'!$B$90, "-", '4M'!$L$7, "-", '4M'!$K$6, "-", '4M'!$F$5)</f>
        <v>Other enhancement-Additional line- Gowerton /Llanelli UWWTD-Sludge treatment-Bioresources-Expenditure in report year</v>
      </c>
      <c r="E2756" t="str">
        <f>'4M'!$C$90</f>
        <v>Capex</v>
      </c>
      <c r="F2756" t="s">
        <v>17334</v>
      </c>
      <c r="G2756" t="str">
        <f>'4M'!$D$90</f>
        <v>£m</v>
      </c>
      <c r="O2756" t="str">
        <f>_xlfn.CONCAT('4M'!$B$58, "-", '4M'!$B$90, "-", '4M'!$L$7, "-", '4M'!$K$6, "-", '4M'!$F$5)</f>
        <v>Other enhancement-Additional line- Gowerton /Llanelli UWWTD-Sludge treatment-Bioresources-Expenditure in report year</v>
      </c>
    </row>
    <row r="2757" spans="1:15">
      <c r="A2757" t="s">
        <v>4189</v>
      </c>
      <c r="B2757" t="str">
        <f>'4M'!$BO$90</f>
        <v>B0364ADC_SD</v>
      </c>
      <c r="D2757" t="str">
        <f>_xlfn.CONCAT('4M'!$B$58, "-", '4M'!$B$90, "-", '4M'!$M$7, "-", '4M'!$K$6, "-", '4M'!$F$5)</f>
        <v>Other enhancement-Additional line- Gowerton /Llanelli UWWTD-Sludge disposal-Bioresources-Expenditure in report year</v>
      </c>
      <c r="E2757" t="str">
        <f>'4M'!$C$90</f>
        <v>Capex</v>
      </c>
      <c r="F2757" t="s">
        <v>17334</v>
      </c>
      <c r="G2757" t="str">
        <f>'4M'!$D$90</f>
        <v>£m</v>
      </c>
      <c r="O2757" t="str">
        <f>_xlfn.CONCAT('4M'!$B$58, "-", '4M'!$B$90, "-", '4M'!$M$7, "-", '4M'!$K$6, "-", '4M'!$F$5)</f>
        <v>Other enhancement-Additional line- Gowerton /Llanelli UWWTD-Sludge disposal-Bioresources-Expenditure in report year</v>
      </c>
    </row>
    <row r="2758" spans="1:15">
      <c r="A2758" t="s">
        <v>4189</v>
      </c>
      <c r="B2758" t="str">
        <f>'4M'!$BP$90</f>
        <v>B0364ADC_TOT</v>
      </c>
      <c r="D2758" t="str">
        <f>_xlfn.CONCAT('4M'!$B$58, "-", '4M'!$B$90, "-", '4M'!$N$6, "-", '4M'!$N$6, "-", '4M'!$F$5)</f>
        <v>Other enhancement-Additional line- Gowerton /Llanelli UWWTD-Total-Total-Expenditure in report year</v>
      </c>
      <c r="E2758" t="str">
        <f>'4M'!$C$90</f>
        <v>Capex</v>
      </c>
      <c r="F2758" t="s">
        <v>17334</v>
      </c>
      <c r="G2758" t="str">
        <f>'4M'!$D$90</f>
        <v>£m</v>
      </c>
      <c r="O2758" t="str">
        <f>_xlfn.CONCAT('4M'!$B$58, "-", '4M'!$B$90, "-", '4M'!$N$6, "-", '4M'!$N$6, "-", '4M'!$F$5)</f>
        <v>Other enhancement-Additional line- Gowerton /Llanelli UWWTD-Total-Total-Expenditure in report year</v>
      </c>
    </row>
    <row r="2759" spans="1:15">
      <c r="A2759" t="s">
        <v>4189</v>
      </c>
      <c r="B2759" t="str">
        <f>'4M'!$BZ$90</f>
        <v>B0405AL3C_TE</v>
      </c>
      <c r="D2759" t="str">
        <f>_xlfn.CONCAT('4M'!$B$58, "-", '4M'!$B$90, "-", '4M'!$X$7, "-", '4M'!$X$5, "-", '4M'!$X$5)</f>
        <v>Other enhancement-Additional line- Gowerton /Llanelli UWWTD-Total-Cumulative expenditure on all schemes to reporting year end-Cumulative expenditure on all schemes to reporting year end</v>
      </c>
      <c r="E2759" t="str">
        <f>'4M'!$C$90</f>
        <v>Capex</v>
      </c>
      <c r="F2759" t="s">
        <v>17334</v>
      </c>
      <c r="G2759" t="str">
        <f>'4M'!$D$90</f>
        <v>£m</v>
      </c>
      <c r="O2759" t="str">
        <f>_xlfn.CONCAT('4M'!$B$58, "-", '4M'!$B$90, "-", '4M'!$X$7, "-", '4M'!$X$5, "-", '4M'!$X$5)</f>
        <v>Other enhancement-Additional line- Gowerton /Llanelli UWWTD-Total-Cumulative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Gowerton /Llanelli UWWTD-Total-Cumulative allowed expenditure on all schemes to reporting year end-Cumulative allowed expenditure on all schemes to reporting year end</v>
      </c>
      <c r="E2760" t="str">
        <f>'4M'!$C$90</f>
        <v>Capex</v>
      </c>
      <c r="F2760" t="s">
        <v>17334</v>
      </c>
      <c r="G2760" t="str">
        <f>'4M'!$D$90</f>
        <v>£m</v>
      </c>
      <c r="O2760" t="str">
        <f>_xlfn.CONCAT('4M'!$B$58, "-", '4M'!$B$90, "-", '4M'!$Y$7, "-", '4M'!$Y$5, "-", '4M'!$Y$5)</f>
        <v>Other enhancement-Additional line- Gowerton /Llanelli UWWTD-Total-Cumulative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Gowerton /Llanelli UWWTD-Total-Cumulative allowed expenditure on all schemes 2020-25-Cumulative allowed expenditure on all schemes 2020-25</v>
      </c>
      <c r="E2761" t="str">
        <f>'4M'!$C$90</f>
        <v>Capex</v>
      </c>
      <c r="F2761" t="s">
        <v>17334</v>
      </c>
      <c r="G2761" t="str">
        <f>'4M'!$D$90</f>
        <v>£m</v>
      </c>
      <c r="O2761" t="str">
        <f>_xlfn.CONCAT('4M'!$B$58, "-", '4M'!$B$90, "-", '4M'!$Z$7, "-", '4M'!$Z$5, "-", '4M'!$Z$5)</f>
        <v>Other enhancement-Additional line- Gowerton /Llanelli UWWTD-Total-Cumulative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Gowerton /Llanelli UWWTD-Foul-Wastewater network+ -Expenditure in report year</v>
      </c>
      <c r="E2762" t="str">
        <f>'4M'!$C$91</f>
        <v>Opex</v>
      </c>
      <c r="F2762" t="s">
        <v>17334</v>
      </c>
      <c r="G2762" t="str">
        <f>'4M'!$D$91</f>
        <v>£m</v>
      </c>
      <c r="O2762" t="str">
        <f>_xlfn.CONCAT('4M'!$B$58, "-", '4M'!$B$91, "-", '4M'!$F$7, "-", '4M'!$F$6, "-", '4M'!$F$5)</f>
        <v>Other enhancement-Additional line- Gowerton /Llanelli UWWTD-Foul-Wastewater network+ -Expenditure in report year</v>
      </c>
    </row>
    <row r="2763" spans="1:15">
      <c r="A2763" t="s">
        <v>4189</v>
      </c>
      <c r="B2763" t="str">
        <f>'4M'!$BI$91</f>
        <v>B0365ADO_SWD</v>
      </c>
      <c r="D2763" t="str">
        <f>_xlfn.CONCAT('4M'!$B$58, "-", '4M'!$B$91, "-", '4M'!$G$7, "-", '4M'!$F$6, "-", '4M'!$F$5)</f>
        <v>Other enhancement-Additional line- Gowerton /Llanelli UWWTD-Surface water drainage-Wastewater network+ -Expenditure in report year</v>
      </c>
      <c r="E2763" t="str">
        <f>'4M'!$C$91</f>
        <v>Opex</v>
      </c>
      <c r="F2763" t="s">
        <v>17334</v>
      </c>
      <c r="G2763" t="str">
        <f>'4M'!$D$91</f>
        <v>£m</v>
      </c>
      <c r="O2763" t="str">
        <f>_xlfn.CONCAT('4M'!$B$58, "-", '4M'!$B$91, "-", '4M'!$G$7, "-", '4M'!$F$6, "-", '4M'!$F$5)</f>
        <v>Other enhancement-Additional line- Gowerton /Llanelli UWWTD-Surface water drainage-Wastewater network+ -Expenditure in report year</v>
      </c>
    </row>
    <row r="2764" spans="1:15">
      <c r="A2764" t="s">
        <v>4189</v>
      </c>
      <c r="B2764" t="str">
        <f>'4M'!$BJ$91</f>
        <v>B0365ADO_HD</v>
      </c>
      <c r="D2764" t="str">
        <f>_xlfn.CONCAT('4M'!$B$58, "-", '4M'!$B$91, "-", '4M'!$H$7, "-", '4M'!$F$6, "-", '4M'!$F$5)</f>
        <v>Other enhancement-Additional line- Gowerton /Llanelli UWWTD-Highway drainage-Wastewater network+ -Expenditure in report year</v>
      </c>
      <c r="E2764" t="str">
        <f>'4M'!$C$91</f>
        <v>Opex</v>
      </c>
      <c r="F2764" t="s">
        <v>17334</v>
      </c>
      <c r="G2764" t="str">
        <f>'4M'!$D$91</f>
        <v>£m</v>
      </c>
      <c r="O2764" t="str">
        <f>_xlfn.CONCAT('4M'!$B$58, "-", '4M'!$B$91, "-", '4M'!$H$7, "-", '4M'!$F$6, "-", '4M'!$F$5)</f>
        <v>Other enhancement-Additional line- Gowerton /Llanelli UWWTD-Highway drainage-Wastewater network+ -Expenditure in report year</v>
      </c>
    </row>
    <row r="2765" spans="1:15">
      <c r="A2765" t="s">
        <v>4189</v>
      </c>
      <c r="B2765" t="str">
        <f>'4M'!$BK$91</f>
        <v>B0365ADO_STD</v>
      </c>
      <c r="D2765" t="str">
        <f>_xlfn.CONCAT('4M'!$B$58, "-", '4M'!$B$91, "-", '4M'!$I$7, "-", '4M'!$F$6, "-", '4M'!$F$5)</f>
        <v>Other enhancement-Additional line- Gowerton /Llanelli UWWTD-Sewage treatment and disposal-Wastewater network+ -Expenditure in report year</v>
      </c>
      <c r="E2765" t="str">
        <f>'4M'!$C$91</f>
        <v>Opex</v>
      </c>
      <c r="F2765" t="s">
        <v>17334</v>
      </c>
      <c r="G2765" t="str">
        <f>'4M'!$D$91</f>
        <v>£m</v>
      </c>
      <c r="O2765" t="str">
        <f>_xlfn.CONCAT('4M'!$B$58, "-", '4M'!$B$91, "-", '4M'!$I$7, "-", '4M'!$F$6, "-", '4M'!$F$5)</f>
        <v>Other enhancement-Additional line- Gowerton /Llanelli UWWTD-Sewage treatment and disposal-Wastewater network+ -Expenditure in report year</v>
      </c>
    </row>
    <row r="2766" spans="1:15">
      <c r="A2766" t="s">
        <v>4189</v>
      </c>
      <c r="B2766" t="str">
        <f>'4M'!$BL$91</f>
        <v>B0365ADO_SLT</v>
      </c>
      <c r="D2766" t="str">
        <f>_xlfn.CONCAT('4M'!$B$58, "-", '4M'!$B$91, "-", '4M'!$J$7, "-", '4M'!$F$6, "-", '4M'!$F$5)</f>
        <v>Other enhancement-Additional line- Gowerton /Llanelli UWWTD-Sludge liquor treatment-Wastewater network+ -Expenditure in report year</v>
      </c>
      <c r="E2766" t="str">
        <f>'4M'!$C$91</f>
        <v>Opex</v>
      </c>
      <c r="F2766" t="s">
        <v>17334</v>
      </c>
      <c r="G2766" t="str">
        <f>'4M'!$D$91</f>
        <v>£m</v>
      </c>
      <c r="O2766" t="str">
        <f>_xlfn.CONCAT('4M'!$B$58, "-", '4M'!$B$91, "-", '4M'!$J$7, "-", '4M'!$F$6, "-", '4M'!$F$5)</f>
        <v>Other enhancement-Additional line- Gowerton /Llanelli UWWTD-Sludge liquor treatment-Wastewater network+ -Expenditure in report year</v>
      </c>
    </row>
    <row r="2767" spans="1:15">
      <c r="A2767" t="s">
        <v>4189</v>
      </c>
      <c r="B2767" t="str">
        <f>'4M'!$BM$91</f>
        <v>B0365ADO_STP</v>
      </c>
      <c r="D2767" t="str">
        <f>_xlfn.CONCAT('4M'!$B$58, "-", '4M'!$B$91, "-", '4M'!$K$7, "-", '4M'!$K$6, "-", '4M'!$F$5)</f>
        <v>Other enhancement-Additional line- Gowerton /Llanelli UWWTD-Sludge transport-Bioresources-Expenditure in report year</v>
      </c>
      <c r="E2767" t="str">
        <f>'4M'!$C$91</f>
        <v>Opex</v>
      </c>
      <c r="F2767" t="s">
        <v>17334</v>
      </c>
      <c r="G2767" t="str">
        <f>'4M'!$D$91</f>
        <v>£m</v>
      </c>
      <c r="O2767" t="str">
        <f>_xlfn.CONCAT('4M'!$B$58, "-", '4M'!$B$91, "-", '4M'!$K$7, "-", '4M'!$K$6, "-", '4M'!$F$5)</f>
        <v>Other enhancement-Additional line- Gowerton /Llanelli UWWTD-Sludge transport-Bioresources-Expenditure in report year</v>
      </c>
    </row>
    <row r="2768" spans="1:15">
      <c r="A2768" t="s">
        <v>4189</v>
      </c>
      <c r="B2768" t="str">
        <f>'4M'!$BN$91</f>
        <v>B0365ADO_SDT</v>
      </c>
      <c r="D2768" t="str">
        <f>_xlfn.CONCAT('4M'!$B$58, "-", '4M'!$B$91, "-", '4M'!$L$7, "-", '4M'!$K$6, "-", '4M'!$F$5)</f>
        <v>Other enhancement-Additional line- Gowerton /Llanelli UWWTD-Sludge treatment-Bioresources-Expenditure in report year</v>
      </c>
      <c r="E2768" t="str">
        <f>'4M'!$C$91</f>
        <v>Opex</v>
      </c>
      <c r="F2768" t="s">
        <v>17334</v>
      </c>
      <c r="G2768" t="str">
        <f>'4M'!$D$91</f>
        <v>£m</v>
      </c>
      <c r="O2768" t="str">
        <f>_xlfn.CONCAT('4M'!$B$58, "-", '4M'!$B$91, "-", '4M'!$L$7, "-", '4M'!$K$6, "-", '4M'!$F$5)</f>
        <v>Other enhancement-Additional line- Gowerton /Llanelli UWWTD-Sludge treatment-Bioresources-Expenditure in report year</v>
      </c>
    </row>
    <row r="2769" spans="1:15">
      <c r="A2769" t="s">
        <v>4189</v>
      </c>
      <c r="B2769" t="str">
        <f>'4M'!$BO$91</f>
        <v>B0365ADO_SD</v>
      </c>
      <c r="D2769" t="str">
        <f>_xlfn.CONCAT('4M'!$B$58, "-", '4M'!$B$91, "-", '4M'!$M$7, "-", '4M'!$K$6, "-", '4M'!$F$5)</f>
        <v>Other enhancement-Additional line- Gowerton /Llanelli UWWTD-Sludge disposal-Bioresources-Expenditure in report year</v>
      </c>
      <c r="E2769" t="str">
        <f>'4M'!$C$91</f>
        <v>Opex</v>
      </c>
      <c r="F2769" t="s">
        <v>17334</v>
      </c>
      <c r="G2769" t="str">
        <f>'4M'!$D$91</f>
        <v>£m</v>
      </c>
      <c r="O2769" t="str">
        <f>_xlfn.CONCAT('4M'!$B$58, "-", '4M'!$B$91, "-", '4M'!$M$7, "-", '4M'!$K$6, "-", '4M'!$F$5)</f>
        <v>Other enhancement-Additional line- Gowerton /Llanelli UWWTD-Sludge disposal-Bioresources-Expenditure in report year</v>
      </c>
    </row>
    <row r="2770" spans="1:15">
      <c r="A2770" t="s">
        <v>4189</v>
      </c>
      <c r="B2770" t="str">
        <f>'4M'!$BP$91</f>
        <v>B0365ADO_TOT</v>
      </c>
      <c r="D2770" t="str">
        <f>_xlfn.CONCAT('4M'!$B$58, "-", '4M'!$B$91, "-", '4M'!$N$6, "-", '4M'!$N$6, "-", '4M'!$F$5)</f>
        <v>Other enhancement-Additional line- Gowerton /Llanelli UWWTD-Total-Total-Expenditure in report year</v>
      </c>
      <c r="E2770" t="str">
        <f>'4M'!$C$91</f>
        <v>Opex</v>
      </c>
      <c r="F2770" t="s">
        <v>17334</v>
      </c>
      <c r="G2770" t="str">
        <f>'4M'!$D$91</f>
        <v>£m</v>
      </c>
      <c r="O2770" t="str">
        <f>_xlfn.CONCAT('4M'!$B$58, "-", '4M'!$B$91, "-", '4M'!$N$6, "-", '4M'!$N$6, "-", '4M'!$F$5)</f>
        <v>Other enhancement-Additional line- Gowerton /Llanelli UWWTD-Total-Total-Expenditure in report year</v>
      </c>
    </row>
    <row r="2771" spans="1:15">
      <c r="A2771" t="s">
        <v>4189</v>
      </c>
      <c r="B2771" t="str">
        <f>'4M'!$BZ$91</f>
        <v>B0406AL3O_TE</v>
      </c>
      <c r="D2771" t="str">
        <f>_xlfn.CONCAT('4M'!$B$58, "-", '4M'!$B$91, "-", '4M'!$X$7, "-", '4M'!$X$5, "-", '4M'!$X$5)</f>
        <v>Other enhancement-Additional line- Gowerton /Llanelli UWWTD-Total-Cumulative expenditure on all schemes to reporting year end-Cumulative expenditure on all schemes to reporting year end</v>
      </c>
      <c r="E2771" t="str">
        <f>'4M'!$C$91</f>
        <v>Opex</v>
      </c>
      <c r="F2771" t="s">
        <v>17334</v>
      </c>
      <c r="G2771" t="str">
        <f>'4M'!$D$91</f>
        <v>£m</v>
      </c>
      <c r="O2771" t="str">
        <f>_xlfn.CONCAT('4M'!$B$58, "-", '4M'!$B$91, "-", '4M'!$X$7, "-", '4M'!$X$5, "-", '4M'!$X$5)</f>
        <v>Other enhancement-Additional line- Gowerton /Llanelli UWWTD-Total-Cumulative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Gowerton /Llanelli UWWTD-Total-Cumulative allowed expenditure on all schemes to reporting year end-Cumulative allowed expenditure on all schemes to reporting year end</v>
      </c>
      <c r="E2772" t="str">
        <f>'4M'!$C$91</f>
        <v>Opex</v>
      </c>
      <c r="F2772" t="s">
        <v>17334</v>
      </c>
      <c r="G2772" t="str">
        <f>'4M'!$D$91</f>
        <v>£m</v>
      </c>
      <c r="O2772" t="str">
        <f>_xlfn.CONCAT('4M'!$B$58, "-", '4M'!$B$91, "-", '4M'!$Y$7, "-", '4M'!$Y$5, "-", '4M'!$Y$5)</f>
        <v>Other enhancement-Additional line- Gowerton /Llanelli UWWTD-Total-Cumulative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Gowerton /Llanelli UWWTD-Total-Cumulative allowed expenditure on all schemes 2020-25-Cumulative allowed expenditure on all schemes 2020-25</v>
      </c>
      <c r="E2773" t="str">
        <f>'4M'!$C$91</f>
        <v>Opex</v>
      </c>
      <c r="F2773" t="s">
        <v>17334</v>
      </c>
      <c r="G2773" t="str">
        <f>'4M'!$D$91</f>
        <v>£m</v>
      </c>
      <c r="O2773" t="str">
        <f>_xlfn.CONCAT('4M'!$B$58, "-", '4M'!$B$91, "-", '4M'!$Z$7, "-", '4M'!$Z$5, "-", '4M'!$Z$5)</f>
        <v>Other enhancement-Additional line- Gowerton /Llanelli UWWTD-Total-Cumulative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17334</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17334</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17334</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17334</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17334</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17334</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17334</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17334</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17334</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17334</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17334</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17334</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17334</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17334</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17334</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17334</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17334</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17334</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17334</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17334</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17334</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17334</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17334</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17334</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17334</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17334</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17334</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17334</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17334</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17334</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17334</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17334</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17334</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17334</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17334</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17334</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17334</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17334</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17334</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17334</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17334</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17334</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17334</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17334</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17334</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17334</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17334</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17334</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17334</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17334</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17334</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17334</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17334</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17334</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17334</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17334</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17334</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17334</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17334</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17334</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17334</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17334</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17334</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17334</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17334</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17334</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17334</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17334</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17334</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17334</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17334</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17334</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17334</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17334</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17334</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17334</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17334</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17334</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17334</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17334</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17334</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17334</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17334</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17334</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17334</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17334</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17334</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17334</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17334</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17334</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17335</v>
      </c>
      <c r="B2864" t="str">
        <f>'4P'!$X$8</f>
        <v>BO_3565639</v>
      </c>
      <c r="D2864" t="str">
        <f>_xlfn.CONCAT('4P'!$B$7, "-", '4P'!$B$8, "-", '4P'!$E$5)</f>
        <v>Capex-Capex associated with NSWRA diversions-Water resources</v>
      </c>
      <c r="E2864" t="str">
        <f>'4P'!$C$8</f>
        <v>£m</v>
      </c>
      <c r="F2864" t="s">
        <v>17334</v>
      </c>
      <c r="G2864">
        <f>'4P'!$D$8</f>
        <v>3</v>
      </c>
      <c r="O2864" t="str">
        <f>_xlfn.CONCAT('4P'!$B$7, "-", '4P'!$B$8, "-", '4P'!$E$5)</f>
        <v>Capex-Capex associated with NSWRA diversions-Water resources</v>
      </c>
    </row>
    <row r="2865" spans="1:15">
      <c r="A2865" t="s">
        <v>17335</v>
      </c>
      <c r="B2865" t="str">
        <f>'4P'!$Y$8</f>
        <v>BO_1264896</v>
      </c>
      <c r="D2865" t="str">
        <f>_xlfn.CONCAT('4P'!$B$7, "-", '4P'!$B$8, "-", '4P'!$F$5)</f>
        <v>Capex-Capex associated with NSWRA diversions-Water network+</v>
      </c>
      <c r="E2865" t="str">
        <f>'4P'!$C$8</f>
        <v>£m</v>
      </c>
      <c r="F2865" t="s">
        <v>17334</v>
      </c>
      <c r="G2865">
        <f>'4P'!$D$8</f>
        <v>3</v>
      </c>
      <c r="O2865" t="str">
        <f>_xlfn.CONCAT('4P'!$B$7, "-", '4P'!$B$8, "-", '4P'!$F$5)</f>
        <v>Capex-Capex associated with NSWRA diversions-Water network+</v>
      </c>
    </row>
    <row r="2866" spans="1:15">
      <c r="A2866" t="s">
        <v>17335</v>
      </c>
      <c r="B2866" t="str">
        <f>'4P'!$Z$8</f>
        <v>BO_9629323</v>
      </c>
      <c r="D2866" t="str">
        <f>_xlfn.CONCAT('4P'!$B$7, "-", '4P'!$B$8, "-", '4P'!$G$5)</f>
        <v>Capex-Capex associated with NSWRA diversions-Wastewater network+</v>
      </c>
      <c r="E2866" t="str">
        <f>'4P'!$C$8</f>
        <v>£m</v>
      </c>
      <c r="F2866" t="s">
        <v>17334</v>
      </c>
      <c r="G2866">
        <f>'4P'!$D$8</f>
        <v>3</v>
      </c>
      <c r="O2866" t="str">
        <f>_xlfn.CONCAT('4P'!$B$7, "-", '4P'!$B$8, "-", '4P'!$G$5)</f>
        <v>Capex-Capex associated with NSWRA diversions-Wastewater network+</v>
      </c>
    </row>
    <row r="2867" spans="1:15">
      <c r="A2867" t="s">
        <v>17335</v>
      </c>
      <c r="B2867" t="str">
        <f>'4P'!$AA$8</f>
        <v>BO_3202505</v>
      </c>
      <c r="D2867" t="str">
        <f>_xlfn.CONCAT('4P'!$B$7, "-", '4P'!$B$8, "-", '4P'!$H$5)</f>
        <v>Capex-Capex associated with NSWRA diversions-Total</v>
      </c>
      <c r="E2867" t="str">
        <f>'4P'!$C$8</f>
        <v>£m</v>
      </c>
      <c r="F2867" t="s">
        <v>17334</v>
      </c>
      <c r="G2867">
        <f>'4P'!$D$8</f>
        <v>3</v>
      </c>
      <c r="O2867" t="str">
        <f>_xlfn.CONCAT('4P'!$B$7, "-", '4P'!$B$8, "-", '4P'!$H$5)</f>
        <v>Capex-Capex associated with NSWRA diversions-Total</v>
      </c>
    </row>
    <row r="2868" spans="1:15">
      <c r="A2868" t="s">
        <v>17335</v>
      </c>
      <c r="B2868" t="str">
        <f>'4P'!$X$9</f>
        <v>BO_4147187</v>
      </c>
      <c r="D2868" t="str">
        <f>_xlfn.CONCAT('4P'!$B$7, "-", '4P'!$B$9, "-", '4P'!$E$5)</f>
        <v>Capex-Capex associated with other non-price control diversions-Water resources</v>
      </c>
      <c r="E2868" t="str">
        <f>'4P'!$C$9</f>
        <v>£m</v>
      </c>
      <c r="F2868" t="s">
        <v>17334</v>
      </c>
      <c r="G2868">
        <f>'4P'!$D$9</f>
        <v>3</v>
      </c>
      <c r="O2868" t="str">
        <f>_xlfn.CONCAT('4P'!$B$7, "-", '4P'!$B$9, "-", '4P'!$E$5)</f>
        <v>Capex-Capex associated with other non-price control diversions-Water resources</v>
      </c>
    </row>
    <row r="2869" spans="1:15">
      <c r="A2869" t="s">
        <v>17335</v>
      </c>
      <c r="B2869" t="str">
        <f>'4P'!$Y$9</f>
        <v>BO_9918336</v>
      </c>
      <c r="D2869" t="str">
        <f>_xlfn.CONCAT('4P'!$B$7, "-", '4P'!$B$9, "-", '4P'!$F$5)</f>
        <v>Capex-Capex associated with other non-price control diversions-Water network+</v>
      </c>
      <c r="E2869" t="str">
        <f>'4P'!$C$9</f>
        <v>£m</v>
      </c>
      <c r="F2869" t="s">
        <v>17334</v>
      </c>
      <c r="G2869">
        <f>'4P'!$D$9</f>
        <v>3</v>
      </c>
      <c r="O2869" t="str">
        <f>_xlfn.CONCAT('4P'!$B$7, "-", '4P'!$B$9, "-", '4P'!$F$5)</f>
        <v>Capex-Capex associated with other non-price control diversions-Water network+</v>
      </c>
    </row>
    <row r="2870" spans="1:15">
      <c r="A2870" t="s">
        <v>17335</v>
      </c>
      <c r="B2870" t="str">
        <f>'4P'!$Z$9</f>
        <v>BO_5414453</v>
      </c>
      <c r="D2870" t="str">
        <f>_xlfn.CONCAT('4P'!$B$7, "-", '4P'!$B$9, "-", '4P'!$G$5)</f>
        <v>Capex-Capex associated with other non-price control diversions-Wastewater network+</v>
      </c>
      <c r="E2870" t="str">
        <f>'4P'!$C$9</f>
        <v>£m</v>
      </c>
      <c r="F2870" t="s">
        <v>17334</v>
      </c>
      <c r="G2870">
        <f>'4P'!$D$9</f>
        <v>3</v>
      </c>
      <c r="O2870" t="str">
        <f>_xlfn.CONCAT('4P'!$B$7, "-", '4P'!$B$9, "-", '4P'!$G$5)</f>
        <v>Capex-Capex associated with other non-price control diversions-Wastewater network+</v>
      </c>
    </row>
    <row r="2871" spans="1:15">
      <c r="A2871" t="s">
        <v>17335</v>
      </c>
      <c r="B2871" t="str">
        <f>'4P'!$AA$9</f>
        <v>BO_6319722</v>
      </c>
      <c r="D2871" t="str">
        <f>_xlfn.CONCAT('4P'!$B$7, "-", '4P'!$B$9, "-", '4P'!$H$5)</f>
        <v>Capex-Capex associated with other non-price control diversions-Total</v>
      </c>
      <c r="E2871" t="str">
        <f>'4P'!$C$9</f>
        <v>£m</v>
      </c>
      <c r="F2871" t="s">
        <v>17334</v>
      </c>
      <c r="G2871">
        <f>'4P'!$D$9</f>
        <v>3</v>
      </c>
      <c r="O2871" t="str">
        <f>_xlfn.CONCAT('4P'!$B$7, "-", '4P'!$B$9, "-", '4P'!$H$5)</f>
        <v>Capex-Capex associated with other non-price control diversions-Total</v>
      </c>
    </row>
    <row r="2872" spans="1:15">
      <c r="A2872" t="s">
        <v>17335</v>
      </c>
      <c r="B2872" t="str">
        <f>'4P'!$X$10</f>
        <v>BO_5387356</v>
      </c>
      <c r="D2872" t="str">
        <f>_xlfn.CONCAT('4P'!$B$7, "-", '4P'!$B$10, "-", '4P'!$E$5)</f>
        <v>Capex-Other developer services non-price control capex-Water resources</v>
      </c>
      <c r="E2872" t="str">
        <f>'4P'!$C$10</f>
        <v>£m</v>
      </c>
      <c r="F2872" t="s">
        <v>17334</v>
      </c>
      <c r="G2872">
        <f>'4P'!$D$10</f>
        <v>3</v>
      </c>
      <c r="O2872" t="str">
        <f>_xlfn.CONCAT('4P'!$B$7, "-", '4P'!$B$10, "-", '4P'!$E$5)</f>
        <v>Capex-Other developer services non-price control capex-Water resources</v>
      </c>
    </row>
    <row r="2873" spans="1:15">
      <c r="A2873" t="s">
        <v>17335</v>
      </c>
      <c r="B2873" t="str">
        <f>'4P'!$Y$10</f>
        <v>BO_7193647</v>
      </c>
      <c r="D2873" t="str">
        <f>_xlfn.CONCAT('4P'!$B$7, "-", '4P'!$B$10, "-", '4P'!$F$5)</f>
        <v>Capex-Other developer services non-price control capex-Water network+</v>
      </c>
      <c r="E2873" t="str">
        <f>'4P'!$C$10</f>
        <v>£m</v>
      </c>
      <c r="F2873" t="s">
        <v>17334</v>
      </c>
      <c r="G2873">
        <f>'4P'!$D$10</f>
        <v>3</v>
      </c>
      <c r="O2873" t="str">
        <f>_xlfn.CONCAT('4P'!$B$7, "-", '4P'!$B$10, "-", '4P'!$F$5)</f>
        <v>Capex-Other developer services non-price control capex-Water network+</v>
      </c>
    </row>
    <row r="2874" spans="1:15">
      <c r="A2874" t="s">
        <v>17335</v>
      </c>
      <c r="B2874" t="str">
        <f>'4P'!$Z$10</f>
        <v>BO_9830945</v>
      </c>
      <c r="D2874" t="str">
        <f>_xlfn.CONCAT('4P'!$B$7, "-", '4P'!$B$10, "-", '4P'!$G$5)</f>
        <v>Capex-Other developer services non-price control capex-Wastewater network+</v>
      </c>
      <c r="E2874" t="str">
        <f>'4P'!$C$10</f>
        <v>£m</v>
      </c>
      <c r="F2874" t="s">
        <v>17334</v>
      </c>
      <c r="G2874">
        <f>'4P'!$D$10</f>
        <v>3</v>
      </c>
      <c r="O2874" t="str">
        <f>_xlfn.CONCAT('4P'!$B$7, "-", '4P'!$B$10, "-", '4P'!$G$5)</f>
        <v>Capex-Other developer services non-price control capex-Wastewater network+</v>
      </c>
    </row>
    <row r="2875" spans="1:15">
      <c r="A2875" t="s">
        <v>17335</v>
      </c>
      <c r="B2875" t="str">
        <f>'4P'!$AA$10</f>
        <v>BO_830009</v>
      </c>
      <c r="D2875" t="str">
        <f>_xlfn.CONCAT('4P'!$B$7, "-", '4P'!$B$10, "-", '4P'!$H$5)</f>
        <v>Capex-Other developer services non-price control capex-Total</v>
      </c>
      <c r="E2875" t="str">
        <f>'4P'!$C$10</f>
        <v>£m</v>
      </c>
      <c r="F2875" t="s">
        <v>17334</v>
      </c>
      <c r="G2875">
        <f>'4P'!$D$10</f>
        <v>3</v>
      </c>
      <c r="O2875" t="str">
        <f>_xlfn.CONCAT('4P'!$B$7, "-", '4P'!$B$10, "-", '4P'!$H$5)</f>
        <v>Capex-Other developer services non-price control capex-Total</v>
      </c>
    </row>
    <row r="2876" spans="1:15">
      <c r="A2876" t="s">
        <v>17335</v>
      </c>
      <c r="B2876" t="str">
        <f>'4P'!$X$11</f>
        <v>BO_2199994</v>
      </c>
      <c r="D2876" t="str">
        <f>_xlfn.CONCAT('4P'!$B$7, "-", '4P'!$B$11, "-", '4P'!$E$5)</f>
        <v>Capex-Developer services non-price control capex-Water resources</v>
      </c>
      <c r="E2876" t="str">
        <f>'4P'!$C$11</f>
        <v>£m</v>
      </c>
      <c r="F2876" t="s">
        <v>17334</v>
      </c>
      <c r="G2876">
        <f>'4P'!$D$11</f>
        <v>3</v>
      </c>
      <c r="O2876" t="str">
        <f>_xlfn.CONCAT('4P'!$B$7, "-", '4P'!$B$11, "-", '4P'!$E$5)</f>
        <v>Capex-Developer services non-price control capex-Water resources</v>
      </c>
    </row>
    <row r="2877" spans="1:15">
      <c r="A2877" t="s">
        <v>17335</v>
      </c>
      <c r="B2877" t="str">
        <f>'4P'!$Y$11</f>
        <v>BO_1427238</v>
      </c>
      <c r="D2877" t="str">
        <f>_xlfn.CONCAT('4P'!$B$7, "-", '4P'!$B$11, "-", '4P'!$F$5)</f>
        <v>Capex-Developer services non-price control capex-Water network+</v>
      </c>
      <c r="E2877" t="str">
        <f>'4P'!$C$11</f>
        <v>£m</v>
      </c>
      <c r="F2877" t="s">
        <v>17334</v>
      </c>
      <c r="G2877">
        <f>'4P'!$D$11</f>
        <v>3</v>
      </c>
      <c r="O2877" t="str">
        <f>_xlfn.CONCAT('4P'!$B$7, "-", '4P'!$B$11, "-", '4P'!$F$5)</f>
        <v>Capex-Developer services non-price control capex-Water network+</v>
      </c>
    </row>
    <row r="2878" spans="1:15">
      <c r="A2878" t="s">
        <v>17335</v>
      </c>
      <c r="B2878" t="str">
        <f>'4P'!$Z$11</f>
        <v>BO_6224245</v>
      </c>
      <c r="D2878" t="str">
        <f>_xlfn.CONCAT('4P'!$B$7, "-", '4P'!$B$11, "-", '4P'!$G$5)</f>
        <v>Capex-Developer services non-price control capex-Wastewater network+</v>
      </c>
      <c r="E2878" t="str">
        <f>'4P'!$C$11</f>
        <v>£m</v>
      </c>
      <c r="F2878" t="s">
        <v>17334</v>
      </c>
      <c r="G2878">
        <f>'4P'!$D$11</f>
        <v>3</v>
      </c>
      <c r="O2878" t="str">
        <f>_xlfn.CONCAT('4P'!$B$7, "-", '4P'!$B$11, "-", '4P'!$G$5)</f>
        <v>Capex-Developer services non-price control capex-Wastewater network+</v>
      </c>
    </row>
    <row r="2879" spans="1:15">
      <c r="A2879" t="s">
        <v>17335</v>
      </c>
      <c r="B2879" t="str">
        <f>'4P'!$AA$11</f>
        <v>BO_7667899</v>
      </c>
      <c r="D2879" t="str">
        <f>_xlfn.CONCAT('4P'!$B$7, "-", '4P'!$B$11, "-", '4P'!$H$5)</f>
        <v>Capex-Developer services non-price control capex-Total</v>
      </c>
      <c r="E2879" t="str">
        <f>'4P'!$C$11</f>
        <v>£m</v>
      </c>
      <c r="F2879" t="s">
        <v>17334</v>
      </c>
      <c r="G2879">
        <f>'4P'!$D$11</f>
        <v>3</v>
      </c>
      <c r="O2879" t="str">
        <f>_xlfn.CONCAT('4P'!$B$7, "-", '4P'!$B$11, "-", '4P'!$H$5)</f>
        <v>Capex-Developer services non-price control capex-Total</v>
      </c>
    </row>
    <row r="2880" spans="1:15">
      <c r="A2880" t="s">
        <v>17335</v>
      </c>
      <c r="B2880" t="str">
        <f>'4P'!$X$15</f>
        <v>BO_9585852</v>
      </c>
      <c r="D2880" t="str">
        <f>_xlfn.CONCAT('4P'!$B$14, "-", '4P'!$B$15, "-", '4P'!$E$5)</f>
        <v>Opex-Opex associated with NSWRA diversions-Water resources</v>
      </c>
      <c r="E2880" t="str">
        <f>'4P'!$C$15</f>
        <v>£m</v>
      </c>
      <c r="F2880" t="s">
        <v>17334</v>
      </c>
      <c r="G2880">
        <f>'4P'!$D$15</f>
        <v>3</v>
      </c>
      <c r="O2880" t="str">
        <f>_xlfn.CONCAT('4P'!$B$14, "-", '4P'!$B$15, "-", '4P'!$E$5)</f>
        <v>Opex-Opex associated with NSWRA diversions-Water resources</v>
      </c>
    </row>
    <row r="2881" spans="1:15">
      <c r="A2881" t="s">
        <v>17335</v>
      </c>
      <c r="B2881" t="str">
        <f>'4P'!$Y$15</f>
        <v>BO_7281714</v>
      </c>
      <c r="D2881" t="str">
        <f>_xlfn.CONCAT('4P'!$B$14, "-", '4P'!$B$15, "-", '4P'!$F$5)</f>
        <v>Opex-Opex associated with NSWRA diversions-Water network+</v>
      </c>
      <c r="E2881" t="str">
        <f>'4P'!$C$15</f>
        <v>£m</v>
      </c>
      <c r="F2881" t="s">
        <v>17334</v>
      </c>
      <c r="G2881">
        <f>'4P'!$D$15</f>
        <v>3</v>
      </c>
      <c r="O2881" t="str">
        <f>_xlfn.CONCAT('4P'!$B$14, "-", '4P'!$B$15, "-", '4P'!$F$5)</f>
        <v>Opex-Opex associated with NSWRA diversions-Water network+</v>
      </c>
    </row>
    <row r="2882" spans="1:15">
      <c r="A2882" t="s">
        <v>17335</v>
      </c>
      <c r="B2882" t="str">
        <f>'4P'!$Z$15</f>
        <v>BO_4536763</v>
      </c>
      <c r="D2882" t="str">
        <f>_xlfn.CONCAT('4P'!$B$14, "-", '4P'!$B$15, "-", '4P'!$G$5)</f>
        <v>Opex-Opex associated with NSWRA diversions-Wastewater network+</v>
      </c>
      <c r="E2882" t="str">
        <f>'4P'!$C$15</f>
        <v>£m</v>
      </c>
      <c r="F2882" t="s">
        <v>17334</v>
      </c>
      <c r="G2882">
        <f>'4P'!$D$15</f>
        <v>3</v>
      </c>
      <c r="O2882" t="str">
        <f>_xlfn.CONCAT('4P'!$B$14, "-", '4P'!$B$15, "-", '4P'!$G$5)</f>
        <v>Opex-Opex associated with NSWRA diversions-Wastewater network+</v>
      </c>
    </row>
    <row r="2883" spans="1:15">
      <c r="A2883" t="s">
        <v>17335</v>
      </c>
      <c r="B2883" t="str">
        <f>'4P'!$AA$15</f>
        <v>BO_2093268</v>
      </c>
      <c r="D2883" t="str">
        <f>_xlfn.CONCAT('4P'!$B$14, "-", '4P'!$B$15, "-", '4P'!$H$5)</f>
        <v>Opex-Opex associated with NSWRA diversions-Total</v>
      </c>
      <c r="E2883" t="str">
        <f>'4P'!$C$15</f>
        <v>£m</v>
      </c>
      <c r="F2883" t="s">
        <v>17334</v>
      </c>
      <c r="G2883">
        <f>'4P'!$D$15</f>
        <v>3</v>
      </c>
      <c r="O2883" t="str">
        <f>_xlfn.CONCAT('4P'!$B$14, "-", '4P'!$B$15, "-", '4P'!$H$5)</f>
        <v>Opex-Opex associated with NSWRA diversions-Total</v>
      </c>
    </row>
    <row r="2884" spans="1:15">
      <c r="A2884" t="s">
        <v>17335</v>
      </c>
      <c r="B2884" t="str">
        <f>'4P'!$X$16</f>
        <v>BO_6179285</v>
      </c>
      <c r="D2884" t="str">
        <f>_xlfn.CONCAT('4P'!$B$14, "-", '4P'!$B$16, "-", '4P'!$E$5)</f>
        <v>Opex-Opex associated with other non-price control diversions-Water resources</v>
      </c>
      <c r="E2884" t="str">
        <f>'4P'!$C$16</f>
        <v>£m</v>
      </c>
      <c r="F2884" t="s">
        <v>17334</v>
      </c>
      <c r="G2884">
        <f>'4P'!$D$16</f>
        <v>3</v>
      </c>
      <c r="O2884" t="str">
        <f>_xlfn.CONCAT('4P'!$B$14, "-", '4P'!$B$16, "-", '4P'!$E$5)</f>
        <v>Opex-Opex associated with other non-price control diversions-Water resources</v>
      </c>
    </row>
    <row r="2885" spans="1:15">
      <c r="A2885" t="s">
        <v>17335</v>
      </c>
      <c r="B2885" t="str">
        <f>'4P'!$Y$16</f>
        <v>BO_9498252</v>
      </c>
      <c r="D2885" t="str">
        <f>_xlfn.CONCAT('4P'!$B$14, "-", '4P'!$B$16, "-", '4P'!$F$5)</f>
        <v>Opex-Opex associated with other non-price control diversions-Water network+</v>
      </c>
      <c r="E2885" t="str">
        <f>'4P'!$C$16</f>
        <v>£m</v>
      </c>
      <c r="F2885" t="s">
        <v>17334</v>
      </c>
      <c r="G2885">
        <f>'4P'!$D$16</f>
        <v>3</v>
      </c>
      <c r="O2885" t="str">
        <f>_xlfn.CONCAT('4P'!$B$14, "-", '4P'!$B$16, "-", '4P'!$F$5)</f>
        <v>Opex-Opex associated with other non-price control diversions-Water network+</v>
      </c>
    </row>
    <row r="2886" spans="1:15">
      <c r="A2886" t="s">
        <v>17335</v>
      </c>
      <c r="B2886" t="str">
        <f>'4P'!$Z$16</f>
        <v>BO_1871478</v>
      </c>
      <c r="D2886" t="str">
        <f>_xlfn.CONCAT('4P'!$B$14, "-", '4P'!$B$16, "-", '4P'!$G$5)</f>
        <v>Opex-Opex associated with other non-price control diversions-Wastewater network+</v>
      </c>
      <c r="E2886" t="str">
        <f>'4P'!$C$16</f>
        <v>£m</v>
      </c>
      <c r="F2886" t="s">
        <v>17334</v>
      </c>
      <c r="G2886">
        <f>'4P'!$D$16</f>
        <v>3</v>
      </c>
      <c r="O2886" t="str">
        <f>_xlfn.CONCAT('4P'!$B$14, "-", '4P'!$B$16, "-", '4P'!$G$5)</f>
        <v>Opex-Opex associated with other non-price control diversions-Wastewater network+</v>
      </c>
    </row>
    <row r="2887" spans="1:15">
      <c r="A2887" t="s">
        <v>17335</v>
      </c>
      <c r="B2887" t="str">
        <f>'4P'!$AA$16</f>
        <v>BO_6277603</v>
      </c>
      <c r="D2887" t="str">
        <f>_xlfn.CONCAT('4P'!$B$14, "-", '4P'!$B$16, "-", '4P'!$H$5)</f>
        <v>Opex-Opex associated with other non-price control diversions-Total</v>
      </c>
      <c r="E2887" t="str">
        <f>'4P'!$C$16</f>
        <v>£m</v>
      </c>
      <c r="F2887" t="s">
        <v>17334</v>
      </c>
      <c r="G2887">
        <f>'4P'!$D$16</f>
        <v>3</v>
      </c>
      <c r="O2887" t="str">
        <f>_xlfn.CONCAT('4P'!$B$14, "-", '4P'!$B$16, "-", '4P'!$H$5)</f>
        <v>Opex-Opex associated with other non-price control diversions-Total</v>
      </c>
    </row>
    <row r="2888" spans="1:15">
      <c r="A2888" t="s">
        <v>17335</v>
      </c>
      <c r="B2888" t="str">
        <f>'4P'!$X$17</f>
        <v>BO_9184483</v>
      </c>
      <c r="D2888" t="str">
        <f>_xlfn.CONCAT('4P'!$B$14, "-", '4P'!$B$17, "-", '4P'!$E$5)</f>
        <v>Opex-Other developer services non-price control opex-Water resources</v>
      </c>
      <c r="E2888" t="str">
        <f>'4P'!$C$17</f>
        <v>£m</v>
      </c>
      <c r="F2888" t="s">
        <v>17334</v>
      </c>
      <c r="G2888">
        <f>'4P'!$D$17</f>
        <v>3</v>
      </c>
      <c r="O2888" t="str">
        <f>_xlfn.CONCAT('4P'!$B$14, "-", '4P'!$B$17, "-", '4P'!$E$5)</f>
        <v>Opex-Other developer services non-price control opex-Water resources</v>
      </c>
    </row>
    <row r="2889" spans="1:15">
      <c r="A2889" t="s">
        <v>17335</v>
      </c>
      <c r="B2889" t="str">
        <f>'4P'!$Y$17</f>
        <v>BO_5755710</v>
      </c>
      <c r="D2889" t="str">
        <f>_xlfn.CONCAT('4P'!$B$14, "-", '4P'!$B$17, "-", '4P'!$F$5)</f>
        <v>Opex-Other developer services non-price control opex-Water network+</v>
      </c>
      <c r="E2889" t="str">
        <f>'4P'!$C$17</f>
        <v>£m</v>
      </c>
      <c r="F2889" t="s">
        <v>17334</v>
      </c>
      <c r="G2889">
        <f>'4P'!$D$17</f>
        <v>3</v>
      </c>
      <c r="O2889" t="str">
        <f>_xlfn.CONCAT('4P'!$B$14, "-", '4P'!$B$17, "-", '4P'!$F$5)</f>
        <v>Opex-Other developer services non-price control opex-Water network+</v>
      </c>
    </row>
    <row r="2890" spans="1:15">
      <c r="A2890" t="s">
        <v>17335</v>
      </c>
      <c r="B2890" t="str">
        <f>'4P'!$Z$17</f>
        <v>BO_5212384</v>
      </c>
      <c r="D2890" t="str">
        <f>_xlfn.CONCAT('4P'!$B$14, "-", '4P'!$B$17, "-", '4P'!$G$5)</f>
        <v>Opex-Other developer services non-price control opex-Wastewater network+</v>
      </c>
      <c r="E2890" t="str">
        <f>'4P'!$C$17</f>
        <v>£m</v>
      </c>
      <c r="F2890" t="s">
        <v>17334</v>
      </c>
      <c r="G2890">
        <f>'4P'!$D$17</f>
        <v>3</v>
      </c>
      <c r="O2890" t="str">
        <f>_xlfn.CONCAT('4P'!$B$14, "-", '4P'!$B$17, "-", '4P'!$G$5)</f>
        <v>Opex-Other developer services non-price control opex-Wastewater network+</v>
      </c>
    </row>
    <row r="2891" spans="1:15">
      <c r="A2891" t="s">
        <v>17335</v>
      </c>
      <c r="B2891" t="str">
        <f>'4P'!$AA$17</f>
        <v>BO_7452980</v>
      </c>
      <c r="D2891" t="str">
        <f>_xlfn.CONCAT('4P'!$B$14, "-", '4P'!$B$17, "-", '4P'!$H$5)</f>
        <v>Opex-Other developer services non-price control opex-Total</v>
      </c>
      <c r="E2891" t="str">
        <f>'4P'!$C$17</f>
        <v>£m</v>
      </c>
      <c r="F2891" t="s">
        <v>17334</v>
      </c>
      <c r="G2891">
        <f>'4P'!$D$17</f>
        <v>3</v>
      </c>
      <c r="O2891" t="str">
        <f>_xlfn.CONCAT('4P'!$B$14, "-", '4P'!$B$17, "-", '4P'!$H$5)</f>
        <v>Opex-Other developer services non-price control opex-Total</v>
      </c>
    </row>
    <row r="2892" spans="1:15">
      <c r="A2892" t="s">
        <v>17335</v>
      </c>
      <c r="B2892" t="str">
        <f>'4P'!$X$18</f>
        <v>BO_4598752</v>
      </c>
      <c r="D2892" t="str">
        <f>_xlfn.CONCAT('4P'!$B$14, "-", '4P'!$B$18, "-", '4P'!$E$5)</f>
        <v>Opex-Developer services non-price control opex-Water resources</v>
      </c>
      <c r="E2892" t="str">
        <f>'4P'!$C$18</f>
        <v>£m</v>
      </c>
      <c r="F2892" t="s">
        <v>17334</v>
      </c>
      <c r="G2892">
        <f>'4P'!$D$18</f>
        <v>3</v>
      </c>
      <c r="O2892" t="str">
        <f>_xlfn.CONCAT('4P'!$B$14, "-", '4P'!$B$18, "-", '4P'!$E$5)</f>
        <v>Opex-Developer services non-price control opex-Water resources</v>
      </c>
    </row>
    <row r="2893" spans="1:15">
      <c r="A2893" t="s">
        <v>17335</v>
      </c>
      <c r="B2893" t="str">
        <f>'4P'!$Y$18</f>
        <v>BO_7036083</v>
      </c>
      <c r="D2893" t="str">
        <f>_xlfn.CONCAT('4P'!$B$14, "-", '4P'!$B$18, "-", '4P'!$F$5)</f>
        <v>Opex-Developer services non-price control opex-Water network+</v>
      </c>
      <c r="E2893" t="str">
        <f>'4P'!$C$18</f>
        <v>£m</v>
      </c>
      <c r="F2893" t="s">
        <v>17334</v>
      </c>
      <c r="G2893">
        <f>'4P'!$D$18</f>
        <v>3</v>
      </c>
      <c r="O2893" t="str">
        <f>_xlfn.CONCAT('4P'!$B$14, "-", '4P'!$B$18, "-", '4P'!$F$5)</f>
        <v>Opex-Developer services non-price control opex-Water network+</v>
      </c>
    </row>
    <row r="2894" spans="1:15">
      <c r="A2894" t="s">
        <v>17335</v>
      </c>
      <c r="B2894" t="str">
        <f>'4P'!$Z$18</f>
        <v>BO_2352475</v>
      </c>
      <c r="D2894" t="str">
        <f>_xlfn.CONCAT('4P'!$B$14, "-", '4P'!$B$18, "-", '4P'!$G$5)</f>
        <v>Opex-Developer services non-price control opex-Wastewater network+</v>
      </c>
      <c r="E2894" t="str">
        <f>'4P'!$C$18</f>
        <v>£m</v>
      </c>
      <c r="F2894" t="s">
        <v>17334</v>
      </c>
      <c r="G2894">
        <f>'4P'!$D$18</f>
        <v>3</v>
      </c>
      <c r="O2894" t="str">
        <f>_xlfn.CONCAT('4P'!$B$14, "-", '4P'!$B$18, "-", '4P'!$G$5)</f>
        <v>Opex-Developer services non-price control opex-Wastewater network+</v>
      </c>
    </row>
    <row r="2895" spans="1:15">
      <c r="A2895" t="s">
        <v>17335</v>
      </c>
      <c r="B2895" t="str">
        <f>'4P'!$AA$18</f>
        <v>BO_1332078</v>
      </c>
      <c r="D2895" t="str">
        <f>_xlfn.CONCAT('4P'!$B$14, "-", '4P'!$B$18, "-", '4P'!$H$5)</f>
        <v>Opex-Developer services non-price control opex-Total</v>
      </c>
      <c r="E2895" t="str">
        <f>'4P'!$C$18</f>
        <v>£m</v>
      </c>
      <c r="F2895" t="s">
        <v>17334</v>
      </c>
      <c r="G2895">
        <f>'4P'!$D$18</f>
        <v>3</v>
      </c>
      <c r="O2895" t="str">
        <f>_xlfn.CONCAT('4P'!$B$14, "-", '4P'!$B$18, "-", '4P'!$H$5)</f>
        <v>Opex-Developer services non-price control opex-Total</v>
      </c>
    </row>
    <row r="2896" spans="1:15">
      <c r="A2896" t="s">
        <v>17335</v>
      </c>
      <c r="B2896" t="str">
        <f>'4P'!$X$21</f>
        <v>B0008CDNWR</v>
      </c>
      <c r="D2896" t="str">
        <f>_xlfn.CONCAT('4P'!$B$20, "-", '4P'!$B$21, "-", '4P'!$E$5)</f>
        <v>Totex-Costs associated with NSWRA diversions-Water resources</v>
      </c>
      <c r="E2896" t="str">
        <f>'4P'!$C$21</f>
        <v>£m</v>
      </c>
      <c r="F2896" t="s">
        <v>17334</v>
      </c>
      <c r="G2896">
        <f>'4P'!$D$21</f>
        <v>3</v>
      </c>
      <c r="O2896" t="str">
        <f>_xlfn.CONCAT('4P'!$B$20, "-", '4P'!$B$21, "-", '4P'!$E$5)</f>
        <v>Totex-Costs associated with NSWRA diversions-Water resources</v>
      </c>
    </row>
    <row r="2897" spans="1:15">
      <c r="A2897" t="s">
        <v>17335</v>
      </c>
      <c r="B2897" t="str">
        <f>'4P'!$Y$21</f>
        <v>B0008CDNWNP</v>
      </c>
      <c r="D2897" t="str">
        <f>_xlfn.CONCAT('4P'!$B$20, "-", '4P'!$B$21, "-", '4P'!$F$5)</f>
        <v>Totex-Costs associated with NSWRA diversions-Water network+</v>
      </c>
      <c r="E2897" t="str">
        <f>'4P'!$C$21</f>
        <v>£m</v>
      </c>
      <c r="F2897" t="s">
        <v>17334</v>
      </c>
      <c r="G2897">
        <f>'4P'!$D$21</f>
        <v>3</v>
      </c>
      <c r="O2897" t="str">
        <f>_xlfn.CONCAT('4P'!$B$20, "-", '4P'!$B$21, "-", '4P'!$F$5)</f>
        <v>Totex-Costs associated with NSWRA diversions-Water network+</v>
      </c>
    </row>
    <row r="2898" spans="1:15">
      <c r="A2898" t="s">
        <v>17335</v>
      </c>
      <c r="B2898" t="str">
        <f>'4P'!$Z$21</f>
        <v>B0008CDNWWNP</v>
      </c>
      <c r="D2898" t="str">
        <f>_xlfn.CONCAT('4P'!$B$20, "-", '4P'!$B$21, "-", '4P'!$G$5)</f>
        <v>Totex-Costs associated with NSWRA diversions-Wastewater network+</v>
      </c>
      <c r="E2898" t="str">
        <f>'4P'!$C$21</f>
        <v>£m</v>
      </c>
      <c r="F2898" t="s">
        <v>17334</v>
      </c>
      <c r="G2898">
        <f>'4P'!$D$21</f>
        <v>3</v>
      </c>
      <c r="O2898" t="str">
        <f>_xlfn.CONCAT('4P'!$B$20, "-", '4P'!$B$21, "-", '4P'!$G$5)</f>
        <v>Totex-Costs associated with NSWRA diversions-Wastewater network+</v>
      </c>
    </row>
    <row r="2899" spans="1:15">
      <c r="A2899" t="s">
        <v>17335</v>
      </c>
      <c r="B2899" t="str">
        <f>'4P'!$AA$21</f>
        <v>B0008CDNT</v>
      </c>
      <c r="D2899" t="str">
        <f>_xlfn.CONCAT('4P'!$B$20, "-", '4P'!$B$21, "-", '4P'!$H$5)</f>
        <v>Totex-Costs associated with NSWRA diversions-Total</v>
      </c>
      <c r="E2899" t="str">
        <f>'4P'!$C$21</f>
        <v>£m</v>
      </c>
      <c r="F2899" t="s">
        <v>17334</v>
      </c>
      <c r="G2899">
        <f>'4P'!$D$21</f>
        <v>3</v>
      </c>
      <c r="O2899" t="str">
        <f>_xlfn.CONCAT('4P'!$B$20, "-", '4P'!$B$21, "-", '4P'!$H$5)</f>
        <v>Totex-Costs associated with NSWRA diversions-Total</v>
      </c>
    </row>
    <row r="2900" spans="1:15">
      <c r="A2900" t="s">
        <v>17335</v>
      </c>
      <c r="B2900" t="str">
        <f>'4P'!$X$22</f>
        <v>B0008CDOWR</v>
      </c>
      <c r="D2900" t="str">
        <f>_xlfn.CONCAT('4P'!$B$20, "-", '4P'!$B$22, "-", '4P'!$E$5)</f>
        <v>Totex-Costs associated with other non-price control diversions-Water resources</v>
      </c>
      <c r="E2900" t="str">
        <f>'4P'!$C$22</f>
        <v>£m</v>
      </c>
      <c r="F2900" t="s">
        <v>17334</v>
      </c>
      <c r="G2900">
        <f>'4P'!$D$22</f>
        <v>3</v>
      </c>
      <c r="O2900" t="str">
        <f>_xlfn.CONCAT('4P'!$B$20, "-", '4P'!$B$22, "-", '4P'!$E$5)</f>
        <v>Totex-Costs associated with other non-price control diversions-Water resources</v>
      </c>
    </row>
    <row r="2901" spans="1:15">
      <c r="A2901" t="s">
        <v>17335</v>
      </c>
      <c r="B2901" t="str">
        <f>'4P'!$Y$22</f>
        <v>B0008CDOWNP</v>
      </c>
      <c r="D2901" t="str">
        <f>_xlfn.CONCAT('4P'!$B$20, "-", '4P'!$B$22, "-", '4P'!$F$5)</f>
        <v>Totex-Costs associated with other non-price control diversions-Water network+</v>
      </c>
      <c r="E2901" t="str">
        <f>'4P'!$C$22</f>
        <v>£m</v>
      </c>
      <c r="F2901" t="s">
        <v>17334</v>
      </c>
      <c r="G2901">
        <f>'4P'!$D$22</f>
        <v>3</v>
      </c>
      <c r="O2901" t="str">
        <f>_xlfn.CONCAT('4P'!$B$20, "-", '4P'!$B$22, "-", '4P'!$F$5)</f>
        <v>Totex-Costs associated with other non-price control diversions-Water network+</v>
      </c>
    </row>
    <row r="2902" spans="1:15">
      <c r="A2902" t="s">
        <v>17335</v>
      </c>
      <c r="B2902" t="str">
        <f>'4P'!$Z$22</f>
        <v>B0008CDOWWNP</v>
      </c>
      <c r="D2902" t="str">
        <f>_xlfn.CONCAT('4P'!$B$20, "-", '4P'!$B$22, "-", '4P'!$G$5)</f>
        <v>Totex-Costs associated with other non-price control diversions-Wastewater network+</v>
      </c>
      <c r="E2902" t="str">
        <f>'4P'!$C$22</f>
        <v>£m</v>
      </c>
      <c r="F2902" t="s">
        <v>17334</v>
      </c>
      <c r="G2902">
        <f>'4P'!$D$22</f>
        <v>3</v>
      </c>
      <c r="O2902" t="str">
        <f>_xlfn.CONCAT('4P'!$B$20, "-", '4P'!$B$22, "-", '4P'!$G$5)</f>
        <v>Totex-Costs associated with other non-price control diversions-Wastewater network+</v>
      </c>
    </row>
    <row r="2903" spans="1:15">
      <c r="A2903" t="s">
        <v>17335</v>
      </c>
      <c r="B2903" t="str">
        <f>'4P'!$AA$22</f>
        <v>B0008CDOT</v>
      </c>
      <c r="D2903" t="str">
        <f>_xlfn.CONCAT('4P'!$B$20, "-", '4P'!$B$22, "-", '4P'!$H$5)</f>
        <v>Totex-Costs associated with other non-price control diversions-Total</v>
      </c>
      <c r="E2903" t="str">
        <f>'4P'!$C$22</f>
        <v>£m</v>
      </c>
      <c r="F2903" t="s">
        <v>17334</v>
      </c>
      <c r="G2903">
        <f>'4P'!$D$22</f>
        <v>3</v>
      </c>
      <c r="O2903" t="str">
        <f>_xlfn.CONCAT('4P'!$B$20, "-", '4P'!$B$22, "-", '4P'!$H$5)</f>
        <v>Totex-Costs associated with other non-price control diversions-Total</v>
      </c>
    </row>
    <row r="2904" spans="1:15">
      <c r="A2904" t="s">
        <v>17335</v>
      </c>
      <c r="B2904" t="str">
        <f>'4P'!$X$23</f>
        <v>B0008ODNWR</v>
      </c>
      <c r="D2904" t="str">
        <f>_xlfn.CONCAT('4P'!$B$20, "-", '4P'!$B$23, "-", '4P'!$E$5)</f>
        <v>Totex-Other developer services non-price control totex-Water resources</v>
      </c>
      <c r="E2904" t="str">
        <f>'4P'!$C$23</f>
        <v>£m</v>
      </c>
      <c r="F2904" t="s">
        <v>17334</v>
      </c>
      <c r="G2904">
        <f>'4P'!$D$23</f>
        <v>3</v>
      </c>
      <c r="O2904" t="str">
        <f>_xlfn.CONCAT('4P'!$B$20, "-", '4P'!$B$23, "-", '4P'!$E$5)</f>
        <v>Totex-Other developer services non-price control totex-Water resources</v>
      </c>
    </row>
    <row r="2905" spans="1:15">
      <c r="A2905" t="s">
        <v>17335</v>
      </c>
      <c r="B2905" t="str">
        <f>'4P'!$Y$23</f>
        <v>B0008ODNWNP</v>
      </c>
      <c r="D2905" t="str">
        <f>_xlfn.CONCAT('4P'!$B$20, "-", '4P'!$B$23, "-", '4P'!$F$5)</f>
        <v>Totex-Other developer services non-price control totex-Water network+</v>
      </c>
      <c r="E2905" t="str">
        <f>'4P'!$C$23</f>
        <v>£m</v>
      </c>
      <c r="F2905" t="s">
        <v>17334</v>
      </c>
      <c r="G2905">
        <f>'4P'!$D$23</f>
        <v>3</v>
      </c>
      <c r="O2905" t="str">
        <f>_xlfn.CONCAT('4P'!$B$20, "-", '4P'!$B$23, "-", '4P'!$F$5)</f>
        <v>Totex-Other developer services non-price control totex-Water network+</v>
      </c>
    </row>
    <row r="2906" spans="1:15">
      <c r="A2906" t="s">
        <v>17335</v>
      </c>
      <c r="B2906" t="str">
        <f>'4P'!$Z$23</f>
        <v>B0008ODNWWNP</v>
      </c>
      <c r="D2906" t="str">
        <f>_xlfn.CONCAT('4P'!$B$20, "-", '4P'!$B$23, "-", '4P'!$G$5)</f>
        <v>Totex-Other developer services non-price control totex-Wastewater network+</v>
      </c>
      <c r="E2906" t="str">
        <f>'4P'!$C$23</f>
        <v>£m</v>
      </c>
      <c r="F2906" t="s">
        <v>17334</v>
      </c>
      <c r="G2906">
        <f>'4P'!$D$23</f>
        <v>3</v>
      </c>
      <c r="O2906" t="str">
        <f>_xlfn.CONCAT('4P'!$B$20, "-", '4P'!$B$23, "-", '4P'!$G$5)</f>
        <v>Totex-Other developer services non-price control totex-Wastewater network+</v>
      </c>
    </row>
    <row r="2907" spans="1:15">
      <c r="A2907" t="s">
        <v>17335</v>
      </c>
      <c r="B2907" t="str">
        <f>'4P'!$AA$23</f>
        <v>B0008ODNT</v>
      </c>
      <c r="D2907" t="str">
        <f>_xlfn.CONCAT('4P'!$B$20, "-", '4P'!$B$23, "-", '4P'!$H$5)</f>
        <v>Totex-Other developer services non-price control totex-Total</v>
      </c>
      <c r="E2907" t="str">
        <f>'4P'!$C$23</f>
        <v>£m</v>
      </c>
      <c r="F2907" t="s">
        <v>17334</v>
      </c>
      <c r="G2907">
        <f>'4P'!$D$23</f>
        <v>3</v>
      </c>
      <c r="O2907" t="str">
        <f>_xlfn.CONCAT('4P'!$B$20, "-", '4P'!$B$23, "-", '4P'!$H$5)</f>
        <v>Totex-Other developer services non-price control totex-Total</v>
      </c>
    </row>
    <row r="2908" spans="1:15">
      <c r="A2908" t="s">
        <v>17335</v>
      </c>
      <c r="B2908" t="str">
        <f>'4P'!$X$24</f>
        <v>B0008TENWR</v>
      </c>
      <c r="D2908" t="str">
        <f>_xlfn.CONCAT('4P'!$B$20, "-", '4P'!$B$24, "-", '4P'!$E$5)</f>
        <v>Totex-Developer services non-price control totex-Water resources</v>
      </c>
      <c r="E2908" t="str">
        <f>'4P'!$C$24</f>
        <v>£m</v>
      </c>
      <c r="F2908" t="s">
        <v>17334</v>
      </c>
      <c r="G2908">
        <f>'4P'!$D$24</f>
        <v>3</v>
      </c>
      <c r="O2908" t="str">
        <f>_xlfn.CONCAT('4P'!$B$20, "-", '4P'!$B$24, "-", '4P'!$E$5)</f>
        <v>Totex-Developer services non-price control totex-Water resources</v>
      </c>
    </row>
    <row r="2909" spans="1:15">
      <c r="A2909" t="s">
        <v>17335</v>
      </c>
      <c r="B2909" t="str">
        <f>'4P'!$Y$24</f>
        <v>B0008TENWNP</v>
      </c>
      <c r="D2909" t="str">
        <f>_xlfn.CONCAT('4P'!$B$20, "-", '4P'!$B$24, "-", '4P'!$F$5)</f>
        <v>Totex-Developer services non-price control totex-Water network+</v>
      </c>
      <c r="E2909" t="str">
        <f>'4P'!$C$24</f>
        <v>£m</v>
      </c>
      <c r="F2909" t="s">
        <v>17334</v>
      </c>
      <c r="G2909">
        <f>'4P'!$D$24</f>
        <v>3</v>
      </c>
      <c r="O2909" t="str">
        <f>_xlfn.CONCAT('4P'!$B$20, "-", '4P'!$B$24, "-", '4P'!$F$5)</f>
        <v>Totex-Developer services non-price control totex-Water network+</v>
      </c>
    </row>
    <row r="2910" spans="1:15">
      <c r="A2910" t="s">
        <v>17335</v>
      </c>
      <c r="B2910" t="str">
        <f>'4P'!$Z$24</f>
        <v>B0008TENWWNP</v>
      </c>
      <c r="D2910" t="str">
        <f>_xlfn.CONCAT('4P'!$B$20, "-", '4P'!$B$24, "-", '4P'!$G$5)</f>
        <v>Totex-Developer services non-price control totex-Wastewater network+</v>
      </c>
      <c r="E2910" t="str">
        <f>'4P'!$C$24</f>
        <v>£m</v>
      </c>
      <c r="F2910" t="s">
        <v>17334</v>
      </c>
      <c r="G2910">
        <f>'4P'!$D$24</f>
        <v>3</v>
      </c>
      <c r="O2910" t="str">
        <f>_xlfn.CONCAT('4P'!$B$20, "-", '4P'!$B$24, "-", '4P'!$G$5)</f>
        <v>Totex-Developer services non-price control totex-Wastewater network+</v>
      </c>
    </row>
    <row r="2911" spans="1:15">
      <c r="A2911" t="s">
        <v>17335</v>
      </c>
      <c r="B2911" t="str">
        <f>'4P'!$AA$24</f>
        <v>B0008TENT</v>
      </c>
      <c r="D2911" t="str">
        <f>_xlfn.CONCAT('4P'!$B$20, "-", '4P'!$B$24, "-", '4P'!$H$5)</f>
        <v>Totex-Developer services non-price control totex-Total</v>
      </c>
      <c r="E2911" t="str">
        <f>'4P'!$C$24</f>
        <v>£m</v>
      </c>
      <c r="F2911" t="s">
        <v>17334</v>
      </c>
      <c r="G2911">
        <f>'4P'!$D$24</f>
        <v>3</v>
      </c>
      <c r="O2911" t="str">
        <f>_xlfn.CONCAT('4P'!$B$20, "-", '4P'!$B$24, "-", '4P'!$H$5)</f>
        <v>Totex-Developer services non-price control totex-Total</v>
      </c>
    </row>
    <row r="2912" spans="1:15">
      <c r="A2912" t="s">
        <v>17339</v>
      </c>
      <c r="B2912" t="str">
        <f>'4V'!$AE$8</f>
        <v>BO_7701853</v>
      </c>
      <c r="D2912" t="str">
        <f>_xlfn.CONCAT('4V'!$B$8, "-", '4V'!$E$6, "-", '4V'!$E$5)</f>
        <v>Due within one year-Net settled-Derivatives - Analysed by earliest payment date</v>
      </c>
      <c r="E2912" t="str">
        <f>'4V'!$C$8</f>
        <v>£m</v>
      </c>
      <c r="F2912" t="s">
        <v>17334</v>
      </c>
      <c r="G2912">
        <f>'4V'!$D$8</f>
        <v>3</v>
      </c>
      <c r="O2912" t="str">
        <f>_xlfn.CONCAT('4V'!$B$8, "-", '4V'!$E$6, "-", '4V'!$E$5)</f>
        <v>Due within one year-Net settled-Derivatives - Analysed by earliest payment date</v>
      </c>
    </row>
    <row r="2913" spans="1:15">
      <c r="A2913" t="s">
        <v>17339</v>
      </c>
      <c r="B2913" t="str">
        <f>'4V'!$AF$8</f>
        <v>BO_3457161</v>
      </c>
      <c r="D2913" t="str">
        <f>_xlfn.CONCAT('4V'!$B$8, "-", '4V'!$F$6, "-", '4V'!$E$5)</f>
        <v>Due within one year-Gross Settled outflows-Derivatives - Analysed by earliest payment date</v>
      </c>
      <c r="E2913" t="str">
        <f>'4V'!$C$8</f>
        <v>£m</v>
      </c>
      <c r="F2913" t="s">
        <v>17334</v>
      </c>
      <c r="G2913">
        <f>'4V'!$D$8</f>
        <v>3</v>
      </c>
      <c r="O2913" t="str">
        <f>_xlfn.CONCAT('4V'!$B$8, "-", '4V'!$F$6, "-", '4V'!$E$5)</f>
        <v>Due within one year-Gross Settled outflows-Derivatives - Analysed by earliest payment date</v>
      </c>
    </row>
    <row r="2914" spans="1:15">
      <c r="A2914" t="s">
        <v>17339</v>
      </c>
      <c r="B2914" t="str">
        <f>'4V'!$AG$8</f>
        <v>BO_8136324</v>
      </c>
      <c r="D2914" t="str">
        <f>_xlfn.CONCAT('4V'!$B$8, "-", '4V'!$G$6, "-", '4V'!$E$5)</f>
        <v>Due within one year-Gross Settled inflows-Derivatives - Analysed by earliest payment date</v>
      </c>
      <c r="E2914" t="str">
        <f>'4V'!$C$8</f>
        <v>£m</v>
      </c>
      <c r="F2914" t="s">
        <v>17334</v>
      </c>
      <c r="G2914">
        <f>'4V'!$D$8</f>
        <v>3</v>
      </c>
      <c r="O2914" t="str">
        <f>_xlfn.CONCAT('4V'!$B$8, "-", '4V'!$G$6, "-", '4V'!$E$5)</f>
        <v>Due within one year-Gross Settled inflows-Derivatives - Analysed by earliest payment date</v>
      </c>
    </row>
    <row r="2915" spans="1:15">
      <c r="A2915" t="s">
        <v>17339</v>
      </c>
      <c r="B2915" t="str">
        <f>'4V'!$AH$8</f>
        <v>BO_3060820</v>
      </c>
      <c r="D2915" t="str">
        <f>_xlfn.CONCAT('4V'!$B$8, "-", '4V'!$H$6, "-", '4V'!$E$5)</f>
        <v>Due within one year-Total-Derivatives - Analysed by earliest payment date</v>
      </c>
      <c r="E2915" t="str">
        <f>'4V'!$C$8</f>
        <v>£m</v>
      </c>
      <c r="F2915" t="s">
        <v>17334</v>
      </c>
      <c r="G2915">
        <f>'4V'!$D$8</f>
        <v>3</v>
      </c>
      <c r="O2915" t="str">
        <f>_xlfn.CONCAT('4V'!$B$8, "-", '4V'!$H$6, "-", '4V'!$E$5)</f>
        <v>Due within one year-Total-Derivatives - Analysed by earliest payment date</v>
      </c>
    </row>
    <row r="2916" spans="1:15">
      <c r="A2916" t="s">
        <v>17339</v>
      </c>
      <c r="B2916" t="str">
        <f>'4V'!$AI$8</f>
        <v>BO_3547514</v>
      </c>
      <c r="D2916" t="str">
        <f>_xlfn.CONCAT('4V'!$B$8, "-", '4V'!$I$6, "-", '4V'!$I$5)</f>
        <v>Due within one year-Net settled-Derivatives - Analysed by expected maturity date</v>
      </c>
      <c r="E2916" t="str">
        <f>'4V'!$C$8</f>
        <v>£m</v>
      </c>
      <c r="F2916" t="s">
        <v>17334</v>
      </c>
      <c r="G2916">
        <f>'4V'!$D$8</f>
        <v>3</v>
      </c>
      <c r="O2916" t="str">
        <f>_xlfn.CONCAT('4V'!$B$8, "-", '4V'!$I$6, "-", '4V'!$I$5)</f>
        <v>Due within one year-Net settled-Derivatives - Analysed by expected maturity date</v>
      </c>
    </row>
    <row r="2917" spans="1:15">
      <c r="A2917" t="s">
        <v>17339</v>
      </c>
      <c r="B2917" t="str">
        <f>'4V'!$AJ$8</f>
        <v>BO_9997315</v>
      </c>
      <c r="D2917" t="str">
        <f>_xlfn.CONCAT('4V'!$B$8, "-", '4V'!$J$6, "-", '4V'!$I$5)</f>
        <v>Due within one year-Gross Settled outflows-Derivatives - Analysed by expected maturity date</v>
      </c>
      <c r="E2917" t="str">
        <f>'4V'!$C$8</f>
        <v>£m</v>
      </c>
      <c r="F2917" t="s">
        <v>17334</v>
      </c>
      <c r="G2917">
        <f>'4V'!$D$8</f>
        <v>3</v>
      </c>
      <c r="O2917" t="str">
        <f>_xlfn.CONCAT('4V'!$B$8, "-", '4V'!$J$6, "-", '4V'!$I$5)</f>
        <v>Due within one year-Gross Settled outflows-Derivatives - Analysed by expected maturity date</v>
      </c>
    </row>
    <row r="2918" spans="1:15">
      <c r="A2918" t="s">
        <v>17339</v>
      </c>
      <c r="B2918" t="str">
        <f>'4V'!$AK$8</f>
        <v>BO_7257873</v>
      </c>
      <c r="D2918" t="str">
        <f>_xlfn.CONCAT('4V'!$B$8, "-", '4V'!$K$6, "-", '4V'!$I$5)</f>
        <v>Due within one year-Gross Settled inflows-Derivatives - Analysed by expected maturity date</v>
      </c>
      <c r="E2918" t="str">
        <f>'4V'!$C$8</f>
        <v>£m</v>
      </c>
      <c r="F2918" t="s">
        <v>17334</v>
      </c>
      <c r="G2918">
        <f>'4V'!$D$8</f>
        <v>3</v>
      </c>
      <c r="O2918" t="str">
        <f>_xlfn.CONCAT('4V'!$B$8, "-", '4V'!$K$6, "-", '4V'!$I$5)</f>
        <v>Due within one year-Gross Settled inflows-Derivatives - Analysed by expected maturity date</v>
      </c>
    </row>
    <row r="2919" spans="1:15">
      <c r="A2919" t="s">
        <v>17339</v>
      </c>
      <c r="B2919" t="str">
        <f>'4V'!$AL$8</f>
        <v>BO_2517472</v>
      </c>
      <c r="D2919" t="str">
        <f>_xlfn.CONCAT('4V'!$B$8, "-", '4V'!$L$6, "-", '4V'!$I$5)</f>
        <v>Due within one year-Total-Derivatives - Analysed by expected maturity date</v>
      </c>
      <c r="E2919" t="str">
        <f>'4V'!$C$8</f>
        <v>£m</v>
      </c>
      <c r="F2919" t="s">
        <v>17334</v>
      </c>
      <c r="G2919">
        <f>'4V'!$D$8</f>
        <v>3</v>
      </c>
      <c r="O2919" t="str">
        <f>_xlfn.CONCAT('4V'!$B$8, "-", '4V'!$L$6, "-", '4V'!$I$5)</f>
        <v>Due within one year-Total-Derivatives - Analysed by expected maturity date</v>
      </c>
    </row>
    <row r="2920" spans="1:15">
      <c r="A2920" t="s">
        <v>17339</v>
      </c>
      <c r="B2920" t="str">
        <f>'4V'!$AE$9</f>
        <v>BO_6297180</v>
      </c>
      <c r="D2920" t="str">
        <f>_xlfn.CONCAT('4V'!$B$9, "-", '4V'!$E$6, "-", '4V'!$E$5)</f>
        <v>Between one and two years-Net settled-Derivatives - Analysed by earliest payment date</v>
      </c>
      <c r="E2920" t="str">
        <f>'4V'!$C$9</f>
        <v>£m</v>
      </c>
      <c r="F2920" t="s">
        <v>17334</v>
      </c>
      <c r="G2920">
        <f>'4V'!$D$9</f>
        <v>3</v>
      </c>
      <c r="O2920" t="str">
        <f>_xlfn.CONCAT('4V'!$B$9, "-", '4V'!$E$6, "-", '4V'!$E$5)</f>
        <v>Between one and two years-Net settled-Derivatives - Analysed by earliest payment date</v>
      </c>
    </row>
    <row r="2921" spans="1:15">
      <c r="A2921" t="s">
        <v>17339</v>
      </c>
      <c r="B2921" t="str">
        <f>'4V'!$AF$9</f>
        <v>BO_8373197</v>
      </c>
      <c r="D2921" t="str">
        <f>_xlfn.CONCAT('4V'!$B$9, "-", '4V'!$F$6, "-", '4V'!$E$5)</f>
        <v>Between one and two years-Gross Settled outflows-Derivatives - Analysed by earliest payment date</v>
      </c>
      <c r="E2921" t="str">
        <f>'4V'!$C$9</f>
        <v>£m</v>
      </c>
      <c r="F2921" t="s">
        <v>17334</v>
      </c>
      <c r="G2921">
        <f>'4V'!$D$9</f>
        <v>3</v>
      </c>
      <c r="O2921" t="str">
        <f>_xlfn.CONCAT('4V'!$B$9, "-", '4V'!$F$6, "-", '4V'!$E$5)</f>
        <v>Between one and two years-Gross Settled outflows-Derivatives - Analysed by earliest payment date</v>
      </c>
    </row>
    <row r="2922" spans="1:15">
      <c r="A2922" t="s">
        <v>17339</v>
      </c>
      <c r="B2922" t="str">
        <f>'4V'!$AG$9</f>
        <v>BO_8889688</v>
      </c>
      <c r="D2922" t="str">
        <f>_xlfn.CONCAT('4V'!$B$9, "-", '4V'!$G$6, "-", '4V'!$E$5)</f>
        <v>Between one and two years-Gross Settled inflows-Derivatives - Analysed by earliest payment date</v>
      </c>
      <c r="E2922" t="str">
        <f>'4V'!$C$9</f>
        <v>£m</v>
      </c>
      <c r="F2922" t="s">
        <v>17334</v>
      </c>
      <c r="G2922">
        <f>'4V'!$D$9</f>
        <v>3</v>
      </c>
      <c r="O2922" t="str">
        <f>_xlfn.CONCAT('4V'!$B$9, "-", '4V'!$G$6, "-", '4V'!$E$5)</f>
        <v>Between one and two years-Gross Settled inflows-Derivatives - Analysed by earliest payment date</v>
      </c>
    </row>
    <row r="2923" spans="1:15">
      <c r="A2923" t="s">
        <v>17339</v>
      </c>
      <c r="B2923" t="str">
        <f>'4V'!$AH$9</f>
        <v>BO_7043634</v>
      </c>
      <c r="D2923" t="str">
        <f>_xlfn.CONCAT('4V'!$B$9, "-", '4V'!$H$6, "-", '4V'!$E$5)</f>
        <v>Between one and two years-Total-Derivatives - Analysed by earliest payment date</v>
      </c>
      <c r="E2923" t="str">
        <f>'4V'!$C$9</f>
        <v>£m</v>
      </c>
      <c r="F2923" t="s">
        <v>17334</v>
      </c>
      <c r="G2923">
        <f>'4V'!$D$9</f>
        <v>3</v>
      </c>
      <c r="O2923" t="str">
        <f>_xlfn.CONCAT('4V'!$B$9, "-", '4V'!$H$6, "-", '4V'!$E$5)</f>
        <v>Between one and two years-Total-Derivatives - Analysed by earliest payment date</v>
      </c>
    </row>
    <row r="2924" spans="1:15">
      <c r="A2924" t="s">
        <v>17339</v>
      </c>
      <c r="B2924" t="str">
        <f>'4V'!$AI$9</f>
        <v>BO_9541232</v>
      </c>
      <c r="D2924" t="str">
        <f>_xlfn.CONCAT('4V'!$B$9, "-", '4V'!$I$6, "-", '4V'!$I$5)</f>
        <v>Between one and two years-Net settled-Derivatives - Analysed by expected maturity date</v>
      </c>
      <c r="E2924" t="str">
        <f>'4V'!$C$9</f>
        <v>£m</v>
      </c>
      <c r="F2924" t="s">
        <v>17334</v>
      </c>
      <c r="G2924">
        <f>'4V'!$D$9</f>
        <v>3</v>
      </c>
      <c r="O2924" t="str">
        <f>_xlfn.CONCAT('4V'!$B$9, "-", '4V'!$I$6, "-", '4V'!$I$5)</f>
        <v>Between one and two years-Net settled-Derivatives - Analysed by expected maturity date</v>
      </c>
    </row>
    <row r="2925" spans="1:15">
      <c r="A2925" t="s">
        <v>17339</v>
      </c>
      <c r="B2925" t="str">
        <f>'4V'!$AJ$9</f>
        <v>BO_7892308</v>
      </c>
      <c r="D2925" t="str">
        <f>_xlfn.CONCAT('4V'!$B$9, "-", '4V'!$J$6, "-", '4V'!$I$5)</f>
        <v>Between one and two years-Gross Settled outflows-Derivatives - Analysed by expected maturity date</v>
      </c>
      <c r="E2925" t="str">
        <f>'4V'!$C$9</f>
        <v>£m</v>
      </c>
      <c r="F2925" t="s">
        <v>17334</v>
      </c>
      <c r="G2925">
        <f>'4V'!$D$9</f>
        <v>3</v>
      </c>
      <c r="O2925" t="str">
        <f>_xlfn.CONCAT('4V'!$B$9, "-", '4V'!$J$6, "-", '4V'!$I$5)</f>
        <v>Between one and two years-Gross Settled outflows-Derivatives - Analysed by expected maturity date</v>
      </c>
    </row>
    <row r="2926" spans="1:15">
      <c r="A2926" t="s">
        <v>17339</v>
      </c>
      <c r="B2926" t="str">
        <f>'4V'!$AK$9</f>
        <v>BO_4439389</v>
      </c>
      <c r="D2926" t="str">
        <f>_xlfn.CONCAT('4V'!$B$9, "-", '4V'!$K$6, "-", '4V'!$I$5)</f>
        <v>Between one and two years-Gross Settled inflows-Derivatives - Analysed by expected maturity date</v>
      </c>
      <c r="E2926" t="str">
        <f>'4V'!$C$9</f>
        <v>£m</v>
      </c>
      <c r="F2926" t="s">
        <v>17334</v>
      </c>
      <c r="G2926">
        <f>'4V'!$D$9</f>
        <v>3</v>
      </c>
      <c r="O2926" t="str">
        <f>_xlfn.CONCAT('4V'!$B$9, "-", '4V'!$K$6, "-", '4V'!$I$5)</f>
        <v>Between one and two years-Gross Settled inflows-Derivatives - Analysed by expected maturity date</v>
      </c>
    </row>
    <row r="2927" spans="1:15">
      <c r="A2927" t="s">
        <v>17339</v>
      </c>
      <c r="B2927" t="str">
        <f>'4V'!$AL$9</f>
        <v>BO_6335870</v>
      </c>
      <c r="D2927" t="str">
        <f>_xlfn.CONCAT('4V'!$B$9, "-", '4V'!$L$6, "-", '4V'!$I$5)</f>
        <v>Between one and two years-Total-Derivatives - Analysed by expected maturity date</v>
      </c>
      <c r="E2927" t="str">
        <f>'4V'!$C$9</f>
        <v>£m</v>
      </c>
      <c r="F2927" t="s">
        <v>17334</v>
      </c>
      <c r="G2927">
        <f>'4V'!$D$9</f>
        <v>3</v>
      </c>
      <c r="O2927" t="str">
        <f>_xlfn.CONCAT('4V'!$B$9, "-", '4V'!$L$6, "-", '4V'!$I$5)</f>
        <v>Between one and two years-Total-Derivatives - Analysed by expected maturity date</v>
      </c>
    </row>
    <row r="2928" spans="1:15">
      <c r="A2928" t="s">
        <v>17339</v>
      </c>
      <c r="B2928" t="str">
        <f>'4V'!$AE$10</f>
        <v>BO_7249875</v>
      </c>
      <c r="D2928" t="str">
        <f>_xlfn.CONCAT('4V'!$B$10, "-", '4V'!$E$6, "-", '4V'!$E$5)</f>
        <v>Between two and three years-Net settled-Derivatives - Analysed by earliest payment date</v>
      </c>
      <c r="E2928" t="str">
        <f>'4V'!$C$10</f>
        <v>£m</v>
      </c>
      <c r="F2928" t="s">
        <v>17334</v>
      </c>
      <c r="G2928">
        <f>'4V'!$D$10</f>
        <v>3</v>
      </c>
      <c r="O2928" t="str">
        <f>_xlfn.CONCAT('4V'!$B$10, "-", '4V'!$E$6, "-", '4V'!$E$5)</f>
        <v>Between two and three years-Net settled-Derivatives - Analysed by earliest payment date</v>
      </c>
    </row>
    <row r="2929" spans="1:15">
      <c r="A2929" t="s">
        <v>17339</v>
      </c>
      <c r="B2929" t="str">
        <f>'4V'!$AF$10</f>
        <v>BO_5107146</v>
      </c>
      <c r="D2929" t="str">
        <f>_xlfn.CONCAT('4V'!$B$10, "-", '4V'!$F$6, "-", '4V'!$E$5)</f>
        <v>Between two and three years-Gross Settled outflows-Derivatives - Analysed by earliest payment date</v>
      </c>
      <c r="E2929" t="str">
        <f>'4V'!$C$10</f>
        <v>£m</v>
      </c>
      <c r="F2929" t="s">
        <v>17334</v>
      </c>
      <c r="G2929">
        <f>'4V'!$D$10</f>
        <v>3</v>
      </c>
      <c r="O2929" t="str">
        <f>_xlfn.CONCAT('4V'!$B$10, "-", '4V'!$F$6, "-", '4V'!$E$5)</f>
        <v>Between two and three years-Gross Settled outflows-Derivatives - Analysed by earliest payment date</v>
      </c>
    </row>
    <row r="2930" spans="1:15">
      <c r="A2930" t="s">
        <v>17339</v>
      </c>
      <c r="B2930" t="str">
        <f>'4V'!$AG$10</f>
        <v>BO_3477611</v>
      </c>
      <c r="D2930" t="str">
        <f>_xlfn.CONCAT('4V'!$B$10, "-", '4V'!$G$6, "-", '4V'!$E$5)</f>
        <v>Between two and three years-Gross Settled inflows-Derivatives - Analysed by earliest payment date</v>
      </c>
      <c r="E2930" t="str">
        <f>'4V'!$C$10</f>
        <v>£m</v>
      </c>
      <c r="F2930" t="s">
        <v>17334</v>
      </c>
      <c r="G2930">
        <f>'4V'!$D$10</f>
        <v>3</v>
      </c>
      <c r="O2930" t="str">
        <f>_xlfn.CONCAT('4V'!$B$10, "-", '4V'!$G$6, "-", '4V'!$E$5)</f>
        <v>Between two and three years-Gross Settled inflows-Derivatives - Analysed by earliest payment date</v>
      </c>
    </row>
    <row r="2931" spans="1:15">
      <c r="A2931" t="s">
        <v>17339</v>
      </c>
      <c r="B2931" t="str">
        <f>'4V'!$AH$10</f>
        <v>BO_910768</v>
      </c>
      <c r="D2931" t="str">
        <f>_xlfn.CONCAT('4V'!$B$10, "-", '4V'!$H$6, "-", '4V'!$E$5)</f>
        <v>Between two and three years-Total-Derivatives - Analysed by earliest payment date</v>
      </c>
      <c r="E2931" t="str">
        <f>'4V'!$C$10</f>
        <v>£m</v>
      </c>
      <c r="F2931" t="s">
        <v>17334</v>
      </c>
      <c r="G2931">
        <f>'4V'!$D$10</f>
        <v>3</v>
      </c>
      <c r="O2931" t="str">
        <f>_xlfn.CONCAT('4V'!$B$10, "-", '4V'!$H$6, "-", '4V'!$E$5)</f>
        <v>Between two and three years-Total-Derivatives - Analysed by earliest payment date</v>
      </c>
    </row>
    <row r="2932" spans="1:15">
      <c r="A2932" t="s">
        <v>17339</v>
      </c>
      <c r="B2932" t="str">
        <f>'4V'!$AI$10</f>
        <v>BO_865612</v>
      </c>
      <c r="D2932" t="str">
        <f>_xlfn.CONCAT('4V'!$B$10, "-", '4V'!$I$6, "-", '4V'!$I$5)</f>
        <v>Between two and three years-Net settled-Derivatives - Analysed by expected maturity date</v>
      </c>
      <c r="E2932" t="str">
        <f>'4V'!$C$10</f>
        <v>£m</v>
      </c>
      <c r="F2932" t="s">
        <v>17334</v>
      </c>
      <c r="G2932">
        <f>'4V'!$D$10</f>
        <v>3</v>
      </c>
      <c r="O2932" t="str">
        <f>_xlfn.CONCAT('4V'!$B$10, "-", '4V'!$I$6, "-", '4V'!$I$5)</f>
        <v>Between two and three years-Net settled-Derivatives - Analysed by expected maturity date</v>
      </c>
    </row>
    <row r="2933" spans="1:15">
      <c r="A2933" t="s">
        <v>17339</v>
      </c>
      <c r="B2933" t="str">
        <f>'4V'!$AJ$10</f>
        <v>BO_6170791</v>
      </c>
      <c r="D2933" t="str">
        <f>_xlfn.CONCAT('4V'!$B$10, "-", '4V'!$J$6, "-", '4V'!$I$5)</f>
        <v>Between two and three years-Gross Settled outflows-Derivatives - Analysed by expected maturity date</v>
      </c>
      <c r="E2933" t="str">
        <f>'4V'!$C$10</f>
        <v>£m</v>
      </c>
      <c r="F2933" t="s">
        <v>17334</v>
      </c>
      <c r="G2933">
        <f>'4V'!$D$10</f>
        <v>3</v>
      </c>
      <c r="O2933" t="str">
        <f>_xlfn.CONCAT('4V'!$B$10, "-", '4V'!$J$6, "-", '4V'!$I$5)</f>
        <v>Between two and three years-Gross Settled outflows-Derivatives - Analysed by expected maturity date</v>
      </c>
    </row>
    <row r="2934" spans="1:15">
      <c r="A2934" t="s">
        <v>17339</v>
      </c>
      <c r="B2934" t="str">
        <f>'4V'!$AK$10</f>
        <v>BO_4318504</v>
      </c>
      <c r="D2934" t="str">
        <f>_xlfn.CONCAT('4V'!$B$10, "-", '4V'!$K$6, "-", '4V'!$I$5)</f>
        <v>Between two and three years-Gross Settled inflows-Derivatives - Analysed by expected maturity date</v>
      </c>
      <c r="E2934" t="str">
        <f>'4V'!$C$10</f>
        <v>£m</v>
      </c>
      <c r="F2934" t="s">
        <v>17334</v>
      </c>
      <c r="G2934">
        <f>'4V'!$D$10</f>
        <v>3</v>
      </c>
      <c r="O2934" t="str">
        <f>_xlfn.CONCAT('4V'!$B$10, "-", '4V'!$K$6, "-", '4V'!$I$5)</f>
        <v>Between two and three years-Gross Settled inflows-Derivatives - Analysed by expected maturity date</v>
      </c>
    </row>
    <row r="2935" spans="1:15">
      <c r="A2935" t="s">
        <v>17339</v>
      </c>
      <c r="B2935" t="str">
        <f>'4V'!$AL$10</f>
        <v>BO_9629493</v>
      </c>
      <c r="D2935" t="str">
        <f>_xlfn.CONCAT('4V'!$B$10, "-", '4V'!$L$6, "-", '4V'!$I$5)</f>
        <v>Between two and three years-Total-Derivatives - Analysed by expected maturity date</v>
      </c>
      <c r="E2935" t="str">
        <f>'4V'!$C$10</f>
        <v>£m</v>
      </c>
      <c r="F2935" t="s">
        <v>17334</v>
      </c>
      <c r="G2935">
        <f>'4V'!$D$10</f>
        <v>3</v>
      </c>
      <c r="O2935" t="str">
        <f>_xlfn.CONCAT('4V'!$B$10, "-", '4V'!$L$6, "-", '4V'!$I$5)</f>
        <v>Between two and three years-Total-Derivatives - Analysed by expected maturity date</v>
      </c>
    </row>
    <row r="2936" spans="1:15">
      <c r="A2936" t="s">
        <v>17339</v>
      </c>
      <c r="B2936" t="str">
        <f>'4V'!$AE$11</f>
        <v>BO_6972533</v>
      </c>
      <c r="D2936" t="str">
        <f>_xlfn.CONCAT('4V'!$B$11, "-", '4V'!$E$6, "-", '4V'!$E$5)</f>
        <v>Between three and four years-Net settled-Derivatives - Analysed by earliest payment date</v>
      </c>
      <c r="E2936" t="str">
        <f>'4V'!$C$11</f>
        <v>£m</v>
      </c>
      <c r="F2936" t="s">
        <v>17334</v>
      </c>
      <c r="G2936">
        <f>'4V'!$D$11</f>
        <v>3</v>
      </c>
      <c r="O2936" t="str">
        <f>_xlfn.CONCAT('4V'!$B$11, "-", '4V'!$E$6, "-", '4V'!$E$5)</f>
        <v>Between three and four years-Net settled-Derivatives - Analysed by earliest payment date</v>
      </c>
    </row>
    <row r="2937" spans="1:15">
      <c r="A2937" t="s">
        <v>17339</v>
      </c>
      <c r="B2937" t="str">
        <f>'4V'!$AF$11</f>
        <v>BO_2143456</v>
      </c>
      <c r="D2937" t="str">
        <f>_xlfn.CONCAT('4V'!$B$11, "-", '4V'!$F$6, "-", '4V'!$E$5)</f>
        <v>Between three and four years-Gross Settled outflows-Derivatives - Analysed by earliest payment date</v>
      </c>
      <c r="E2937" t="str">
        <f>'4V'!$C$11</f>
        <v>£m</v>
      </c>
      <c r="F2937" t="s">
        <v>17334</v>
      </c>
      <c r="G2937">
        <f>'4V'!$D$11</f>
        <v>3</v>
      </c>
      <c r="O2937" t="str">
        <f>_xlfn.CONCAT('4V'!$B$11, "-", '4V'!$F$6, "-", '4V'!$E$5)</f>
        <v>Between three and four years-Gross Settled outflows-Derivatives - Analysed by earliest payment date</v>
      </c>
    </row>
    <row r="2938" spans="1:15">
      <c r="A2938" t="s">
        <v>17339</v>
      </c>
      <c r="B2938" t="str">
        <f>'4V'!$AG$11</f>
        <v>BO_5016582</v>
      </c>
      <c r="D2938" t="str">
        <f>_xlfn.CONCAT('4V'!$B$11, "-", '4V'!$G$6, "-", '4V'!$E$5)</f>
        <v>Between three and four years-Gross Settled inflows-Derivatives - Analysed by earliest payment date</v>
      </c>
      <c r="E2938" t="str">
        <f>'4V'!$C$11</f>
        <v>£m</v>
      </c>
      <c r="F2938" t="s">
        <v>17334</v>
      </c>
      <c r="G2938">
        <f>'4V'!$D$11</f>
        <v>3</v>
      </c>
      <c r="O2938" t="str">
        <f>_xlfn.CONCAT('4V'!$B$11, "-", '4V'!$G$6, "-", '4V'!$E$5)</f>
        <v>Between three and four years-Gross Settled inflows-Derivatives - Analysed by earliest payment date</v>
      </c>
    </row>
    <row r="2939" spans="1:15">
      <c r="A2939" t="s">
        <v>17339</v>
      </c>
      <c r="B2939" t="str">
        <f>'4V'!$AH$11</f>
        <v>BO_8368713</v>
      </c>
      <c r="D2939" t="str">
        <f>_xlfn.CONCAT('4V'!$B$11, "-", '4V'!$H$6, "-", '4V'!$E$5)</f>
        <v>Between three and four years-Total-Derivatives - Analysed by earliest payment date</v>
      </c>
      <c r="E2939" t="str">
        <f>'4V'!$C$11</f>
        <v>£m</v>
      </c>
      <c r="F2939" t="s">
        <v>17334</v>
      </c>
      <c r="G2939">
        <f>'4V'!$D$11</f>
        <v>3</v>
      </c>
      <c r="O2939" t="str">
        <f>_xlfn.CONCAT('4V'!$B$11, "-", '4V'!$H$6, "-", '4V'!$E$5)</f>
        <v>Between three and four years-Total-Derivatives - Analysed by earliest payment date</v>
      </c>
    </row>
    <row r="2940" spans="1:15">
      <c r="A2940" t="s">
        <v>17339</v>
      </c>
      <c r="B2940" t="str">
        <f>'4V'!$AI$11</f>
        <v>BO_8051242</v>
      </c>
      <c r="D2940" t="str">
        <f>_xlfn.CONCAT('4V'!$B$11, "-", '4V'!$I$6, "-", '4V'!$I$5)</f>
        <v>Between three and four years-Net settled-Derivatives - Analysed by expected maturity date</v>
      </c>
      <c r="E2940" t="str">
        <f>'4V'!$C$11</f>
        <v>£m</v>
      </c>
      <c r="F2940" t="s">
        <v>17334</v>
      </c>
      <c r="G2940">
        <f>'4V'!$D$11</f>
        <v>3</v>
      </c>
      <c r="O2940" t="str">
        <f>_xlfn.CONCAT('4V'!$B$11, "-", '4V'!$I$6, "-", '4V'!$I$5)</f>
        <v>Between three and four years-Net settled-Derivatives - Analysed by expected maturity date</v>
      </c>
    </row>
    <row r="2941" spans="1:15">
      <c r="A2941" t="s">
        <v>17339</v>
      </c>
      <c r="B2941" t="str">
        <f>'4V'!$AJ$11</f>
        <v>BO_9481553</v>
      </c>
      <c r="D2941" t="str">
        <f>_xlfn.CONCAT('4V'!$B$11, "-", '4V'!$J$6, "-", '4V'!$I$5)</f>
        <v>Between three and four years-Gross Settled outflows-Derivatives - Analysed by expected maturity date</v>
      </c>
      <c r="E2941" t="str">
        <f>'4V'!$C$11</f>
        <v>£m</v>
      </c>
      <c r="F2941" t="s">
        <v>17334</v>
      </c>
      <c r="G2941">
        <f>'4V'!$D$11</f>
        <v>3</v>
      </c>
      <c r="O2941" t="str">
        <f>_xlfn.CONCAT('4V'!$B$11, "-", '4V'!$J$6, "-", '4V'!$I$5)</f>
        <v>Between three and four years-Gross Settled outflows-Derivatives - Analysed by expected maturity date</v>
      </c>
    </row>
    <row r="2942" spans="1:15">
      <c r="A2942" t="s">
        <v>17339</v>
      </c>
      <c r="B2942" t="str">
        <f>'4V'!$AK$11</f>
        <v>BO_5400569</v>
      </c>
      <c r="D2942" t="str">
        <f>_xlfn.CONCAT('4V'!$B$11, "-", '4V'!$K$6, "-", '4V'!$I$5)</f>
        <v>Between three and four years-Gross Settled inflows-Derivatives - Analysed by expected maturity date</v>
      </c>
      <c r="E2942" t="str">
        <f>'4V'!$C$11</f>
        <v>£m</v>
      </c>
      <c r="F2942" t="s">
        <v>17334</v>
      </c>
      <c r="G2942">
        <f>'4V'!$D$11</f>
        <v>3</v>
      </c>
      <c r="O2942" t="str">
        <f>_xlfn.CONCAT('4V'!$B$11, "-", '4V'!$K$6, "-", '4V'!$I$5)</f>
        <v>Between three and four years-Gross Settled inflows-Derivatives - Analysed by expected maturity date</v>
      </c>
    </row>
    <row r="2943" spans="1:15">
      <c r="A2943" t="s">
        <v>17339</v>
      </c>
      <c r="B2943" t="str">
        <f>'4V'!$AL$11</f>
        <v>BO_5709998</v>
      </c>
      <c r="D2943" t="str">
        <f>_xlfn.CONCAT('4V'!$B$11, "-", '4V'!$L$6, "-", '4V'!$I$5)</f>
        <v>Between three and four years-Total-Derivatives - Analysed by expected maturity date</v>
      </c>
      <c r="E2943" t="str">
        <f>'4V'!$C$11</f>
        <v>£m</v>
      </c>
      <c r="F2943" t="s">
        <v>17334</v>
      </c>
      <c r="G2943">
        <f>'4V'!$D$11</f>
        <v>3</v>
      </c>
      <c r="O2943" t="str">
        <f>_xlfn.CONCAT('4V'!$B$11, "-", '4V'!$L$6, "-", '4V'!$I$5)</f>
        <v>Between three and four years-Total-Derivatives - Analysed by expected maturity date</v>
      </c>
    </row>
    <row r="2944" spans="1:15">
      <c r="A2944" t="s">
        <v>17339</v>
      </c>
      <c r="B2944" t="str">
        <f>'4V'!$AE$12</f>
        <v>BO_6374768</v>
      </c>
      <c r="D2944" t="str">
        <f>_xlfn.CONCAT('4V'!$B$12, "-", '4V'!$E$6, "-", '4V'!$E$5)</f>
        <v>Between four and five years-Net settled-Derivatives - Analysed by earliest payment date</v>
      </c>
      <c r="E2944" t="str">
        <f>'4V'!$C$12</f>
        <v>£m</v>
      </c>
      <c r="F2944" t="s">
        <v>17334</v>
      </c>
      <c r="G2944">
        <f>'4V'!$D$12</f>
        <v>3</v>
      </c>
      <c r="O2944" t="str">
        <f>_xlfn.CONCAT('4V'!$B$12, "-", '4V'!$E$6, "-", '4V'!$E$5)</f>
        <v>Between four and five years-Net settled-Derivatives - Analysed by earliest payment date</v>
      </c>
    </row>
    <row r="2945" spans="1:15">
      <c r="A2945" t="s">
        <v>17339</v>
      </c>
      <c r="B2945" t="str">
        <f>'4V'!$AF$12</f>
        <v>BO_9132033</v>
      </c>
      <c r="D2945" t="str">
        <f>_xlfn.CONCAT('4V'!$B$12, "-", '4V'!$F$6, "-", '4V'!$E$5)</f>
        <v>Between four and five years-Gross Settled outflows-Derivatives - Analysed by earliest payment date</v>
      </c>
      <c r="E2945" t="str">
        <f>'4V'!$C$12</f>
        <v>£m</v>
      </c>
      <c r="F2945" t="s">
        <v>17334</v>
      </c>
      <c r="G2945">
        <f>'4V'!$D$12</f>
        <v>3</v>
      </c>
      <c r="O2945" t="str">
        <f>_xlfn.CONCAT('4V'!$B$12, "-", '4V'!$F$6, "-", '4V'!$E$5)</f>
        <v>Between four and five years-Gross Settled outflows-Derivatives - Analysed by earliest payment date</v>
      </c>
    </row>
    <row r="2946" spans="1:15">
      <c r="A2946" t="s">
        <v>17339</v>
      </c>
      <c r="B2946" t="str">
        <f>'4V'!$AG$12</f>
        <v>BO_5567373</v>
      </c>
      <c r="D2946" t="str">
        <f>_xlfn.CONCAT('4V'!$B$12, "-", '4V'!$G$6, "-", '4V'!$E$5)</f>
        <v>Between four and five years-Gross Settled inflows-Derivatives - Analysed by earliest payment date</v>
      </c>
      <c r="E2946" t="str">
        <f>'4V'!$C$12</f>
        <v>£m</v>
      </c>
      <c r="F2946" t="s">
        <v>17334</v>
      </c>
      <c r="G2946">
        <f>'4V'!$D$12</f>
        <v>3</v>
      </c>
      <c r="O2946" t="str">
        <f>_xlfn.CONCAT('4V'!$B$12, "-", '4V'!$G$6, "-", '4V'!$E$5)</f>
        <v>Between four and five years-Gross Settled inflows-Derivatives - Analysed by earliest payment date</v>
      </c>
    </row>
    <row r="2947" spans="1:15">
      <c r="A2947" t="s">
        <v>17339</v>
      </c>
      <c r="B2947" t="str">
        <f>'4V'!$AH$12</f>
        <v>BO_9725122</v>
      </c>
      <c r="D2947" t="str">
        <f>_xlfn.CONCAT('4V'!$B$12, "-", '4V'!$H$6, "-", '4V'!$E$5)</f>
        <v>Between four and five years-Total-Derivatives - Analysed by earliest payment date</v>
      </c>
      <c r="E2947" t="str">
        <f>'4V'!$C$12</f>
        <v>£m</v>
      </c>
      <c r="F2947" t="s">
        <v>17334</v>
      </c>
      <c r="G2947">
        <f>'4V'!$D$12</f>
        <v>3</v>
      </c>
      <c r="O2947" t="str">
        <f>_xlfn.CONCAT('4V'!$B$12, "-", '4V'!$H$6, "-", '4V'!$E$5)</f>
        <v>Between four and five years-Total-Derivatives - Analysed by earliest payment date</v>
      </c>
    </row>
    <row r="2948" spans="1:15">
      <c r="A2948" t="s">
        <v>17339</v>
      </c>
      <c r="B2948" t="str">
        <f>'4V'!$AI$12</f>
        <v>BO_629122</v>
      </c>
      <c r="D2948" t="str">
        <f>_xlfn.CONCAT('4V'!$B$12, "-", '4V'!$I$6, "-", '4V'!$I$5)</f>
        <v>Between four and five years-Net settled-Derivatives - Analysed by expected maturity date</v>
      </c>
      <c r="E2948" t="str">
        <f>'4V'!$C$12</f>
        <v>£m</v>
      </c>
      <c r="F2948" t="s">
        <v>17334</v>
      </c>
      <c r="G2948">
        <f>'4V'!$D$12</f>
        <v>3</v>
      </c>
      <c r="O2948" t="str">
        <f>_xlfn.CONCAT('4V'!$B$12, "-", '4V'!$I$6, "-", '4V'!$I$5)</f>
        <v>Between four and five years-Net settled-Derivatives - Analysed by expected maturity date</v>
      </c>
    </row>
    <row r="2949" spans="1:15">
      <c r="A2949" t="s">
        <v>17339</v>
      </c>
      <c r="B2949" t="str">
        <f>'4V'!$AJ$12</f>
        <v>BO_6232387</v>
      </c>
      <c r="D2949" t="str">
        <f>_xlfn.CONCAT('4V'!$B$12, "-", '4V'!$J$6, "-", '4V'!$I$5)</f>
        <v>Between four and five years-Gross Settled outflows-Derivatives - Analysed by expected maturity date</v>
      </c>
      <c r="E2949" t="str">
        <f>'4V'!$C$12</f>
        <v>£m</v>
      </c>
      <c r="F2949" t="s">
        <v>17334</v>
      </c>
      <c r="G2949">
        <f>'4V'!$D$12</f>
        <v>3</v>
      </c>
      <c r="O2949" t="str">
        <f>_xlfn.CONCAT('4V'!$B$12, "-", '4V'!$J$6, "-", '4V'!$I$5)</f>
        <v>Between four and five years-Gross Settled outflows-Derivatives - Analysed by expected maturity date</v>
      </c>
    </row>
    <row r="2950" spans="1:15">
      <c r="A2950" t="s">
        <v>17339</v>
      </c>
      <c r="B2950" t="str">
        <f>'4V'!$AK$12</f>
        <v>BO_2644976</v>
      </c>
      <c r="D2950" t="str">
        <f>_xlfn.CONCAT('4V'!$B$12, "-", '4V'!$K$6, "-", '4V'!$I$5)</f>
        <v>Between four and five years-Gross Settled inflows-Derivatives - Analysed by expected maturity date</v>
      </c>
      <c r="E2950" t="str">
        <f>'4V'!$C$12</f>
        <v>£m</v>
      </c>
      <c r="F2950" t="s">
        <v>17334</v>
      </c>
      <c r="G2950">
        <f>'4V'!$D$12</f>
        <v>3</v>
      </c>
      <c r="O2950" t="str">
        <f>_xlfn.CONCAT('4V'!$B$12, "-", '4V'!$K$6, "-", '4V'!$I$5)</f>
        <v>Between four and five years-Gross Settled inflows-Derivatives - Analysed by expected maturity date</v>
      </c>
    </row>
    <row r="2951" spans="1:15">
      <c r="A2951" t="s">
        <v>17339</v>
      </c>
      <c r="B2951" t="str">
        <f>'4V'!$AL$12</f>
        <v>BO_915356</v>
      </c>
      <c r="D2951" t="str">
        <f>_xlfn.CONCAT('4V'!$B$12, "-", '4V'!$L$6, "-", '4V'!$I$5)</f>
        <v>Between four and five years-Total-Derivatives - Analysed by expected maturity date</v>
      </c>
      <c r="E2951" t="str">
        <f>'4V'!$C$12</f>
        <v>£m</v>
      </c>
      <c r="F2951" t="s">
        <v>17334</v>
      </c>
      <c r="G2951">
        <f>'4V'!$D$12</f>
        <v>3</v>
      </c>
      <c r="O2951" t="str">
        <f>_xlfn.CONCAT('4V'!$B$12, "-", '4V'!$L$6, "-", '4V'!$I$5)</f>
        <v>Between four and five years-Total-Derivatives - Analysed by expected maturity date</v>
      </c>
    </row>
    <row r="2952" spans="1:15">
      <c r="A2952" t="s">
        <v>17339</v>
      </c>
      <c r="B2952" t="str">
        <f>'4V'!$AE$13</f>
        <v>BO_6348698</v>
      </c>
      <c r="D2952" t="str">
        <f>_xlfn.CONCAT('4V'!$B$13, "-", '4V'!$E$6, "-", '4V'!$E$5)</f>
        <v>After five years-Net settled-Derivatives - Analysed by earliest payment date</v>
      </c>
      <c r="E2952" t="str">
        <f>'4V'!$C$13</f>
        <v>£m</v>
      </c>
      <c r="F2952" t="s">
        <v>17334</v>
      </c>
      <c r="G2952">
        <f>'4V'!$D$13</f>
        <v>3</v>
      </c>
      <c r="O2952" t="str">
        <f>_xlfn.CONCAT('4V'!$B$13, "-", '4V'!$E$6, "-", '4V'!$E$5)</f>
        <v>After five years-Net settled-Derivatives - Analysed by earliest payment date</v>
      </c>
    </row>
    <row r="2953" spans="1:15">
      <c r="A2953" t="s">
        <v>17339</v>
      </c>
      <c r="B2953" t="str">
        <f>'4V'!$AF$13</f>
        <v>BO_7272747</v>
      </c>
      <c r="D2953" t="str">
        <f>_xlfn.CONCAT('4V'!$B$13, "-", '4V'!$F$6, "-", '4V'!$E$5)</f>
        <v>After five years-Gross Settled outflows-Derivatives - Analysed by earliest payment date</v>
      </c>
      <c r="E2953" t="str">
        <f>'4V'!$C$13</f>
        <v>£m</v>
      </c>
      <c r="F2953" t="s">
        <v>17334</v>
      </c>
      <c r="G2953">
        <f>'4V'!$D$13</f>
        <v>3</v>
      </c>
      <c r="O2953" t="str">
        <f>_xlfn.CONCAT('4V'!$B$13, "-", '4V'!$F$6, "-", '4V'!$E$5)</f>
        <v>After five years-Gross Settled outflows-Derivatives - Analysed by earliest payment date</v>
      </c>
    </row>
    <row r="2954" spans="1:15">
      <c r="A2954" t="s">
        <v>17339</v>
      </c>
      <c r="B2954" t="str">
        <f>'4V'!$AG$13</f>
        <v>BO_9525934</v>
      </c>
      <c r="D2954" t="str">
        <f>_xlfn.CONCAT('4V'!$B$13, "-", '4V'!$G$6, "-", '4V'!$E$5)</f>
        <v>After five years-Gross Settled inflows-Derivatives - Analysed by earliest payment date</v>
      </c>
      <c r="E2954" t="str">
        <f>'4V'!$C$13</f>
        <v>£m</v>
      </c>
      <c r="F2954" t="s">
        <v>17334</v>
      </c>
      <c r="G2954">
        <f>'4V'!$D$13</f>
        <v>3</v>
      </c>
      <c r="O2954" t="str">
        <f>_xlfn.CONCAT('4V'!$B$13, "-", '4V'!$G$6, "-", '4V'!$E$5)</f>
        <v>After five years-Gross Settled inflows-Derivatives - Analysed by earliest payment date</v>
      </c>
    </row>
    <row r="2955" spans="1:15">
      <c r="A2955" t="s">
        <v>17339</v>
      </c>
      <c r="B2955" t="str">
        <f>'4V'!$AH$13</f>
        <v>BO_2144670</v>
      </c>
      <c r="D2955" t="str">
        <f>_xlfn.CONCAT('4V'!$B$13, "-", '4V'!$H$6, "-", '4V'!$E$5)</f>
        <v>After five years-Total-Derivatives - Analysed by earliest payment date</v>
      </c>
      <c r="E2955" t="str">
        <f>'4V'!$C$13</f>
        <v>£m</v>
      </c>
      <c r="F2955" t="s">
        <v>17334</v>
      </c>
      <c r="G2955">
        <f>'4V'!$D$13</f>
        <v>3</v>
      </c>
      <c r="O2955" t="str">
        <f>_xlfn.CONCAT('4V'!$B$13, "-", '4V'!$H$6, "-", '4V'!$E$5)</f>
        <v>After five years-Total-Derivatives - Analysed by earliest payment date</v>
      </c>
    </row>
    <row r="2956" spans="1:15">
      <c r="A2956" t="s">
        <v>17339</v>
      </c>
      <c r="B2956" t="str">
        <f>'4V'!$AI$13</f>
        <v>BO_6309831</v>
      </c>
      <c r="D2956" t="str">
        <f>_xlfn.CONCAT('4V'!$B$13, "-", '4V'!$I$6, "-", '4V'!$I$5)</f>
        <v>After five years-Net settled-Derivatives - Analysed by expected maturity date</v>
      </c>
      <c r="E2956" t="str">
        <f>'4V'!$C$13</f>
        <v>£m</v>
      </c>
      <c r="F2956" t="s">
        <v>17334</v>
      </c>
      <c r="G2956">
        <f>'4V'!$D$13</f>
        <v>3</v>
      </c>
      <c r="O2956" t="str">
        <f>_xlfn.CONCAT('4V'!$B$13, "-", '4V'!$I$6, "-", '4V'!$I$5)</f>
        <v>After five years-Net settled-Derivatives - Analysed by expected maturity date</v>
      </c>
    </row>
    <row r="2957" spans="1:15">
      <c r="A2957" t="s">
        <v>17339</v>
      </c>
      <c r="B2957" t="str">
        <f>'4V'!$AJ$13</f>
        <v>BO_327706</v>
      </c>
      <c r="D2957" t="str">
        <f>_xlfn.CONCAT('4V'!$B$13, "-", '4V'!$J$6, "-", '4V'!$I$5)</f>
        <v>After five years-Gross Settled outflows-Derivatives - Analysed by expected maturity date</v>
      </c>
      <c r="E2957" t="str">
        <f>'4V'!$C$13</f>
        <v>£m</v>
      </c>
      <c r="F2957" t="s">
        <v>17334</v>
      </c>
      <c r="G2957">
        <f>'4V'!$D$13</f>
        <v>3</v>
      </c>
      <c r="O2957" t="str">
        <f>_xlfn.CONCAT('4V'!$B$13, "-", '4V'!$J$6, "-", '4V'!$I$5)</f>
        <v>After five years-Gross Settled outflows-Derivatives - Analysed by expected maturity date</v>
      </c>
    </row>
    <row r="2958" spans="1:15">
      <c r="A2958" t="s">
        <v>17339</v>
      </c>
      <c r="B2958" t="str">
        <f>'4V'!$AK$13</f>
        <v>BO_5008757</v>
      </c>
      <c r="D2958" t="str">
        <f>_xlfn.CONCAT('4V'!$B$13, "-", '4V'!$K$6, "-", '4V'!$I$5)</f>
        <v>After five years-Gross Settled inflows-Derivatives - Analysed by expected maturity date</v>
      </c>
      <c r="E2958" t="str">
        <f>'4V'!$C$13</f>
        <v>£m</v>
      </c>
      <c r="F2958" t="s">
        <v>17334</v>
      </c>
      <c r="G2958">
        <f>'4V'!$D$13</f>
        <v>3</v>
      </c>
      <c r="O2958" t="str">
        <f>_xlfn.CONCAT('4V'!$B$13, "-", '4V'!$K$6, "-", '4V'!$I$5)</f>
        <v>After five years-Gross Settled inflows-Derivatives - Analysed by expected maturity date</v>
      </c>
    </row>
    <row r="2959" spans="1:15">
      <c r="A2959" t="s">
        <v>17339</v>
      </c>
      <c r="B2959" t="str">
        <f>'4V'!$AL$13</f>
        <v>BO_541823</v>
      </c>
      <c r="D2959" t="str">
        <f>_xlfn.CONCAT('4V'!$B$13, "-", '4V'!$L$6, "-", '4V'!$I$5)</f>
        <v>After five years-Total-Derivatives - Analysed by expected maturity date</v>
      </c>
      <c r="E2959" t="str">
        <f>'4V'!$C$13</f>
        <v>£m</v>
      </c>
      <c r="F2959" t="s">
        <v>17334</v>
      </c>
      <c r="G2959">
        <f>'4V'!$D$13</f>
        <v>3</v>
      </c>
      <c r="O2959" t="str">
        <f>_xlfn.CONCAT('4V'!$B$13, "-", '4V'!$L$6, "-", '4V'!$I$5)</f>
        <v>After five years-Total-Derivatives - Analysed by expected maturity date</v>
      </c>
    </row>
    <row r="2960" spans="1:15">
      <c r="A2960" t="s">
        <v>17339</v>
      </c>
      <c r="B2960" t="str">
        <f>'4V'!$AE$14</f>
        <v>BO_8194445</v>
      </c>
      <c r="D2960" t="str">
        <f>_xlfn.CONCAT('4V'!$B$14, "-", '4V'!$E$6, "-", '4V'!$E$5)</f>
        <v>Total-Net settled-Derivatives - Analysed by earliest payment date</v>
      </c>
      <c r="E2960" t="str">
        <f>'4V'!$C$14</f>
        <v>£m</v>
      </c>
      <c r="F2960" t="s">
        <v>17334</v>
      </c>
      <c r="G2960">
        <f>'4V'!$D$14</f>
        <v>3</v>
      </c>
      <c r="O2960" t="str">
        <f>_xlfn.CONCAT('4V'!$B$14, "-", '4V'!$E$6, "-", '4V'!$E$5)</f>
        <v>Total-Net settled-Derivatives - Analysed by earliest payment date</v>
      </c>
    </row>
    <row r="2961" spans="1:15">
      <c r="A2961" t="s">
        <v>17339</v>
      </c>
      <c r="B2961" t="str">
        <f>'4V'!$AF$14</f>
        <v>BO_9230060</v>
      </c>
      <c r="D2961" t="str">
        <f>_xlfn.CONCAT('4V'!$B$14, "-", '4V'!$F$6, "-", '4V'!$E$5)</f>
        <v>Total-Gross Settled outflows-Derivatives - Analysed by earliest payment date</v>
      </c>
      <c r="E2961" t="str">
        <f>'4V'!$C$14</f>
        <v>£m</v>
      </c>
      <c r="F2961" t="s">
        <v>17334</v>
      </c>
      <c r="G2961">
        <f>'4V'!$D$14</f>
        <v>3</v>
      </c>
      <c r="O2961" t="str">
        <f>_xlfn.CONCAT('4V'!$B$14, "-", '4V'!$F$6, "-", '4V'!$E$5)</f>
        <v>Total-Gross Settled outflows-Derivatives - Analysed by earliest payment date</v>
      </c>
    </row>
    <row r="2962" spans="1:15">
      <c r="A2962" t="s">
        <v>17339</v>
      </c>
      <c r="B2962" t="str">
        <f>'4V'!$AG$14</f>
        <v>BO_1729200</v>
      </c>
      <c r="D2962" t="str">
        <f>_xlfn.CONCAT('4V'!$B$14, "-", '4V'!$G$6, "-", '4V'!$E$5)</f>
        <v>Total-Gross Settled inflows-Derivatives - Analysed by earliest payment date</v>
      </c>
      <c r="E2962" t="str">
        <f>'4V'!$C$14</f>
        <v>£m</v>
      </c>
      <c r="F2962" t="s">
        <v>17334</v>
      </c>
      <c r="G2962">
        <f>'4V'!$D$14</f>
        <v>3</v>
      </c>
      <c r="O2962" t="str">
        <f>_xlfn.CONCAT('4V'!$B$14, "-", '4V'!$G$6, "-", '4V'!$E$5)</f>
        <v>Total-Gross Settled inflows-Derivatives - Analysed by earliest payment date</v>
      </c>
    </row>
    <row r="2963" spans="1:15">
      <c r="A2963" t="s">
        <v>17339</v>
      </c>
      <c r="B2963" t="str">
        <f>'4V'!$AH$14</f>
        <v>BO_1721411</v>
      </c>
      <c r="D2963" t="str">
        <f>_xlfn.CONCAT('4V'!$B$14, "-", '4V'!$H$6, "-", '4V'!$E$5)</f>
        <v>Total-Total-Derivatives - Analysed by earliest payment date</v>
      </c>
      <c r="E2963" t="str">
        <f>'4V'!$C$14</f>
        <v>£m</v>
      </c>
      <c r="F2963" t="s">
        <v>17334</v>
      </c>
      <c r="G2963">
        <f>'4V'!$D$14</f>
        <v>3</v>
      </c>
      <c r="O2963" t="str">
        <f>_xlfn.CONCAT('4V'!$B$14, "-", '4V'!$H$6, "-", '4V'!$E$5)</f>
        <v>Total-Total-Derivatives - Analysed by earliest payment date</v>
      </c>
    </row>
    <row r="2964" spans="1:15">
      <c r="A2964" t="s">
        <v>17339</v>
      </c>
      <c r="B2964" t="str">
        <f>'4V'!$AI$14</f>
        <v>BO_2933867</v>
      </c>
      <c r="D2964" t="str">
        <f>_xlfn.CONCAT('4V'!$B$14, "-", '4V'!$I$6, "-", '4V'!$I$5)</f>
        <v>Total-Net settled-Derivatives - Analysed by expected maturity date</v>
      </c>
      <c r="E2964" t="str">
        <f>'4V'!$C$14</f>
        <v>£m</v>
      </c>
      <c r="F2964" t="s">
        <v>17334</v>
      </c>
      <c r="G2964">
        <f>'4V'!$D$14</f>
        <v>3</v>
      </c>
      <c r="O2964" t="str">
        <f>_xlfn.CONCAT('4V'!$B$14, "-", '4V'!$I$6, "-", '4V'!$I$5)</f>
        <v>Total-Net settled-Derivatives - Analysed by expected maturity date</v>
      </c>
    </row>
    <row r="2965" spans="1:15">
      <c r="A2965" t="s">
        <v>17339</v>
      </c>
      <c r="B2965" t="str">
        <f>'4V'!$AJ$14</f>
        <v>BO_8926305</v>
      </c>
      <c r="D2965" t="str">
        <f>_xlfn.CONCAT('4V'!$B$14, "-", '4V'!$J$6, "-", '4V'!$I$5)</f>
        <v>Total-Gross Settled outflows-Derivatives - Analysed by expected maturity date</v>
      </c>
      <c r="E2965" t="str">
        <f>'4V'!$C$14</f>
        <v>£m</v>
      </c>
      <c r="F2965" t="s">
        <v>17334</v>
      </c>
      <c r="G2965">
        <f>'4V'!$D$14</f>
        <v>3</v>
      </c>
      <c r="O2965" t="str">
        <f>_xlfn.CONCAT('4V'!$B$14, "-", '4V'!$J$6, "-", '4V'!$I$5)</f>
        <v>Total-Gross Settled outflows-Derivatives - Analysed by expected maturity date</v>
      </c>
    </row>
    <row r="2966" spans="1:15">
      <c r="A2966" t="s">
        <v>17339</v>
      </c>
      <c r="B2966" t="str">
        <f>'4V'!$AK$14</f>
        <v>BO_5670064</v>
      </c>
      <c r="D2966" t="str">
        <f>_xlfn.CONCAT('4V'!$B$14, "-", '4V'!$K$6, "-", '4V'!$I$5)</f>
        <v>Total-Gross Settled inflows-Derivatives - Analysed by expected maturity date</v>
      </c>
      <c r="E2966" t="str">
        <f>'4V'!$C$14</f>
        <v>£m</v>
      </c>
      <c r="F2966" t="s">
        <v>17334</v>
      </c>
      <c r="G2966">
        <f>'4V'!$D$14</f>
        <v>3</v>
      </c>
      <c r="O2966" t="str">
        <f>_xlfn.CONCAT('4V'!$B$14, "-", '4V'!$K$6, "-", '4V'!$I$5)</f>
        <v>Total-Gross Settled inflows-Derivatives - Analysed by expected maturity date</v>
      </c>
    </row>
    <row r="2967" spans="1:15">
      <c r="A2967" t="s">
        <v>17339</v>
      </c>
      <c r="B2967" t="str">
        <f>'4V'!$AL$14</f>
        <v>BO_3634334</v>
      </c>
      <c r="D2967" t="str">
        <f>_xlfn.CONCAT('4V'!$B$14, "-", '4V'!$L$6, "-", '4V'!$I$5)</f>
        <v>Total-Total-Derivatives - Analysed by expected maturity date</v>
      </c>
      <c r="E2967" t="str">
        <f>'4V'!$C$14</f>
        <v>£m</v>
      </c>
      <c r="F2967" t="s">
        <v>17334</v>
      </c>
      <c r="G2967">
        <f>'4V'!$D$14</f>
        <v>3</v>
      </c>
      <c r="O2967" t="str">
        <f>_xlfn.CONCAT('4V'!$B$14, "-", '4V'!$L$6, "-", '4V'!$I$5)</f>
        <v>Total-Total-Derivatives - Analysed by expected maturity date</v>
      </c>
    </row>
    <row r="2968" spans="1:15">
      <c r="A2968" t="s">
        <v>17340</v>
      </c>
      <c r="B2968" s="1781" t="str">
        <f>'5A'!R37</f>
        <v>B4860_TOT</v>
      </c>
      <c r="C2968" s="219"/>
      <c r="D2968" s="219" t="s">
        <v>18131</v>
      </c>
      <c r="E2968" t="s">
        <v>4843</v>
      </c>
      <c r="F2968" t="s">
        <v>17334</v>
      </c>
      <c r="G2968">
        <v>0</v>
      </c>
      <c r="O2968" t="str">
        <f>D2968</f>
        <v>Water resources - Total number of completed investigations (WINEP/NEP), cumulative for AMP</v>
      </c>
    </row>
    <row r="2969" spans="1:15">
      <c r="A2969" t="s">
        <v>4179</v>
      </c>
      <c r="B2969" s="1781" t="str">
        <f>'6A'!V46</f>
        <v>BNARPC_WT0</v>
      </c>
      <c r="C2969" s="219"/>
      <c r="D2969" t="str">
        <f>_xlfn.CONCAT('6A'!$B$45, "-", '6A'!$B$46)</f>
        <v xml:space="preserve"> Water treatment - other information-Peak week production capacity (PWPC)</v>
      </c>
      <c r="E2969" t="str">
        <f>'6B'!$C$11</f>
        <v>Ml/d</v>
      </c>
      <c r="F2969" t="s">
        <v>17334</v>
      </c>
      <c r="G2969">
        <f>'6B'!$D$11</f>
        <v>2</v>
      </c>
      <c r="O2969" t="str">
        <f t="shared" ref="O2969:O2971" si="14">D2969</f>
        <v xml:space="preserve"> Water treatment - other information-Peak week production capacity (PWPC)</v>
      </c>
    </row>
    <row r="2970" spans="1:15">
      <c r="A2970" t="s">
        <v>4179</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17334</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17334</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2" t="str">
        <f>'6B'!$R$8</f>
        <v>B0006TWDTIPC</v>
      </c>
      <c r="D2972" t="str">
        <f>_xlfn.CONCAT('6B'!$B$7, "-", '6B'!$B$8, "-", '6B'!$E$5)</f>
        <v>Assets and operations-Total installed power capacity of potable water pumping stations-Input</v>
      </c>
      <c r="E2972" t="str">
        <f>'6B'!$C$8</f>
        <v>kW</v>
      </c>
      <c r="F2972" t="s">
        <v>17334</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17334</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17334</v>
      </c>
      <c r="G2974">
        <f>'6B'!$D$10</f>
        <v>1</v>
      </c>
      <c r="O2974" t="str">
        <f>_xlfn.CONCAT('6B'!$B$7, "-", '6B'!$B$10, "-", '6B'!$E$5)</f>
        <v>Assets and operations-Total volumetric capacity of water towers-Input</v>
      </c>
    </row>
    <row r="2975" spans="1:15">
      <c r="A2975" t="s">
        <v>4181</v>
      </c>
      <c r="B2975" s="2590" t="str">
        <f>'6B'!$R$11</f>
        <v>BN2350</v>
      </c>
      <c r="D2975" t="str">
        <f>_xlfn.CONCAT('6B'!$B$7, "-", '6B'!$B$11, "-", '6B'!$E$5)</f>
        <v>Assets and operations-Water delivered (non-potable)-Input</v>
      </c>
      <c r="E2975" t="str">
        <f>'6B'!$C$11</f>
        <v>Ml/d</v>
      </c>
      <c r="F2975" t="s">
        <v>17334</v>
      </c>
      <c r="G2975">
        <f>'6B'!$D$11</f>
        <v>2</v>
      </c>
      <c r="O2975" t="str">
        <f>_xlfn.CONCAT('6B'!$B$7, "-", '6B'!$B$11, "-", '6B'!$E$5)</f>
        <v>Assets and operations-Water delivered (non-potable)-Input</v>
      </c>
    </row>
    <row r="2976" spans="1:15">
      <c r="A2976" t="s">
        <v>4181</v>
      </c>
      <c r="B2976" s="2590" t="str">
        <f>'6B'!$R$12</f>
        <v>BN2330</v>
      </c>
      <c r="D2976" t="str">
        <f>_xlfn.CONCAT('6B'!$B$7, "-", '6B'!$B$12, "-", '6B'!$E$5)</f>
        <v>Assets and operations-Water delivered (potable)-Input</v>
      </c>
      <c r="E2976" t="str">
        <f>'6B'!$C$12</f>
        <v>Ml/d</v>
      </c>
      <c r="F2976" t="s">
        <v>17334</v>
      </c>
      <c r="G2976">
        <f>'6B'!$D$12</f>
        <v>2</v>
      </c>
      <c r="O2976" t="str">
        <f>_xlfn.CONCAT('6B'!$B$7, "-", '6B'!$B$12, "-", '6B'!$E$5)</f>
        <v>Assets and operations-Water delivered (potable)-Input</v>
      </c>
    </row>
    <row r="2977" spans="1:15">
      <c r="A2977" t="s">
        <v>4181</v>
      </c>
      <c r="B2977" s="2590" t="str">
        <f>'6B'!$R$13</f>
        <v>BN2000</v>
      </c>
      <c r="D2977" t="str">
        <f>_xlfn.CONCAT('6B'!$B$7, "-", '6B'!$B$13, "-", '6B'!$E$5)</f>
        <v>Assets and operations-Water delivered (billed measured residential properties)-Input</v>
      </c>
      <c r="E2977" t="str">
        <f>'6B'!$C$13</f>
        <v>Ml/d</v>
      </c>
      <c r="F2977" t="s">
        <v>17334</v>
      </c>
      <c r="G2977">
        <f>'6B'!$D$13</f>
        <v>2</v>
      </c>
      <c r="O2977" t="str">
        <f>_xlfn.CONCAT('6B'!$B$7, "-", '6B'!$B$13, "-", '6B'!$E$5)</f>
        <v>Assets and operations-Water delivered (billed measured residential properties)-Input</v>
      </c>
    </row>
    <row r="2978" spans="1:15">
      <c r="A2978" t="s">
        <v>4181</v>
      </c>
      <c r="B2978" s="2590" t="str">
        <f>'6B'!$R$14</f>
        <v>BN2010</v>
      </c>
      <c r="D2978" t="str">
        <f>_xlfn.CONCAT('6B'!$B$7, "-", '6B'!$B$14, "-", '6B'!$E$5)</f>
        <v>Assets and operations-Water delivered (billed measured businesses)-Input</v>
      </c>
      <c r="E2978" t="str">
        <f>'6B'!$C$14</f>
        <v>Ml/d</v>
      </c>
      <c r="F2978" t="s">
        <v>17334</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17334</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17334</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17334</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17334</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17334</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17334</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17334</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17334</v>
      </c>
      <c r="G2986">
        <f>'6B'!$D$22</f>
        <v>3</v>
      </c>
      <c r="O2986" t="str">
        <f>_xlfn.CONCAT('6B'!$B$7, "-", '6B'!$B$22, "-", '6B'!$E$5)</f>
        <v>Assets and operations-Proportion of distribution input derived from water reuse schemes-Input</v>
      </c>
    </row>
    <row r="2987" spans="1:15">
      <c r="A2987" t="s">
        <v>4181</v>
      </c>
      <c r="B2987" s="2602" t="str">
        <f>'6B'!$R$23</f>
        <v>B0006TWDPIAW</v>
      </c>
      <c r="D2987" t="str">
        <f>_xlfn.CONCAT('6B'!$B$7, "-", '6B'!$B$23, "-", '6B'!$E$5)</f>
        <v>Assets and operations-Total number of potable water pumping stations that pump into and within the treated water distribution system-Input</v>
      </c>
      <c r="E2987" t="str">
        <f>'6B'!$C$23</f>
        <v>nr</v>
      </c>
      <c r="F2987" t="s">
        <v>17334</v>
      </c>
      <c r="G2987">
        <f>'6B'!$D$23</f>
        <v>0</v>
      </c>
      <c r="O2987" t="str">
        <f>_xlfn.CONCAT('6B'!$B$7, "-", '6B'!$B$23, "-", '6B'!$E$5)</f>
        <v>Assets and operations-Total number of potable water pumping stations that pump into and within the treated water distribution system-Input</v>
      </c>
    </row>
    <row r="2988" spans="1:15">
      <c r="A2988" t="s">
        <v>4181</v>
      </c>
      <c r="B2988" s="2602" t="str">
        <f>'6B'!$R$24</f>
        <v>B0006TWDDGW</v>
      </c>
      <c r="D2988" t="str">
        <f>_xlfn.CONCAT('6B'!$B$7, "-", '6B'!$B$24, "-", '6B'!$E$5)</f>
        <v>Assets and operations-Number of potable water pumping stations delivering treated groundwater into the treated water distribution system-Input</v>
      </c>
      <c r="E2988" t="str">
        <f>'6B'!$C$24</f>
        <v>nr</v>
      </c>
      <c r="F2988" t="s">
        <v>17334</v>
      </c>
      <c r="G2988">
        <f>'6B'!$D$24</f>
        <v>0</v>
      </c>
      <c r="O2988" t="str">
        <f>_xlfn.CONCAT('6B'!$B$7, "-", '6B'!$B$24, "-", '6B'!$E$5)</f>
        <v>Assets and operations-Number of potable water pumping stations delivering treated groundwater into the treated water distribution system-Input</v>
      </c>
    </row>
    <row r="2989" spans="1:15">
      <c r="A2989" t="s">
        <v>4181</v>
      </c>
      <c r="B2989" s="2602" t="str">
        <f>'6B'!$R$25</f>
        <v>B0006TWDDSW</v>
      </c>
      <c r="D2989" t="str">
        <f>_xlfn.CONCAT('6B'!$B$7, "-", '6B'!$B$25, "-", '6B'!$E$5)</f>
        <v>Assets and operations-Number of potable water pumping stations delivering surface water into the treated water distribution system-Input</v>
      </c>
      <c r="E2989" t="str">
        <f>'6B'!$C$25</f>
        <v>nr</v>
      </c>
      <c r="F2989" t="s">
        <v>17334</v>
      </c>
      <c r="G2989">
        <f>'6B'!$D$25</f>
        <v>0</v>
      </c>
      <c r="O2989" t="str">
        <f>_xlfn.CONCAT('6B'!$B$7, "-", '6B'!$B$25, "-", '6B'!$E$5)</f>
        <v>Assets and operations-Number of potable water pumping stations delivering surface water into the treated water distribution system-Input</v>
      </c>
    </row>
    <row r="2990" spans="1:15">
      <c r="A2990" t="s">
        <v>4181</v>
      </c>
      <c r="B2990" s="2602" t="str">
        <f>'6B'!$R$26</f>
        <v>B0006TWDREP</v>
      </c>
      <c r="D2990" t="str">
        <f>_xlfn.CONCAT('6B'!$B$7, "-", '6B'!$B$26, "-", '6B'!$E$5)</f>
        <v>Assets and operations-Number of potable water pumping stations that re-pump water already within the treated water distribution system-Input</v>
      </c>
      <c r="E2990" t="str">
        <f>'6B'!$C$26</f>
        <v>nr</v>
      </c>
      <c r="F2990" t="s">
        <v>17334</v>
      </c>
      <c r="G2990">
        <f>'6B'!$D$26</f>
        <v>0</v>
      </c>
      <c r="O2990" t="str">
        <f>_xlfn.CONCAT('6B'!$B$7, "-", '6B'!$B$26, "-", '6B'!$E$5)</f>
        <v>Assets and operations-Number of potable water pumping stations that re-pump water already within the treated water distribution system-Input</v>
      </c>
    </row>
    <row r="2991" spans="1:15">
      <c r="A2991" t="s">
        <v>4181</v>
      </c>
      <c r="B2991" s="260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17334</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602" t="str">
        <f>'6B'!$R$28</f>
        <v>BN10990</v>
      </c>
      <c r="D2992" t="str">
        <f>_xlfn.CONCAT('6B'!$B$7, "-", '6B'!$B$28, "-", '6B'!$E$5)</f>
        <v>Assets and operations-Total number of service reservoirs-Input</v>
      </c>
      <c r="E2992" t="str">
        <f>'6B'!$C$28</f>
        <v>nr</v>
      </c>
      <c r="F2992" t="s">
        <v>17334</v>
      </c>
      <c r="G2992">
        <f>'6B'!$D$28</f>
        <v>0</v>
      </c>
      <c r="O2992" t="str">
        <f>_xlfn.CONCAT('6B'!$B$7, "-", '6B'!$B$28, "-", '6B'!$E$5)</f>
        <v>Assets and operations-Total number of service reservoirs-Input</v>
      </c>
    </row>
    <row r="2993" spans="1:15">
      <c r="A2993" t="s">
        <v>4181</v>
      </c>
      <c r="B2993" s="2602" t="str">
        <f>'6B'!$R$29</f>
        <v>BN11090</v>
      </c>
      <c r="D2993" t="str">
        <f>_xlfn.CONCAT('6B'!$B$7, "-", '6B'!$B$29, "-", '6B'!$E$5)</f>
        <v>Assets and operations-Number of water towers-Input</v>
      </c>
      <c r="E2993" t="str">
        <f>'6B'!$C$29</f>
        <v>nr</v>
      </c>
      <c r="F2993" t="s">
        <v>17334</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17334</v>
      </c>
      <c r="G2994">
        <f>'6B'!$D$30</f>
        <v>3</v>
      </c>
      <c r="O2994" t="str">
        <f>_xlfn.CONCAT('6B'!$B$7, "-", '6B'!$B$30, "-", '6B'!$E$5)</f>
        <v>Assets and operations-Energy consumption – treated water distribution (MWh)-Input</v>
      </c>
    </row>
    <row r="2995" spans="1:15">
      <c r="A2995" t="s">
        <v>4181</v>
      </c>
      <c r="B2995" s="2590" t="str">
        <f>'6B'!$R$31</f>
        <v>BN4870</v>
      </c>
      <c r="D2995" t="str">
        <f>_xlfn.CONCAT('6B'!$B$7, "-", '6B'!$B$31, "-", '6B'!$E$5)</f>
        <v>Assets and operations-Average pumping head – treated water distribution-Input</v>
      </c>
      <c r="E2995" t="str">
        <f>'6B'!$C$31</f>
        <v>m.hd</v>
      </c>
      <c r="F2995" t="s">
        <v>17334</v>
      </c>
      <c r="G2995">
        <f>'6B'!$D$31</f>
        <v>2</v>
      </c>
      <c r="O2995" t="str">
        <f>_xlfn.CONCAT('6B'!$B$7, "-", '6B'!$B$31, "-", '6B'!$E$5)</f>
        <v>Assets and operations-Average pumping head – treated water distribution-Input</v>
      </c>
    </row>
    <row r="2996" spans="1:15">
      <c r="A2996" t="s">
        <v>4181</v>
      </c>
      <c r="B2996" s="2602" t="str">
        <f>'6B'!$R$32</f>
        <v>B0006TWDTNI</v>
      </c>
      <c r="D2996" t="str">
        <f>_xlfn.CONCAT('6B'!$B$7, "-", '6B'!$B$32, "-", '6B'!$E$5)</f>
        <v>Assets and operations-Total number of treated water distribution imports-Input</v>
      </c>
      <c r="E2996" t="str">
        <f>'6B'!$C$32</f>
        <v>nr</v>
      </c>
      <c r="F2996" t="s">
        <v>17334</v>
      </c>
      <c r="G2996">
        <f>'6B'!$D$32</f>
        <v>0</v>
      </c>
      <c r="O2996" t="str">
        <f>_xlfn.CONCAT('6B'!$B$7, "-", '6B'!$B$32, "-", '6B'!$E$5)</f>
        <v>Assets and operations-Total number of treated water distribution imports-Input</v>
      </c>
    </row>
    <row r="2997" spans="1:15">
      <c r="A2997" t="s">
        <v>4181</v>
      </c>
      <c r="B2997" s="2590" t="str">
        <f>'6B'!$R$33</f>
        <v>B0006TWDWI3</v>
      </c>
      <c r="D2997" t="str">
        <f>_xlfn.CONCAT('6B'!$B$7, "-", '6B'!$B$33, "-", '6B'!$E$5)</f>
        <v>Assets and operations-Water imported from 3rd parties to treated water distribution systems-Input</v>
      </c>
      <c r="E2997" t="str">
        <f>'6B'!$C$33</f>
        <v>Ml/d</v>
      </c>
      <c r="F2997" t="s">
        <v>17334</v>
      </c>
      <c r="G2997">
        <f>'6B'!$D$33</f>
        <v>2</v>
      </c>
      <c r="O2997" t="str">
        <f>_xlfn.CONCAT('6B'!$B$7, "-", '6B'!$B$33, "-", '6B'!$E$5)</f>
        <v>Assets and operations-Water imported from 3rd parties to treated water distribution systems-Input</v>
      </c>
    </row>
    <row r="2998" spans="1:15">
      <c r="A2998" t="s">
        <v>4181</v>
      </c>
      <c r="B2998" s="2590" t="str">
        <f>'6B'!$R$34</f>
        <v>B0006TWDTNE</v>
      </c>
      <c r="D2998" t="str">
        <f>_xlfn.CONCAT('6B'!$B$7, "-", '6B'!$B$34, "-", '6B'!$E$5)</f>
        <v>Assets and operations-Total number of treated water distribution exports-Input</v>
      </c>
      <c r="E2998" t="str">
        <f>'6B'!$C$34</f>
        <v>nr</v>
      </c>
      <c r="F2998" t="s">
        <v>17334</v>
      </c>
      <c r="G2998">
        <f>'6B'!$D$34</f>
        <v>0</v>
      </c>
      <c r="O2998" t="str">
        <f>_xlfn.CONCAT('6B'!$B$7, "-", '6B'!$B$34, "-", '6B'!$E$5)</f>
        <v>Assets and operations-Total number of treated water distribution exports-Input</v>
      </c>
    </row>
    <row r="2999" spans="1:15">
      <c r="A2999" t="s">
        <v>4181</v>
      </c>
      <c r="B2999" s="2590" t="str">
        <f>'6B'!$R$35</f>
        <v>B0006TWDWE3</v>
      </c>
      <c r="D2999" t="str">
        <f>_xlfn.CONCAT('6B'!$B$7, "-", '6B'!$B$35, "-", '6B'!$E$5)</f>
        <v>Assets and operations-Water exported to 3rd parties from treated water distribution systems-Input</v>
      </c>
      <c r="E2999" t="str">
        <f>'6B'!$C$35</f>
        <v>Ml/d</v>
      </c>
      <c r="F2999" t="s">
        <v>17334</v>
      </c>
      <c r="G2999">
        <f>'6B'!$D$35</f>
        <v>2</v>
      </c>
      <c r="O2999" t="str">
        <f>_xlfn.CONCAT('6B'!$B$7, "-", '6B'!$B$35, "-", '6B'!$E$5)</f>
        <v>Assets and operations-Water exported to 3rd parties from treated water distribution systems-Input</v>
      </c>
    </row>
    <row r="3000" spans="1:15">
      <c r="A3000" t="s">
        <v>4181</v>
      </c>
      <c r="B3000" s="2590" t="str">
        <f>'6B'!$R$36</f>
        <v>BO_6970353</v>
      </c>
      <c r="D3000" t="str">
        <f>_xlfn.CONCAT('6B'!$B$7, "-", '6B'!$B$36, "-", '6B'!$E$5)</f>
        <v>Assets and operations-Peak 7 day rolling average distribution input-Input</v>
      </c>
      <c r="E3000" t="str">
        <f>'6B'!$C$36</f>
        <v>Ml/d</v>
      </c>
      <c r="F3000" t="s">
        <v>17334</v>
      </c>
      <c r="G3000">
        <f>'6B'!$D$36</f>
        <v>2</v>
      </c>
      <c r="O3000" t="str">
        <f>_xlfn.CONCAT('6B'!$B$7, "-", '6B'!$B$36, "-", '6B'!$E$5)</f>
        <v>Assets and operations-Peak 7 day rolling average distribution input-Input</v>
      </c>
    </row>
    <row r="3001" spans="1:15">
      <c r="A3001" t="s">
        <v>4181</v>
      </c>
      <c r="B3001" s="2590" t="str">
        <f>'6B'!$R$37</f>
        <v>BO_894269</v>
      </c>
      <c r="D3001" t="str">
        <f>_xlfn.CONCAT('6B'!$B$7, "-", '6B'!$B$37, "-", '6B'!$E$5)</f>
        <v>Assets and operations-Peak 7 day rolling average distribution input / annual average distribution input-Input</v>
      </c>
      <c r="E3001" t="str">
        <f>'6B'!$C$37</f>
        <v>%</v>
      </c>
      <c r="F3001" t="s">
        <v>17334</v>
      </c>
      <c r="G3001">
        <f>'6B'!$D$37</f>
        <v>2</v>
      </c>
      <c r="O3001" t="str">
        <f>_xlfn.CONCAT('6B'!$B$7, "-", '6B'!$B$37, "-", '6B'!$E$5)</f>
        <v>Assets and operations-Peak 7 day rolling average distribution input / annual average distribution input-Input</v>
      </c>
    </row>
    <row r="3002" spans="1:15">
      <c r="A3002" t="s">
        <v>4181</v>
      </c>
      <c r="B3002" s="2602" t="str">
        <f>'6B'!$R$40</f>
        <v>BN2300_A</v>
      </c>
      <c r="D3002" t="str">
        <f>_xlfn.CONCAT('6B'!$B$39, "-", '6B'!$B$40, "-", '6B'!$E$5)</f>
        <v>Water balance - company level-Measured household consumption (excluding supply pipe leakage)-Input</v>
      </c>
      <c r="E3002" t="str">
        <f>'6B'!$C$40</f>
        <v>Ml/d</v>
      </c>
      <c r="F3002" t="s">
        <v>17334</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17334</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17334</v>
      </c>
      <c r="G3004">
        <f>'6B'!$D$42</f>
        <v>2</v>
      </c>
      <c r="O3004" t="str">
        <f>_xlfn.CONCAT('6B'!$B$39, "-", '6B'!$B$42, "-", '6B'!$E$5)</f>
        <v>Water balance - company level-Measured non-household consumption (excluding supply pipe leakage)-Input</v>
      </c>
    </row>
    <row r="3005" spans="1:15">
      <c r="A3005" t="s">
        <v>4181</v>
      </c>
      <c r="B3005" s="2590" t="str">
        <f>'6B'!$R$43</f>
        <v>BN2315_A</v>
      </c>
      <c r="D3005" t="str">
        <f>_xlfn.CONCAT('6B'!$B$39, "-", '6B'!$B$43, "-", '6B'!$E$5)</f>
        <v>Water balance - company level-Unmeasured non-household consumption (excluding supply pipe leakage)-Input</v>
      </c>
      <c r="E3005" t="str">
        <f>'6B'!$C$43</f>
        <v>Ml/d</v>
      </c>
      <c r="F3005" t="s">
        <v>17334</v>
      </c>
      <c r="G3005">
        <f>'6B'!$D$43</f>
        <v>2</v>
      </c>
      <c r="O3005" t="str">
        <f>_xlfn.CONCAT('6B'!$B$39, "-", '6B'!$B$43, "-", '6B'!$E$5)</f>
        <v>Water balance - company level-Unmeasured non-household consumption (excluding supply pipe leakage)-Input</v>
      </c>
    </row>
    <row r="3006" spans="1:15">
      <c r="A3006" t="s">
        <v>4181</v>
      </c>
      <c r="B3006" s="2590" t="str">
        <f>'6B'!$R$44</f>
        <v>BN2345A</v>
      </c>
      <c r="D3006" t="str">
        <f>_xlfn.CONCAT('6B'!$B$39, "-", '6B'!$B$44, "-", '6B'!$E$5)</f>
        <v>Water balance - company level-Total annual leakage-Input</v>
      </c>
      <c r="E3006" t="str">
        <f>'6B'!$C$44</f>
        <v>Ml/d</v>
      </c>
      <c r="F3006" t="s">
        <v>17334</v>
      </c>
      <c r="G3006">
        <f>'6B'!$D$44</f>
        <v>2</v>
      </c>
      <c r="O3006" t="str">
        <f>_xlfn.CONCAT('6B'!$B$39, "-", '6B'!$B$44, "-", '6B'!$E$5)</f>
        <v>Water balance - company level-Total annual leakage-Input</v>
      </c>
    </row>
    <row r="3007" spans="1:15">
      <c r="A3007" t="s">
        <v>4181</v>
      </c>
      <c r="B3007" s="2590" t="str">
        <f>'6B'!$R$45</f>
        <v>BN2325_A</v>
      </c>
      <c r="D3007" t="str">
        <f>_xlfn.CONCAT('6B'!$B$39, "-", '6B'!$B$45, "-", '6B'!$E$5)</f>
        <v>Water balance - company level-Distribution system operational use-Input</v>
      </c>
      <c r="E3007" t="str">
        <f>'6B'!$C$45</f>
        <v>Ml/d</v>
      </c>
      <c r="F3007" t="s">
        <v>17334</v>
      </c>
      <c r="G3007">
        <f>'6B'!$D$45</f>
        <v>2</v>
      </c>
      <c r="O3007" t="str">
        <f>_xlfn.CONCAT('6B'!$B$39, "-", '6B'!$B$45, "-", '6B'!$E$5)</f>
        <v>Water balance - company level-Distribution system operational use-Input</v>
      </c>
    </row>
    <row r="3008" spans="1:15">
      <c r="A3008" t="s">
        <v>4181</v>
      </c>
      <c r="B3008" s="2590" t="str">
        <f>'6B'!$R$46</f>
        <v>BN2327A</v>
      </c>
      <c r="D3008" t="str">
        <f>_xlfn.CONCAT('6B'!$B$39, "-", '6B'!$B$46, "-", '6B'!$E$5)</f>
        <v>Water balance - company level-Water taken unbilled-Input</v>
      </c>
      <c r="E3008" t="str">
        <f>'6B'!$C$46</f>
        <v>Ml/d</v>
      </c>
      <c r="F3008" t="s">
        <v>17334</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17334</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17334</v>
      </c>
      <c r="G3010">
        <f>'6B'!$D$48</f>
        <v>2</v>
      </c>
      <c r="O3010" t="str">
        <f>_xlfn.CONCAT('6B'!$B$39, "-", '6B'!$B$48, "-", '6B'!$E$5)</f>
        <v>Water balance - company level-Distribution input (pre-MLE)-Input</v>
      </c>
    </row>
    <row r="3011" spans="1:15">
      <c r="A3011" t="s">
        <v>4181</v>
      </c>
      <c r="B3011" s="2602" t="str">
        <f>'6B'!$R$51</f>
        <v>BN2300_A1</v>
      </c>
      <c r="D3011" t="str">
        <f>_xlfn.CONCAT('6B'!$B$50, "-", '6B'!$B$51, "-", '6B'!$E$5)</f>
        <v>Water balance - region 1-Measured household consumption (excluding supply pipe leakage)-Input</v>
      </c>
      <c r="E3011" t="str">
        <f>'6B'!$C$51</f>
        <v>Ml/d</v>
      </c>
      <c r="F3011" t="s">
        <v>17334</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17334</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17334</v>
      </c>
      <c r="G3013">
        <f>'6B'!$D$53</f>
        <v>2</v>
      </c>
      <c r="O3013" t="str">
        <f>_xlfn.CONCAT('6B'!$B$50, "-", '6B'!$B$53, "-", '6B'!$E$5)</f>
        <v>Water balance - region 1-Measured non-household consumption (excluding supply pipe leakage)-Input</v>
      </c>
    </row>
    <row r="3014" spans="1:15">
      <c r="A3014" t="s">
        <v>4181</v>
      </c>
      <c r="B3014" s="2590" t="str">
        <f>'6B'!$R$54</f>
        <v>BN2315_A1</v>
      </c>
      <c r="D3014" t="str">
        <f>_xlfn.CONCAT('6B'!$B$50, "-", '6B'!$B$54, "-", '6B'!$E$5)</f>
        <v>Water balance - region 1-Unmeasured non-household consumption (excluding supply pipe leakage)-Input</v>
      </c>
      <c r="E3014" t="str">
        <f>'6B'!$C$54</f>
        <v>Ml/d</v>
      </c>
      <c r="F3014" t="s">
        <v>17334</v>
      </c>
      <c r="G3014">
        <f>'6B'!$D$54</f>
        <v>2</v>
      </c>
      <c r="O3014" t="str">
        <f>_xlfn.CONCAT('6B'!$B$50, "-", '6B'!$B$54, "-", '6B'!$E$5)</f>
        <v>Water balance - region 1-Unmeasured non-household consumption (excluding supply pipe leakage)-Input</v>
      </c>
    </row>
    <row r="3015" spans="1:15">
      <c r="A3015" t="s">
        <v>4181</v>
      </c>
      <c r="B3015" s="2590" t="str">
        <f>'6B'!$R$55</f>
        <v>BN2345A1</v>
      </c>
      <c r="D3015" t="str">
        <f>_xlfn.CONCAT('6B'!$B$50, "-", '6B'!$B$55, "-", '6B'!$E$5)</f>
        <v>Water balance - region 1-Total annual leakage-Input</v>
      </c>
      <c r="E3015" t="str">
        <f>'6B'!$C$55</f>
        <v>Ml/d</v>
      </c>
      <c r="F3015" t="s">
        <v>17334</v>
      </c>
      <c r="G3015">
        <f>'6B'!$D$55</f>
        <v>2</v>
      </c>
      <c r="O3015" t="str">
        <f>_xlfn.CONCAT('6B'!$B$50, "-", '6B'!$B$55, "-", '6B'!$E$5)</f>
        <v>Water balance - region 1-Total annual leakage-Input</v>
      </c>
    </row>
    <row r="3016" spans="1:15">
      <c r="A3016" t="s">
        <v>4181</v>
      </c>
      <c r="B3016" s="2590" t="str">
        <f>'6B'!$R$56</f>
        <v>BN2325_A1</v>
      </c>
      <c r="D3016" t="str">
        <f>_xlfn.CONCAT('6B'!$B$50, "-", '6B'!$B$56, "-", '6B'!$E$5)</f>
        <v>Water balance - region 1-Distribution system operational use-Input</v>
      </c>
      <c r="E3016" t="str">
        <f>'6B'!$C$56</f>
        <v>Ml/d</v>
      </c>
      <c r="F3016" t="s">
        <v>17334</v>
      </c>
      <c r="G3016">
        <f>'6B'!$D$56</f>
        <v>2</v>
      </c>
      <c r="O3016" t="str">
        <f>_xlfn.CONCAT('6B'!$B$50, "-", '6B'!$B$56, "-", '6B'!$E$5)</f>
        <v>Water balance - region 1-Distribution system operational use-Input</v>
      </c>
    </row>
    <row r="3017" spans="1:15">
      <c r="A3017" t="s">
        <v>4181</v>
      </c>
      <c r="B3017" s="2590" t="str">
        <f>'6B'!$R$57</f>
        <v>BN2327A1</v>
      </c>
      <c r="D3017" t="str">
        <f>_xlfn.CONCAT('6B'!$B$50, "-", '6B'!$B$57, "-", '6B'!$E$5)</f>
        <v>Water balance - region 1-Water taken unbilled-Input</v>
      </c>
      <c r="E3017" t="str">
        <f>'6B'!$C$57</f>
        <v>Ml/d</v>
      </c>
      <c r="F3017" t="s">
        <v>17334</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17334</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17334</v>
      </c>
      <c r="G3019">
        <f>'6B'!$D$59</f>
        <v>2</v>
      </c>
      <c r="O3019" t="str">
        <f>_xlfn.CONCAT('6B'!$B$50, "-", '6B'!$B$59, "-", '6B'!$E$5)</f>
        <v>Water balance - region 1-Distribution input (pre-MLE)-Input</v>
      </c>
    </row>
    <row r="3020" spans="1:15">
      <c r="A3020" t="s">
        <v>4181</v>
      </c>
      <c r="B3020" s="2602" t="str">
        <f>'6B'!$R$62</f>
        <v>BN2300_A2</v>
      </c>
      <c r="D3020" t="str">
        <f>_xlfn.CONCAT('6B'!$B$61, "-", '6B'!$B$62, "-", '6B'!$E$5)</f>
        <v>Water balance - region 2-Measured household consumption (excluding supply pipe leakage)-Input</v>
      </c>
      <c r="E3020" t="str">
        <f>'6B'!$C$62</f>
        <v>Ml/d</v>
      </c>
      <c r="F3020" t="s">
        <v>17334</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17334</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17334</v>
      </c>
      <c r="G3022">
        <f>'6B'!$D$64</f>
        <v>2</v>
      </c>
      <c r="O3022" t="str">
        <f>_xlfn.CONCAT('6B'!$B$61, "-", '6B'!$B$64, "-", '6B'!$E$5)</f>
        <v>Water balance - region 2-Measured non-household consumption (excluding supply pipe leakage)-Input</v>
      </c>
    </row>
    <row r="3023" spans="1:15">
      <c r="A3023" t="s">
        <v>4181</v>
      </c>
      <c r="B3023" s="2590" t="str">
        <f>'6B'!$R$65</f>
        <v>BN2315_A2</v>
      </c>
      <c r="D3023" t="str">
        <f>_xlfn.CONCAT('6B'!$B$61, "-", '6B'!$B$65, "-", '6B'!$E$5)</f>
        <v>Water balance - region 2-Unmeasured non-household consumption (excluding supply pipe leakage)-Input</v>
      </c>
      <c r="E3023" t="str">
        <f>'6B'!$C$65</f>
        <v>Ml/d</v>
      </c>
      <c r="F3023" t="s">
        <v>17334</v>
      </c>
      <c r="G3023">
        <f>'6B'!$D$65</f>
        <v>2</v>
      </c>
      <c r="O3023" t="str">
        <f>_xlfn.CONCAT('6B'!$B$61, "-", '6B'!$B$65, "-", '6B'!$E$5)</f>
        <v>Water balance - region 2-Unmeasured non-household consumption (excluding supply pipe leakage)-Input</v>
      </c>
    </row>
    <row r="3024" spans="1:15">
      <c r="A3024" t="s">
        <v>4181</v>
      </c>
      <c r="B3024" s="2590" t="str">
        <f>'6B'!$R$66</f>
        <v>BN2345A2</v>
      </c>
      <c r="D3024" t="str">
        <f>_xlfn.CONCAT('6B'!$B$61, "-", '6B'!$B$66, "-", '6B'!$E$5)</f>
        <v>Water balance - region 2-Total annual leakage-Input</v>
      </c>
      <c r="E3024" t="str">
        <f>'6B'!$C$66</f>
        <v>Ml/d</v>
      </c>
      <c r="F3024" t="s">
        <v>17334</v>
      </c>
      <c r="G3024">
        <f>'6B'!$D$66</f>
        <v>2</v>
      </c>
      <c r="O3024" t="str">
        <f>_xlfn.CONCAT('6B'!$B$61, "-", '6B'!$B$66, "-", '6B'!$E$5)</f>
        <v>Water balance - region 2-Total annual leakage-Input</v>
      </c>
    </row>
    <row r="3025" spans="1:15">
      <c r="A3025" t="s">
        <v>4181</v>
      </c>
      <c r="B3025" s="2590" t="str">
        <f>'6B'!$R$67</f>
        <v>BN2325_A2</v>
      </c>
      <c r="D3025" t="str">
        <f>_xlfn.CONCAT('6B'!$B$61, "-", '6B'!$B$67, "-", '6B'!$E$5)</f>
        <v>Water balance - region 2-Distribution system operational use-Input</v>
      </c>
      <c r="E3025" t="str">
        <f>'6B'!$C$67</f>
        <v>Ml/d</v>
      </c>
      <c r="F3025" t="s">
        <v>17334</v>
      </c>
      <c r="G3025">
        <f>'6B'!$D$67</f>
        <v>2</v>
      </c>
      <c r="O3025" t="str">
        <f>_xlfn.CONCAT('6B'!$B$61, "-", '6B'!$B$67, "-", '6B'!$E$5)</f>
        <v>Water balance - region 2-Distribution system operational use-Input</v>
      </c>
    </row>
    <row r="3026" spans="1:15">
      <c r="A3026" t="s">
        <v>4181</v>
      </c>
      <c r="B3026" s="2590" t="str">
        <f>'6B'!$R$68</f>
        <v>BN2327A2</v>
      </c>
      <c r="D3026" t="str">
        <f>_xlfn.CONCAT('6B'!$B$61, "-", '6B'!$B$68, "-", '6B'!$E$5)</f>
        <v>Water balance - region 2-Water taken unbilled-Input</v>
      </c>
      <c r="E3026" t="str">
        <f>'6B'!$C$68</f>
        <v>Ml/d</v>
      </c>
      <c r="F3026" t="s">
        <v>17334</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17334</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17334</v>
      </c>
      <c r="G3028">
        <f>'6B'!$D$70</f>
        <v>2</v>
      </c>
      <c r="O3028" t="str">
        <f>_xlfn.CONCAT('6B'!$B$61, "-", '6B'!$B$70, "-", '6B'!$E$5)</f>
        <v>Water balance - region 2-Distribution input (pre-MLE)-Input</v>
      </c>
    </row>
    <row r="3029" spans="1:15">
      <c r="A3029" t="s">
        <v>4181</v>
      </c>
      <c r="B3029" s="2602" t="str">
        <f>'6B'!$R$73</f>
        <v>BN20020</v>
      </c>
      <c r="D3029" t="str">
        <f>_xlfn.CONCAT('6B'!$B$72, "-", '6B'!$B$73, "-", '6B'!$E$5)</f>
        <v>Components of total leakage (post MLE) - company level-Leakage upstream of DMA-Input</v>
      </c>
      <c r="E3029" t="str">
        <f>'6B'!$C$73</f>
        <v>Ml/day</v>
      </c>
      <c r="F3029" t="s">
        <v>17334</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17334</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17334</v>
      </c>
      <c r="G3031">
        <f>'6B'!$D$75</f>
        <v>2</v>
      </c>
      <c r="O3031" t="str">
        <f>_xlfn.CONCAT('6B'!$B$72, "-", '6B'!$B$75, "-", '6B'!$E$5)</f>
        <v>Components of total leakage (post MLE) - company level-Customer supply pipe losses – measured households excluding void properties-Input</v>
      </c>
    </row>
    <row r="3032" spans="1:15">
      <c r="A3032" t="s">
        <v>4181</v>
      </c>
      <c r="B3032" s="2590" t="str">
        <f>'6B'!$R$76</f>
        <v>BN20050</v>
      </c>
      <c r="D3032" t="str">
        <f>_xlfn.CONCAT('6B'!$B$72, "-", '6B'!$B$76, "-", '6B'!$E$5)</f>
        <v>Components of total leakage (post MLE) - company level-Customer supply pipe losses – unmeasured households excluding void properties-Input</v>
      </c>
      <c r="E3032" t="str">
        <f>'6B'!$C$76</f>
        <v>Ml/day</v>
      </c>
      <c r="F3032" t="s">
        <v>17334</v>
      </c>
      <c r="G3032">
        <f>'6B'!$D$76</f>
        <v>2</v>
      </c>
      <c r="O3032" t="str">
        <f>_xlfn.CONCAT('6B'!$B$72, "-", '6B'!$B$76, "-", '6B'!$E$5)</f>
        <v>Components of total leakage (post MLE) - company level-Customer supply pipe losses – unmeasured households excluding void properties-Input</v>
      </c>
    </row>
    <row r="3033" spans="1:15">
      <c r="A3033" t="s">
        <v>4181</v>
      </c>
      <c r="B3033" s="2590" t="str">
        <f>'6B'!$R$77</f>
        <v>BN20060</v>
      </c>
      <c r="D3033" t="str">
        <f>_xlfn.CONCAT('6B'!$B$72, "-", '6B'!$B$77, "-", '6B'!$E$5)</f>
        <v>Components of total leakage (post MLE) - company level-Customer supply pipe losses – measured non-households excluding void properties-Input</v>
      </c>
      <c r="E3033" t="str">
        <f>'6B'!$C$77</f>
        <v>Ml/day</v>
      </c>
      <c r="F3033" t="s">
        <v>17334</v>
      </c>
      <c r="G3033">
        <f>'6B'!$D$77</f>
        <v>2</v>
      </c>
      <c r="O3033" t="str">
        <f>_xlfn.CONCAT('6B'!$B$72, "-", '6B'!$B$77, "-", '6B'!$E$5)</f>
        <v>Components of total leakage (post MLE) - company level-Customer supply pipe losses – measured non-households excluding void properties-Input</v>
      </c>
    </row>
    <row r="3034" spans="1:15">
      <c r="A3034" t="s">
        <v>4181</v>
      </c>
      <c r="B3034" s="2590" t="str">
        <f>'6B'!$R$78</f>
        <v>BN20070</v>
      </c>
      <c r="D3034" t="str">
        <f>_xlfn.CONCAT('6B'!$B$72, "-", '6B'!$B$78, "-", '6B'!$E$5)</f>
        <v>Components of total leakage (post MLE) - company level-Customer supply pipe losses – unmeasured non-households excluding void properties-Input</v>
      </c>
      <c r="E3034" t="str">
        <f>'6B'!$C$78</f>
        <v>Ml/day</v>
      </c>
      <c r="F3034" t="s">
        <v>17334</v>
      </c>
      <c r="G3034">
        <f>'6B'!$D$78</f>
        <v>2</v>
      </c>
      <c r="O3034" t="str">
        <f>_xlfn.CONCAT('6B'!$B$72, "-", '6B'!$B$78, "-", '6B'!$E$5)</f>
        <v>Components of total leakage (post MLE) - company level-Customer supply pipe losses – unmeasured non-households excluding void properties-Input</v>
      </c>
    </row>
    <row r="3035" spans="1:15">
      <c r="A3035" t="s">
        <v>4181</v>
      </c>
      <c r="B3035" s="2590" t="str">
        <f>'6B'!$R$79</f>
        <v>BN20041</v>
      </c>
      <c r="D3035" t="str">
        <f>_xlfn.CONCAT('6B'!$B$72, "-", '6B'!$B$79, "-", '6B'!$E$5)</f>
        <v>Components of total leakage (post MLE) - company level-Customer supply pipe losses – void measured households-Input</v>
      </c>
      <c r="E3035" t="str">
        <f>'6B'!$C$79</f>
        <v>Ml/day</v>
      </c>
      <c r="F3035" t="s">
        <v>17334</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17334</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17334</v>
      </c>
      <c r="G3037">
        <f>'6B'!$D$81</f>
        <v>2</v>
      </c>
      <c r="O3037" t="str">
        <f>_xlfn.CONCAT('6B'!$B$72, "-", '6B'!$B$81, "-", '6B'!$E$5)</f>
        <v>Components of total leakage (post MLE) - company level-Customer supply pipe losses – void measured non-households-Input</v>
      </c>
    </row>
    <row r="3038" spans="1:15">
      <c r="A3038" t="s">
        <v>4181</v>
      </c>
      <c r="B3038" s="2602" t="str">
        <f>'6B'!$R$82</f>
        <v>BN20071</v>
      </c>
      <c r="D3038" t="str">
        <f>_xlfn.CONCAT('6B'!$B$72, "-", '6B'!$B$82, "-", '6B'!$E$5)</f>
        <v>Components of total leakage (post MLE) - company level-Customer supply pipe losses – void unmeasured non-households-Input</v>
      </c>
      <c r="E3038" t="str">
        <f>'6B'!$C$82</f>
        <v>Ml/day</v>
      </c>
      <c r="F3038" t="s">
        <v>17334</v>
      </c>
      <c r="G3038">
        <f>'6B'!$D$82</f>
        <v>2</v>
      </c>
      <c r="O3038" t="str">
        <f>_xlfn.CONCAT('6B'!$B$72, "-", '6B'!$B$82, "-", '6B'!$E$5)</f>
        <v>Components of total leakage (post MLE) - company level-Customer supply pipe losses – void unmeasured non-households-Input</v>
      </c>
    </row>
    <row r="3039" spans="1:15">
      <c r="A3039" t="s">
        <v>4181</v>
      </c>
      <c r="B3039" s="2602" t="str">
        <f>'6B'!$R$85</f>
        <v>BN20020_A</v>
      </c>
      <c r="D3039" t="str">
        <f>_xlfn.CONCAT('6B'!$B$84, "-", '6B'!$B$85, "-", '6B'!$E$5)</f>
        <v>Components of total leakage (post MLE) - region 1-Leakage upstream of DMA-Input</v>
      </c>
      <c r="E3039" t="str">
        <f>'6B'!$C$85</f>
        <v>Ml/day</v>
      </c>
      <c r="F3039" t="s">
        <v>17334</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17334</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17334</v>
      </c>
      <c r="G3041">
        <f>'6B'!$D$87</f>
        <v>2</v>
      </c>
      <c r="O3041" t="str">
        <f>_xlfn.CONCAT('6B'!$B$84, "-", '6B'!$B$87, "-", '6B'!$E$5)</f>
        <v>Components of total leakage (post MLE) - region 1-Customer supply pipe losses – measured households excluding void properties-Input</v>
      </c>
    </row>
    <row r="3042" spans="1:15">
      <c r="A3042" t="s">
        <v>4181</v>
      </c>
      <c r="B3042" s="2590" t="str">
        <f>'6B'!$R$88</f>
        <v>BN20050_A</v>
      </c>
      <c r="D3042" t="str">
        <f>_xlfn.CONCAT('6B'!$B$84, "-", '6B'!$B$88, "-", '6B'!$E$5)</f>
        <v>Components of total leakage (post MLE) - region 1-Customer supply pipe losses – unmeasured households excluding void properties-Input</v>
      </c>
      <c r="E3042" t="str">
        <f>'6B'!$C$88</f>
        <v>Ml/day</v>
      </c>
      <c r="F3042" t="s">
        <v>17334</v>
      </c>
      <c r="G3042">
        <f>'6B'!$D$88</f>
        <v>2</v>
      </c>
      <c r="O3042" t="str">
        <f>_xlfn.CONCAT('6B'!$B$84, "-", '6B'!$B$88, "-", '6B'!$E$5)</f>
        <v>Components of total leakage (post MLE) - region 1-Customer supply pipe losses – unmeasured households excluding void properties-Input</v>
      </c>
    </row>
    <row r="3043" spans="1:15">
      <c r="A3043" t="s">
        <v>4181</v>
      </c>
      <c r="B3043" s="2590" t="str">
        <f>'6B'!$R$89</f>
        <v>BN20060_A</v>
      </c>
      <c r="D3043" t="str">
        <f>_xlfn.CONCAT('6B'!$B$84, "-", '6B'!$B$89, "-", '6B'!$E$5)</f>
        <v>Components of total leakage (post MLE) - region 1-Customer supply pipe losses – measured non-households excluding void properties-Input</v>
      </c>
      <c r="E3043" t="str">
        <f>'6B'!$C$89</f>
        <v>Ml/day</v>
      </c>
      <c r="F3043" t="s">
        <v>17334</v>
      </c>
      <c r="G3043">
        <f>'6B'!$D$89</f>
        <v>2</v>
      </c>
      <c r="O3043" t="str">
        <f>_xlfn.CONCAT('6B'!$B$84, "-", '6B'!$B$89, "-", '6B'!$E$5)</f>
        <v>Components of total leakage (post MLE) - region 1-Customer supply pipe losses – measured non-households excluding void properties-Input</v>
      </c>
    </row>
    <row r="3044" spans="1:15">
      <c r="A3044" t="s">
        <v>4181</v>
      </c>
      <c r="B3044" s="2590" t="str">
        <f>'6B'!$R$90</f>
        <v>BN20070_A</v>
      </c>
      <c r="D3044" t="str">
        <f>_xlfn.CONCAT('6B'!$B$84, "-", '6B'!$B$90, "-", '6B'!$E$5)</f>
        <v>Components of total leakage (post MLE) - region 1-Customer supply pipe losses – unmeasured non-households excluding void properties-Input</v>
      </c>
      <c r="E3044" t="str">
        <f>'6B'!$C$90</f>
        <v>Ml/day</v>
      </c>
      <c r="F3044" t="s">
        <v>17334</v>
      </c>
      <c r="G3044">
        <f>'6B'!$D$90</f>
        <v>2</v>
      </c>
      <c r="O3044" t="str">
        <f>_xlfn.CONCAT('6B'!$B$84, "-", '6B'!$B$90, "-", '6B'!$E$5)</f>
        <v>Components of total leakage (post MLE) - region 1-Customer supply pipe losses – unmeasured non-households excluding void properties-Input</v>
      </c>
    </row>
    <row r="3045" spans="1:15">
      <c r="A3045" t="s">
        <v>4181</v>
      </c>
      <c r="B3045" s="2590" t="str">
        <f>'6B'!$R$91</f>
        <v>BN20041_A</v>
      </c>
      <c r="D3045" t="str">
        <f>_xlfn.CONCAT('6B'!$B$84, "-", '6B'!$B$91, "-", '6B'!$E$5)</f>
        <v>Components of total leakage (post MLE) - region 1-Customer supply pipe losses – void measured households-Input</v>
      </c>
      <c r="E3045" t="str">
        <f>'6B'!$C$91</f>
        <v>Ml/day</v>
      </c>
      <c r="F3045" t="s">
        <v>17334</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17334</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17334</v>
      </c>
      <c r="G3047">
        <f>'6B'!$D$93</f>
        <v>2</v>
      </c>
      <c r="O3047" t="str">
        <f>_xlfn.CONCAT('6B'!$B$84, "-", '6B'!$B$93, "-", '6B'!$E$5)</f>
        <v>Components of total leakage (post MLE) - region 1-Customer supply pipe losses – void measured non-households-Input</v>
      </c>
    </row>
    <row r="3048" spans="1:15">
      <c r="A3048" t="s">
        <v>4181</v>
      </c>
      <c r="B3048" s="2602" t="str">
        <f>'6B'!$R$94</f>
        <v>BN20071_A</v>
      </c>
      <c r="D3048" t="str">
        <f>_xlfn.CONCAT('6B'!$B$84, "-", '6B'!$B$94, "-", '6B'!$E$5)</f>
        <v>Components of total leakage (post MLE) - region 1-Customer supply pipe losses – void unmeasured non-households-Input</v>
      </c>
      <c r="E3048" t="str">
        <f>'6B'!$C$94</f>
        <v>Ml/day</v>
      </c>
      <c r="F3048" t="s">
        <v>17334</v>
      </c>
      <c r="G3048">
        <f>'6B'!$D$94</f>
        <v>2</v>
      </c>
      <c r="O3048" t="str">
        <f>_xlfn.CONCAT('6B'!$B$84, "-", '6B'!$B$94, "-", '6B'!$E$5)</f>
        <v>Components of total leakage (post MLE) - region 1-Customer supply pipe losses – void unmeasured non-households-Input</v>
      </c>
    </row>
    <row r="3049" spans="1:15">
      <c r="A3049" t="s">
        <v>4181</v>
      </c>
      <c r="B3049" s="2602" t="str">
        <f>'6B'!$R$97</f>
        <v>BN20020_B</v>
      </c>
      <c r="D3049" t="str">
        <f>_xlfn.CONCAT('6B'!$B$96, "-", '6B'!$B$97, "-", '6B'!$E$5)</f>
        <v>Components of total leakage (post MLE) - region 2-Leakage upstream of DMA-Input</v>
      </c>
      <c r="E3049" t="str">
        <f>'6B'!$C$97</f>
        <v>Ml/day</v>
      </c>
      <c r="F3049" t="s">
        <v>17334</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17334</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17334</v>
      </c>
      <c r="G3051">
        <f>'6B'!$D$99</f>
        <v>2</v>
      </c>
      <c r="O3051" t="str">
        <f>_xlfn.CONCAT('6B'!$B$96, "-", '6B'!$B$99, "-", '6B'!$E$5)</f>
        <v>Components of total leakage (post MLE) - region 2-Customer supply pipe losses – measured households excluding void properties-Input</v>
      </c>
    </row>
    <row r="3052" spans="1:15">
      <c r="A3052" t="s">
        <v>4181</v>
      </c>
      <c r="B3052" s="2590" t="str">
        <f>'6B'!$R$100</f>
        <v>BN20050_B</v>
      </c>
      <c r="D3052" t="str">
        <f>_xlfn.CONCAT('6B'!$B$96, "-", '6B'!$B$100, "-", '6B'!$E$5)</f>
        <v>Components of total leakage (post MLE) - region 2-Customer supply pipe losses – unmeasured households excluding void properties-Input</v>
      </c>
      <c r="E3052" t="str">
        <f>'6B'!$C$100</f>
        <v>Ml/day</v>
      </c>
      <c r="F3052" t="s">
        <v>17334</v>
      </c>
      <c r="G3052">
        <f>'6B'!$D$100</f>
        <v>2</v>
      </c>
      <c r="O3052" t="str">
        <f>_xlfn.CONCAT('6B'!$B$96, "-", '6B'!$B$100, "-", '6B'!$E$5)</f>
        <v>Components of total leakage (post MLE) - region 2-Customer supply pipe losses – unmeasured households excluding void properties-Input</v>
      </c>
    </row>
    <row r="3053" spans="1:15">
      <c r="A3053" t="s">
        <v>4181</v>
      </c>
      <c r="B3053" s="2590" t="str">
        <f>'6B'!$R$101</f>
        <v>BN20060_B</v>
      </c>
      <c r="D3053" t="str">
        <f>_xlfn.CONCAT('6B'!$B$96, "-", '6B'!$B$101, "-", '6B'!$E$5)</f>
        <v>Components of total leakage (post MLE) - region 2-Customer supply pipe losses – measured non-households excluding void properties-Input</v>
      </c>
      <c r="E3053" t="str">
        <f>'6B'!$C$101</f>
        <v>Ml/day</v>
      </c>
      <c r="F3053" t="s">
        <v>17334</v>
      </c>
      <c r="G3053">
        <f>'6B'!$D$101</f>
        <v>2</v>
      </c>
      <c r="O3053" t="str">
        <f>_xlfn.CONCAT('6B'!$B$96, "-", '6B'!$B$101, "-", '6B'!$E$5)</f>
        <v>Components of total leakage (post MLE) - region 2-Customer supply pipe losses – measured non-households excluding void properties-Input</v>
      </c>
    </row>
    <row r="3054" spans="1:15">
      <c r="A3054" t="s">
        <v>4181</v>
      </c>
      <c r="B3054" s="2590" t="str">
        <f>'6B'!$R$102</f>
        <v>BN20070_B</v>
      </c>
      <c r="D3054" t="str">
        <f>_xlfn.CONCAT('6B'!$B$96, "-", '6B'!$B$102, "-", '6B'!$E$5)</f>
        <v>Components of total leakage (post MLE) - region 2-Customer supply pipe losses – unmeasured non-households excluding void properties-Input</v>
      </c>
      <c r="E3054" t="str">
        <f>'6B'!$C$102</f>
        <v>Ml/day</v>
      </c>
      <c r="F3054" t="s">
        <v>17334</v>
      </c>
      <c r="G3054">
        <f>'6B'!$D$102</f>
        <v>2</v>
      </c>
      <c r="O3054" t="str">
        <f>_xlfn.CONCAT('6B'!$B$96, "-", '6B'!$B$102, "-", '6B'!$E$5)</f>
        <v>Components of total leakage (post MLE) - region 2-Customer supply pipe losses – unmeasured non-households excluding void properties-Input</v>
      </c>
    </row>
    <row r="3055" spans="1:15">
      <c r="A3055" t="s">
        <v>4181</v>
      </c>
      <c r="B3055" s="2590" t="str">
        <f>'6B'!$R$103</f>
        <v>BN20041_B</v>
      </c>
      <c r="D3055" t="str">
        <f>_xlfn.CONCAT('6B'!$B$96, "-", '6B'!$B$103, "-", '6B'!$E$5)</f>
        <v>Components of total leakage (post MLE) - region 2-Customer supply pipe losses – void measured households-Input</v>
      </c>
      <c r="E3055" t="str">
        <f>'6B'!$C$103</f>
        <v>Ml/day</v>
      </c>
      <c r="F3055" t="s">
        <v>17334</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17334</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17334</v>
      </c>
      <c r="G3057">
        <f>'6B'!$D$105</f>
        <v>2</v>
      </c>
      <c r="O3057" t="str">
        <f>_xlfn.CONCAT('6B'!$B$96, "-", '6B'!$B$105, "-", '6B'!$E$5)</f>
        <v>Components of total leakage (post MLE) - region 2-Customer supply pipe losses – void measured non-households-Input</v>
      </c>
    </row>
    <row r="3058" spans="1:15">
      <c r="A3058" t="s">
        <v>4181</v>
      </c>
      <c r="B3058" s="2602" t="str">
        <f>'6B'!$R$106</f>
        <v>BN20071_B</v>
      </c>
      <c r="D3058" t="str">
        <f>_xlfn.CONCAT('6B'!$B$96, "-", '6B'!$B$106, "-", '6B'!$E$5)</f>
        <v>Components of total leakage (post MLE) - region 2-Customer supply pipe losses – void unmeasured non-households-Input</v>
      </c>
      <c r="E3058" t="str">
        <f>'6B'!$C$106</f>
        <v>Ml/day</v>
      </c>
      <c r="F3058" t="s">
        <v>17334</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17334</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17334</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17334</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17334</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17334</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17334</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17334</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17334</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17334</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17334</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17334</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17334</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17334</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17334</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17334</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17334</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17334</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17334</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17334</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17334</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17334</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17334</v>
      </c>
      <c r="G3080">
        <f>'6C'!$D$35</f>
        <v>0</v>
      </c>
      <c r="O3080" t="str">
        <f>_xlfn.CONCAT('6C'!$B$34, "-", '6C'!$B$35, "-", '6C'!$E$5)</f>
        <v>Other-Company area-Input</v>
      </c>
    </row>
    <row r="3081" spans="1:15">
      <c r="A3081" t="s">
        <v>4184</v>
      </c>
      <c r="B3081" s="2590" t="str">
        <f>'6C'!$R$36</f>
        <v>QEBW0183</v>
      </c>
      <c r="D3081" t="str">
        <f>_xlfn.CONCAT('6C'!$B$34, "-", '6C'!$B$36, "-", '6C'!$E$5)</f>
        <v>Other-Compliance Risk Index-Input</v>
      </c>
      <c r="E3081" t="str">
        <f>'6C'!$C$36</f>
        <v>nr</v>
      </c>
      <c r="F3081" t="s">
        <v>17334</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17334</v>
      </c>
      <c r="G3082">
        <f>'6C'!$D$37</f>
        <v>0</v>
      </c>
      <c r="O3082" t="str">
        <f>_xlfn.CONCAT('6C'!$B$34, "-", '6C'!$B$37, "-", '6C'!$E$5)</f>
        <v>Other-Event Risk Index-Input</v>
      </c>
    </row>
    <row r="3083" spans="1:15">
      <c r="A3083" t="s">
        <v>4184</v>
      </c>
      <c r="B3083" s="2590" t="str">
        <f>'6C'!$R$38</f>
        <v>BN1004</v>
      </c>
      <c r="D3083" t="str">
        <f>_xlfn.CONCAT('6C'!$B$34, "-", '6C'!$B$38, "-", '6C'!$E$5)</f>
        <v>Other-Properties below reference level at end of year-Input</v>
      </c>
      <c r="E3083" t="str">
        <f>'6C'!$C$38</f>
        <v>nr</v>
      </c>
      <c r="F3083" t="s">
        <v>17334</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17334</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17334</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17334</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17334</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17334</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17334</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17334</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17334</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17334</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17334</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17334</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17334</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17334</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17334</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17334</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17334</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17334</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17334</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17334</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17334</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17334</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17334</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17334</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17334</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17334</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17334</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17334</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17334</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17334</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17334</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17334</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17334</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17334</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17334</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17334</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17334</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17334</v>
      </c>
      <c r="G3120">
        <f>'6D'!$D$23</f>
        <v>3</v>
      </c>
      <c r="O3120" t="str">
        <f>_xlfn.CONCAT('6D'!$B$14, "-", '6D'!$B$23, "-", '6D'!$G$5)</f>
        <v>Metering activities - Explanatory variables-Replacement of AMR meter with AMI meters for business customers-AMI meter</v>
      </c>
    </row>
    <row r="3121" spans="1:15">
      <c r="A3121" t="s">
        <v>4190</v>
      </c>
      <c r="B3121" s="2590" t="str">
        <f>'6D'!$W$24</f>
        <v>BN12001_BM</v>
      </c>
      <c r="D3121" t="str">
        <f>_xlfn.CONCAT('6D'!$B$14, "-", '6D'!$B$24, "-", '6D'!$E$5)</f>
        <v>Metering activities - Explanatory variables-New residential meters installed for existing customers – supply-demand balance benefit-Basic meter</v>
      </c>
      <c r="E3121" t="str">
        <f>'6D'!$C$24</f>
        <v>Ml/d</v>
      </c>
      <c r="F3121" t="s">
        <v>17334</v>
      </c>
      <c r="G3121">
        <f>'6D'!$D$24</f>
        <v>2</v>
      </c>
      <c r="O3121" t="str">
        <f>_xlfn.CONCAT('6D'!$B$14, "-", '6D'!$B$24, "-", '6D'!$E$5)</f>
        <v>Metering activities - Explanatory variables-New residential meters installed for existing customers – supply-demand balance benefit-Basic meter</v>
      </c>
    </row>
    <row r="3122" spans="1:15">
      <c r="A3122" t="s">
        <v>4190</v>
      </c>
      <c r="B3122" s="2590" t="str">
        <f>'6D'!$X$24</f>
        <v>BN12001_AMR</v>
      </c>
      <c r="D3122" t="str">
        <f>_xlfn.CONCAT('6D'!$B$14, "-", '6D'!$B$24, "-", '6D'!$F$5)</f>
        <v>Metering activities - Explanatory variables-New residential meters installed for existing customers – supply-demand balance benefit-AMR meter</v>
      </c>
      <c r="E3122" t="str">
        <f>'6D'!$C$24</f>
        <v>Ml/d</v>
      </c>
      <c r="F3122" t="s">
        <v>17334</v>
      </c>
      <c r="G3122">
        <f>'6D'!$D$24</f>
        <v>2</v>
      </c>
      <c r="O3122" t="str">
        <f>_xlfn.CONCAT('6D'!$B$14, "-", '6D'!$B$24, "-", '6D'!$F$5)</f>
        <v>Metering activities - Explanatory variables-New residential meters installed for existing customers – supply-demand balance benefit-AMR meter</v>
      </c>
    </row>
    <row r="3123" spans="1:15">
      <c r="A3123" t="s">
        <v>4190</v>
      </c>
      <c r="B3123" s="2590" t="str">
        <f>'6D'!$Y$24</f>
        <v>BN12001_AMI</v>
      </c>
      <c r="D3123" t="str">
        <f>_xlfn.CONCAT('6D'!$B$14, "-", '6D'!$B$24, "-", '6D'!$G$5)</f>
        <v>Metering activities - Explanatory variables-New residential meters installed for existing customers – supply-demand balance benefit-AMI meter</v>
      </c>
      <c r="E3123" t="str">
        <f>'6D'!$C$24</f>
        <v>Ml/d</v>
      </c>
      <c r="F3123" t="s">
        <v>17334</v>
      </c>
      <c r="G3123">
        <f>'6D'!$D$24</f>
        <v>2</v>
      </c>
      <c r="O3123" t="str">
        <f>_xlfn.CONCAT('6D'!$B$14, "-", '6D'!$B$24, "-", '6D'!$G$5)</f>
        <v>Metering activities - Explanatory variables-New residential meters installed for existing customers – supply-demand balance benefit-AMI meter</v>
      </c>
    </row>
    <row r="3124" spans="1:15">
      <c r="A3124" t="s">
        <v>4190</v>
      </c>
      <c r="B3124" s="2590" t="str">
        <f>'6D'!$W$25</f>
        <v>BN12002_BM</v>
      </c>
      <c r="D3124" t="str">
        <f>_xlfn.CONCAT('6D'!$B$14, "-", '6D'!$B$25, "-", '6D'!$E$5)</f>
        <v>Metering activities - Explanatory variables-New business meters install ed for existing customers – supply-demand balance benefit-Basic meter</v>
      </c>
      <c r="E3124" t="str">
        <f>'6D'!$C$25</f>
        <v>Ml/d</v>
      </c>
      <c r="F3124" t="s">
        <v>17334</v>
      </c>
      <c r="G3124">
        <f>'6D'!$D$25</f>
        <v>2</v>
      </c>
      <c r="O3124" t="str">
        <f>_xlfn.CONCAT('6D'!$B$14, "-", '6D'!$B$25, "-", '6D'!$E$5)</f>
        <v>Metering activities - Explanatory variables-New business meters install ed for existing customers – supply-demand balance benefit-Basic meter</v>
      </c>
    </row>
    <row r="3125" spans="1:15">
      <c r="A3125" t="s">
        <v>4190</v>
      </c>
      <c r="B3125" s="2590" t="str">
        <f>'6D'!$X$25</f>
        <v>BN12002_AMR</v>
      </c>
      <c r="D3125" t="str">
        <f>_xlfn.CONCAT('6D'!$B$14, "-", '6D'!$B$25, "-", '6D'!$F$5)</f>
        <v>Metering activities - Explanatory variables-New business meters install ed for existing customers – supply-demand balance benefit-AMR meter</v>
      </c>
      <c r="E3125" t="str">
        <f>'6D'!$C$25</f>
        <v>Ml/d</v>
      </c>
      <c r="F3125" t="s">
        <v>17334</v>
      </c>
      <c r="G3125">
        <f>'6D'!$D$25</f>
        <v>2</v>
      </c>
      <c r="O3125" t="str">
        <f>_xlfn.CONCAT('6D'!$B$14, "-", '6D'!$B$25, "-", '6D'!$F$5)</f>
        <v>Metering activities - Explanatory variables-New business meters install ed for existing customers – supply-demand balance benefit-AMR meter</v>
      </c>
    </row>
    <row r="3126" spans="1:15">
      <c r="A3126" t="s">
        <v>4190</v>
      </c>
      <c r="B3126" s="2590" t="str">
        <f>'6D'!$Y$25</f>
        <v>BN12002_AMI</v>
      </c>
      <c r="D3126" t="str">
        <f>_xlfn.CONCAT('6D'!$B$14, "-", '6D'!$B$25, "-", '6D'!$G$5)</f>
        <v>Metering activities - Explanatory variables-New business meters install ed for existing customers – supply-demand balance benefit-AMI meter</v>
      </c>
      <c r="E3126" t="str">
        <f>'6D'!$C$25</f>
        <v>Ml/d</v>
      </c>
      <c r="F3126" t="s">
        <v>17334</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17334</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17334</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17334</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17334</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17334</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17334</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17334</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17334</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17334</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17334</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17334</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17334</v>
      </c>
      <c r="G3138">
        <f>'6D'!$D$33</f>
        <v>3</v>
      </c>
      <c r="O3138" t="str">
        <f>_xlfn.CONCAT('6D'!$B$32, "-", '6D'!$B$33, "-", '6D'!$G$32)</f>
        <v>Leakage activities-Total leakage activity-Total</v>
      </c>
    </row>
    <row r="3139" spans="1:15">
      <c r="A3139" t="s">
        <v>4190</v>
      </c>
      <c r="B3139" s="2590" t="str">
        <f>'6D'!$Y$34</f>
        <v>B0004WNPLI</v>
      </c>
      <c r="D3139" t="str">
        <f>_xlfn.CONCAT('6D'!$B$32, "-", '6D'!$B$34, "-", '6D'!$G$32)</f>
        <v>Leakage activities-Leakage improvements delivering benefits in 2020-25-Total</v>
      </c>
      <c r="E3139" t="str">
        <f>'6D'!$C$34</f>
        <v>Ml/d</v>
      </c>
      <c r="F3139" t="s">
        <v>17334</v>
      </c>
      <c r="G3139">
        <f>'6D'!$D$34</f>
        <v>2</v>
      </c>
      <c r="O3139" t="str">
        <f>_xlfn.CONCAT('6D'!$B$32, "-", '6D'!$B$34, "-", '6D'!$G$32)</f>
        <v>Leakage activities-Leakage improvements delivering benefits in 2020-25-Total</v>
      </c>
    </row>
    <row r="3140" spans="1:15">
      <c r="A3140" t="s">
        <v>4190</v>
      </c>
      <c r="B3140" s="2590" t="str">
        <f>'6D'!$W$37</f>
        <v>BN2305</v>
      </c>
      <c r="D3140" t="str">
        <f>_xlfn.CONCAT('6D'!$B$36, "-", '6D'!$B$37, "-", '6D'!$E$32)</f>
        <v>Per capita consumption  (excluding supply pipe leakage)-Per capita consumption (measured)-Maintaining leakage</v>
      </c>
      <c r="E3140" t="str">
        <f>'6D'!$C$37</f>
        <v>l/h/d</v>
      </c>
      <c r="F3140" t="s">
        <v>17334</v>
      </c>
      <c r="G3140">
        <f>'6D'!$D$37</f>
        <v>2</v>
      </c>
      <c r="O3140" t="str">
        <f>_xlfn.CONCAT('6D'!$B$36, "-", '6D'!$B$37, "-", '6D'!$E$32)</f>
        <v>Per capita consumption  (excluding supply pipe leakage)-Per capita consumption (measured)-Maintaining leakage</v>
      </c>
    </row>
    <row r="3141" spans="1:15">
      <c r="A3141" t="s">
        <v>4190</v>
      </c>
      <c r="B3141" s="2590" t="str">
        <f>'6D'!$W$38</f>
        <v>BN2304</v>
      </c>
      <c r="D3141" t="str">
        <f>_xlfn.CONCAT('6D'!$B$36, "-", '6D'!$B$38, "-", '6D'!$E$32)</f>
        <v>Per capita consumption  (excluding supply pipe leakage)-Per capita consumption (unmeasured)-Maintaining leakage</v>
      </c>
      <c r="E3141" t="str">
        <f>'6D'!$C$38</f>
        <v>l/h/d</v>
      </c>
      <c r="F3141" t="s">
        <v>17334</v>
      </c>
      <c r="G3141">
        <f>'6D'!$D$38</f>
        <v>2</v>
      </c>
      <c r="O3141" t="str">
        <f>_xlfn.CONCAT('6D'!$B$36, "-", '6D'!$B$38, "-", '6D'!$E$32)</f>
        <v>Per capita consumption  (excluding supply pipe leakage)-Per capita consumption (unmeasured)-Maintaining leakage</v>
      </c>
    </row>
    <row r="3142" spans="1:15">
      <c r="A3142" t="s">
        <v>17341</v>
      </c>
      <c r="B3142" s="2602" t="str">
        <f>'7D'!$BO$10</f>
        <v>STWD001</v>
      </c>
      <c r="D3142" t="str">
        <f>_xlfn.CONCAT('7D'!$B$9, "-", '7D'!$B$10, "-", '7D'!$E$6, "-", '7D'!$E$6, "-", '7D'!$E$5)</f>
        <v>Load received at sewage treatment works-Load received by STWs in size band 1-Primary-Primary-Treatment categories</v>
      </c>
      <c r="E3142" t="str">
        <f>'7D'!$C$10</f>
        <v>kg BOD5/day</v>
      </c>
      <c r="F3142" t="s">
        <v>17334</v>
      </c>
      <c r="G3142">
        <f>'7D'!$D$10</f>
        <v>0</v>
      </c>
      <c r="O3142" t="str">
        <f>_xlfn.CONCAT('7D'!$B$9, "-", '7D'!$B$10, "-", '7D'!$E$6, "-", '7D'!$E$6, "-", '7D'!$E$5)</f>
        <v>Load received at sewage treatment works-Load received by STWs in size band 1-Primary-Primary-Treatment categories</v>
      </c>
    </row>
    <row r="3143" spans="1:15">
      <c r="A3143" t="s">
        <v>17341</v>
      </c>
      <c r="B3143" s="2602" t="str">
        <f>'7D'!$BP$10</f>
        <v>STWD002</v>
      </c>
      <c r="D3143" t="str">
        <f>_xlfn.CONCAT('7D'!$B$9, "-", '7D'!$B$10, "-", '7D'!$F$7, "-", '7D'!$F$6, "-", '7D'!$E$5)</f>
        <v>Load received at sewage treatment works-Load received by STWs in size band 1-Activated Sludge-Secondary-Treatment categories</v>
      </c>
      <c r="E3143" t="str">
        <f>'7D'!$C$10</f>
        <v>kg BOD5/day</v>
      </c>
      <c r="F3143" t="s">
        <v>17334</v>
      </c>
      <c r="G3143">
        <f>'7D'!$D$10</f>
        <v>0</v>
      </c>
      <c r="O3143" t="str">
        <f>_xlfn.CONCAT('7D'!$B$9, "-", '7D'!$B$10, "-", '7D'!$F$7, "-", '7D'!$F$6, "-", '7D'!$E$5)</f>
        <v>Load received at sewage treatment works-Load received by STWs in size band 1-Activated Sludge-Secondary-Treatment categories</v>
      </c>
    </row>
    <row r="3144" spans="1:15">
      <c r="A3144" t="s">
        <v>17341</v>
      </c>
      <c r="B3144" s="2602" t="str">
        <f>'7D'!$BQ$10</f>
        <v>STWD003</v>
      </c>
      <c r="D3144" t="str">
        <f>_xlfn.CONCAT('7D'!$B$9, "-", '7D'!$B$10, "-", '7D'!$G$7, "-", '7D'!$F$6, "-", '7D'!$E$5)</f>
        <v>Load received at sewage treatment works-Load received by STWs in size band 1-Biological-Secondary-Treatment categories</v>
      </c>
      <c r="E3144" t="str">
        <f>'7D'!$C$10</f>
        <v>kg BOD5/day</v>
      </c>
      <c r="F3144" t="s">
        <v>17334</v>
      </c>
      <c r="G3144">
        <f>'7D'!$D$10</f>
        <v>0</v>
      </c>
      <c r="O3144" t="str">
        <f>_xlfn.CONCAT('7D'!$B$9, "-", '7D'!$B$10, "-", '7D'!$G$7, "-", '7D'!$F$6, "-", '7D'!$E$5)</f>
        <v>Load received at sewage treatment works-Load received by STWs in size band 1-Biological-Secondary-Treatment categories</v>
      </c>
    </row>
    <row r="3145" spans="1:15">
      <c r="A3145" t="s">
        <v>17341</v>
      </c>
      <c r="B3145" s="2602" t="str">
        <f>'7D'!$BR$10</f>
        <v>STWD004</v>
      </c>
      <c r="D3145" t="str">
        <f>_xlfn.CONCAT('7D'!$B$9, "-", '7D'!$B$10, "-", '7D'!$H$7, "-", '7D'!$H$6, "-", '7D'!$E$5)</f>
        <v>Load received at sewage treatment works-Load received by STWs in size band 1-A1-Tertiary-Treatment categories</v>
      </c>
      <c r="E3145" t="str">
        <f>'7D'!$C$10</f>
        <v>kg BOD5/day</v>
      </c>
      <c r="F3145" t="s">
        <v>17334</v>
      </c>
      <c r="G3145">
        <f>'7D'!$D$10</f>
        <v>0</v>
      </c>
      <c r="O3145" t="str">
        <f>_xlfn.CONCAT('7D'!$B$9, "-", '7D'!$B$10, "-", '7D'!$H$7, "-", '7D'!$H$6, "-", '7D'!$E$5)</f>
        <v>Load received at sewage treatment works-Load received by STWs in size band 1-A1-Tertiary-Treatment categories</v>
      </c>
    </row>
    <row r="3146" spans="1:15">
      <c r="A3146" t="s">
        <v>17341</v>
      </c>
      <c r="B3146" s="2602" t="str">
        <f>'7D'!$BS$10</f>
        <v>STWD005</v>
      </c>
      <c r="D3146" t="str">
        <f>_xlfn.CONCAT('7D'!$B$9, "-", '7D'!$B$10, "-", '7D'!$I$7, "-", '7D'!$H$6, "-", '7D'!$E$5)</f>
        <v>Load received at sewage treatment works-Load received by STWs in size band 1-A2-Tertiary-Treatment categories</v>
      </c>
      <c r="E3146" t="str">
        <f>'7D'!$C$10</f>
        <v>kg BOD5/day</v>
      </c>
      <c r="F3146" t="s">
        <v>17334</v>
      </c>
      <c r="G3146">
        <f>'7D'!$D$10</f>
        <v>0</v>
      </c>
      <c r="O3146" t="str">
        <f>_xlfn.CONCAT('7D'!$B$9, "-", '7D'!$B$10, "-", '7D'!$I$7, "-", '7D'!$H$6, "-", '7D'!$E$5)</f>
        <v>Load received at sewage treatment works-Load received by STWs in size band 1-A2-Tertiary-Treatment categories</v>
      </c>
    </row>
    <row r="3147" spans="1:15">
      <c r="A3147" t="s">
        <v>17341</v>
      </c>
      <c r="B3147" s="2602" t="str">
        <f>'7D'!$BT$10</f>
        <v>STWD006</v>
      </c>
      <c r="D3147" t="str">
        <f>_xlfn.CONCAT('7D'!$B$9, "-", '7D'!$B$10, "-", '7D'!$J$7, "-", '7D'!$H$6, "-", '7D'!$E$5)</f>
        <v>Load received at sewage treatment works-Load received by STWs in size band 1-B1-Tertiary-Treatment categories</v>
      </c>
      <c r="E3147" t="str">
        <f>'7D'!$C$10</f>
        <v>kg BOD5/day</v>
      </c>
      <c r="F3147" t="s">
        <v>17334</v>
      </c>
      <c r="G3147">
        <f>'7D'!$D$10</f>
        <v>0</v>
      </c>
      <c r="O3147" t="str">
        <f>_xlfn.CONCAT('7D'!$B$9, "-", '7D'!$B$10, "-", '7D'!$J$7, "-", '7D'!$H$6, "-", '7D'!$E$5)</f>
        <v>Load received at sewage treatment works-Load received by STWs in size band 1-B1-Tertiary-Treatment categories</v>
      </c>
    </row>
    <row r="3148" spans="1:15">
      <c r="A3148" t="s">
        <v>17341</v>
      </c>
      <c r="B3148" s="2602" t="str">
        <f>'7D'!$BU$10</f>
        <v>STWD007</v>
      </c>
      <c r="D3148" t="str">
        <f>_xlfn.CONCAT('7D'!$B$9, "-", '7D'!$B$10, "-", '7D'!$K$7, "-", '7D'!$H$6, "-", '7D'!$E$5)</f>
        <v>Load received at sewage treatment works-Load received by STWs in size band 1-B2-Tertiary-Treatment categories</v>
      </c>
      <c r="E3148" t="str">
        <f>'7D'!$C$10</f>
        <v>kg BOD5/day</v>
      </c>
      <c r="F3148" t="s">
        <v>17334</v>
      </c>
      <c r="G3148">
        <f>'7D'!$D$10</f>
        <v>0</v>
      </c>
      <c r="O3148" t="str">
        <f>_xlfn.CONCAT('7D'!$B$9, "-", '7D'!$B$10, "-", '7D'!$K$7, "-", '7D'!$H$6, "-", '7D'!$E$5)</f>
        <v>Load received at sewage treatment works-Load received by STWs in size band 1-B2-Tertiary-Treatment categories</v>
      </c>
    </row>
    <row r="3149" spans="1:15">
      <c r="A3149" t="s">
        <v>17341</v>
      </c>
      <c r="B3149" s="2602" t="str">
        <f>'7D'!$BV$10</f>
        <v>STWD012</v>
      </c>
      <c r="D3149" t="str">
        <f>_xlfn.CONCAT('7D'!$B$9, "-", '7D'!$B$10, "-", '7D'!$L$6, "-", '7D'!$L$6, "-", '7D'!$E$5)</f>
        <v>Load received at sewage treatment works-Load received by STWs in size band 1-Total-Total-Treatment categories</v>
      </c>
      <c r="E3149" t="str">
        <f>'7D'!$C$10</f>
        <v>kg BOD5/day</v>
      </c>
      <c r="F3149" t="s">
        <v>17334</v>
      </c>
      <c r="G3149">
        <f>'7D'!$D$10</f>
        <v>0</v>
      </c>
      <c r="O3149" t="str">
        <f>_xlfn.CONCAT('7D'!$B$9, "-", '7D'!$B$10, "-", '7D'!$L$6, "-", '7D'!$L$6, "-", '7D'!$E$5)</f>
        <v>Load received at sewage treatment works-Load received by STWs in size band 1-Total-Total-Treatment categories</v>
      </c>
    </row>
    <row r="3150" spans="1:15">
      <c r="A3150" t="s">
        <v>17341</v>
      </c>
      <c r="B3150" s="2602" t="str">
        <f>'7D'!$BX$10</f>
        <v>STWDP001</v>
      </c>
      <c r="D3150" t="str">
        <f>_xlfn.CONCAT('7D'!$B$9, "-", '7D'!$B$10, "-", '7D'!$N$7, "-", '7D'!$N$6, "-", '7D'!$N$5)</f>
        <v>Load received at sewage treatment works-Load received by STWs in size band 1-&lt;=0.5mg/l-Phosphorus-Treatment works consents</v>
      </c>
      <c r="E3150" t="str">
        <f>'7D'!$C$10</f>
        <v>kg BOD5/day</v>
      </c>
      <c r="F3150" t="s">
        <v>17334</v>
      </c>
      <c r="G3150">
        <f>'7D'!$D$10</f>
        <v>0</v>
      </c>
      <c r="O3150" t="str">
        <f>_xlfn.CONCAT('7D'!$B$9, "-", '7D'!$B$10, "-", '7D'!$N$7, "-", '7D'!$N$6, "-", '7D'!$N$5)</f>
        <v>Load received at sewage treatment works-Load received by STWs in size band 1-&lt;=0.5mg/l-Phosphorus-Treatment works consents</v>
      </c>
    </row>
    <row r="3151" spans="1:15">
      <c r="A3151" t="s">
        <v>17341</v>
      </c>
      <c r="B3151" s="2602" t="str">
        <f>'7D'!$BY$10</f>
        <v>STWDP002</v>
      </c>
      <c r="D3151" t="str">
        <f>_xlfn.CONCAT('7D'!$B$9, "-", '7D'!$B$10, "-", '7D'!$O$7, "-", '7D'!$N$6, "-", '7D'!$N$5)</f>
        <v>Load received at sewage treatment works-Load received by STWs in size band 1-&gt;0.5 to &lt;=1mg/l-Phosphorus-Treatment works consents</v>
      </c>
      <c r="E3151" t="str">
        <f>'7D'!$C$10</f>
        <v>kg BOD5/day</v>
      </c>
      <c r="F3151" t="s">
        <v>17334</v>
      </c>
      <c r="G3151">
        <f>'7D'!$D$10</f>
        <v>0</v>
      </c>
      <c r="O3151" t="str">
        <f>_xlfn.CONCAT('7D'!$B$9, "-", '7D'!$B$10, "-", '7D'!$O$7, "-", '7D'!$N$6, "-", '7D'!$N$5)</f>
        <v>Load received at sewage treatment works-Load received by STWs in size band 1-&gt;0.5 to &lt;=1mg/l-Phosphorus-Treatment works consents</v>
      </c>
    </row>
    <row r="3152" spans="1:15">
      <c r="A3152" t="s">
        <v>17341</v>
      </c>
      <c r="B3152" s="2602" t="str">
        <f>'7D'!$BZ$10</f>
        <v>STWDP003</v>
      </c>
      <c r="D3152" t="str">
        <f>_xlfn.CONCAT('7D'!$B$9, "-", '7D'!$B$10, "-", '7D'!$P$7, "-", '7D'!$N$6, "-", '7D'!$N$5)</f>
        <v>Load received at sewage treatment works-Load received by STWs in size band 1-&gt;1mg/l-Phosphorus-Treatment works consents</v>
      </c>
      <c r="E3152" t="str">
        <f>'7D'!$C$10</f>
        <v>kg BOD5/day</v>
      </c>
      <c r="F3152" t="s">
        <v>17334</v>
      </c>
      <c r="G3152">
        <f>'7D'!$D$10</f>
        <v>0</v>
      </c>
      <c r="O3152" t="str">
        <f>_xlfn.CONCAT('7D'!$B$9, "-", '7D'!$B$10, "-", '7D'!$P$7, "-", '7D'!$N$6, "-", '7D'!$N$5)</f>
        <v>Load received at sewage treatment works-Load received by STWs in size band 1-&gt;1mg/l-Phosphorus-Treatment works consents</v>
      </c>
    </row>
    <row r="3153" spans="1:15">
      <c r="A3153" t="s">
        <v>17341</v>
      </c>
      <c r="B3153" s="2602" t="str">
        <f>'7D'!$CA$10</f>
        <v>STWDP004</v>
      </c>
      <c r="D3153" t="str">
        <f>_xlfn.CONCAT('7D'!$B$9, "-", '7D'!$B$10, "-", '7D'!$Q$7, "-", '7D'!$N$6, "-", '7D'!$N$5)</f>
        <v>Load received at sewage treatment works-Load received by STWs in size band 1-No permit-Phosphorus-Treatment works consents</v>
      </c>
      <c r="E3153" t="str">
        <f>'7D'!$C$10</f>
        <v>kg BOD5/day</v>
      </c>
      <c r="F3153" t="s">
        <v>17334</v>
      </c>
      <c r="G3153">
        <f>'7D'!$D$10</f>
        <v>0</v>
      </c>
      <c r="O3153" t="str">
        <f>_xlfn.CONCAT('7D'!$B$9, "-", '7D'!$B$10, "-", '7D'!$Q$7, "-", '7D'!$N$6, "-", '7D'!$N$5)</f>
        <v>Load received at sewage treatment works-Load received by STWs in size band 1-No permit-Phosphorus-Treatment works consents</v>
      </c>
    </row>
    <row r="3154" spans="1:15">
      <c r="A3154" t="s">
        <v>17341</v>
      </c>
      <c r="B3154" s="2602" t="str">
        <f>'7D'!$CB$10</f>
        <v>STWDP005</v>
      </c>
      <c r="D3154" t="str">
        <f>_xlfn.CONCAT('7D'!$B$9, "-", '7D'!$B$10, "-", '7D'!$R$7, "-", '7D'!$N$6, "-", '7D'!$N$5)</f>
        <v>Load received at sewage treatment works-Load received by STWs in size band 1-Total-Phosphorus-Treatment works consents</v>
      </c>
      <c r="E3154" t="str">
        <f>'7D'!$C$10</f>
        <v>kg BOD5/day</v>
      </c>
      <c r="F3154" t="s">
        <v>17334</v>
      </c>
      <c r="G3154">
        <f>'7D'!$D$10</f>
        <v>0</v>
      </c>
      <c r="O3154" t="str">
        <f>_xlfn.CONCAT('7D'!$B$9, "-", '7D'!$B$10, "-", '7D'!$R$7, "-", '7D'!$N$6, "-", '7D'!$N$5)</f>
        <v>Load received at sewage treatment works-Load received by STWs in size band 1-Total-Phosphorus-Treatment works consents</v>
      </c>
    </row>
    <row r="3155" spans="1:15">
      <c r="A3155" t="s">
        <v>17341</v>
      </c>
      <c r="B3155" s="2602" t="str">
        <f>'7D'!$CC$10</f>
        <v>STWDB001</v>
      </c>
      <c r="D3155" t="str">
        <f>_xlfn.CONCAT('7D'!$B$9, "-", '7D'!$B$10, "-", '7D'!$S$7, "-", '7D'!$S$6, "-", '7D'!$N$5)</f>
        <v>Load received at sewage treatment works-Load received by STWs in size band 1-&lt;=7mg/l-BOD5-Treatment works consents</v>
      </c>
      <c r="E3155" t="str">
        <f>'7D'!$C$10</f>
        <v>kg BOD5/day</v>
      </c>
      <c r="F3155" t="s">
        <v>17334</v>
      </c>
      <c r="G3155">
        <f>'7D'!$D$10</f>
        <v>0</v>
      </c>
      <c r="O3155" t="str">
        <f>_xlfn.CONCAT('7D'!$B$9, "-", '7D'!$B$10, "-", '7D'!$S$7, "-", '7D'!$S$6, "-", '7D'!$N$5)</f>
        <v>Load received at sewage treatment works-Load received by STWs in size band 1-&lt;=7mg/l-BOD5-Treatment works consents</v>
      </c>
    </row>
    <row r="3156" spans="1:15">
      <c r="A3156" t="s">
        <v>17341</v>
      </c>
      <c r="B3156" s="2602" t="str">
        <f>'7D'!$CD$10</f>
        <v>STWDB002</v>
      </c>
      <c r="D3156" t="str">
        <f>_xlfn.CONCAT('7D'!$B$9, "-", '7D'!$B$10, "-", '7D'!$T$7, "-", '7D'!$S$6, "-", '7D'!$N$5)</f>
        <v>Load received at sewage treatment works-Load received by STWs in size band 1-&gt;7 to &lt;=10mg/l-BOD5-Treatment works consents</v>
      </c>
      <c r="E3156" t="str">
        <f>'7D'!$C$10</f>
        <v>kg BOD5/day</v>
      </c>
      <c r="F3156" t="s">
        <v>17334</v>
      </c>
      <c r="G3156">
        <f>'7D'!$D$10</f>
        <v>0</v>
      </c>
      <c r="O3156" t="str">
        <f>_xlfn.CONCAT('7D'!$B$9, "-", '7D'!$B$10, "-", '7D'!$T$7, "-", '7D'!$S$6, "-", '7D'!$N$5)</f>
        <v>Load received at sewage treatment works-Load received by STWs in size band 1-&gt;7 to &lt;=10mg/l-BOD5-Treatment works consents</v>
      </c>
    </row>
    <row r="3157" spans="1:15">
      <c r="A3157" t="s">
        <v>17341</v>
      </c>
      <c r="B3157" s="2602" t="str">
        <f>'7D'!$CE$10</f>
        <v>STWDB003</v>
      </c>
      <c r="D3157" t="str">
        <f>_xlfn.CONCAT('7D'!$B$9, "-", '7D'!$B$10, "-", '7D'!$U$7, "-", '7D'!$S$6, "-", '7D'!$N$5)</f>
        <v>Load received at sewage treatment works-Load received by STWs in size band 1-&gt;10 to &lt;=20mg/l-BOD5-Treatment works consents</v>
      </c>
      <c r="E3157" t="str">
        <f>'7D'!$C$10</f>
        <v>kg BOD5/day</v>
      </c>
      <c r="F3157" t="s">
        <v>17334</v>
      </c>
      <c r="G3157">
        <f>'7D'!$D$10</f>
        <v>0</v>
      </c>
      <c r="O3157" t="str">
        <f>_xlfn.CONCAT('7D'!$B$9, "-", '7D'!$B$10, "-", '7D'!$U$7, "-", '7D'!$S$6, "-", '7D'!$N$5)</f>
        <v>Load received at sewage treatment works-Load received by STWs in size band 1-&gt;10 to &lt;=20mg/l-BOD5-Treatment works consents</v>
      </c>
    </row>
    <row r="3158" spans="1:15">
      <c r="A3158" t="s">
        <v>17341</v>
      </c>
      <c r="B3158" s="2602" t="str">
        <f>'7D'!$CF$10</f>
        <v>STWDB004</v>
      </c>
      <c r="D3158" t="str">
        <f>_xlfn.CONCAT('7D'!$B$9, "-", '7D'!$B$10, "-", '7D'!$V$7, "-", '7D'!$S$6, "-", '7D'!$N$5)</f>
        <v>Load received at sewage treatment works-Load received by STWs in size band 1-&gt;20mg/l-BOD5-Treatment works consents</v>
      </c>
      <c r="E3158" t="str">
        <f>'7D'!$C$10</f>
        <v>kg BOD5/day</v>
      </c>
      <c r="F3158" t="s">
        <v>17334</v>
      </c>
      <c r="G3158">
        <f>'7D'!$D$10</f>
        <v>0</v>
      </c>
      <c r="O3158" t="str">
        <f>_xlfn.CONCAT('7D'!$B$9, "-", '7D'!$B$10, "-", '7D'!$V$7, "-", '7D'!$S$6, "-", '7D'!$N$5)</f>
        <v>Load received at sewage treatment works-Load received by STWs in size band 1-&gt;20mg/l-BOD5-Treatment works consents</v>
      </c>
    </row>
    <row r="3159" spans="1:15">
      <c r="A3159" t="s">
        <v>17341</v>
      </c>
      <c r="B3159" s="2602" t="str">
        <f>'7D'!$CG$10</f>
        <v>STWDB005</v>
      </c>
      <c r="D3159" t="str">
        <f>_xlfn.CONCAT('7D'!$B$9, "-", '7D'!$B$10, "-", '7D'!$W$7, "-", '7D'!$S$6, "-", '7D'!$N$5)</f>
        <v>Load received at sewage treatment works-Load received by STWs in size band 1-No permit-BOD5-Treatment works consents</v>
      </c>
      <c r="E3159" t="str">
        <f>'7D'!$C$10</f>
        <v>kg BOD5/day</v>
      </c>
      <c r="F3159" t="s">
        <v>17334</v>
      </c>
      <c r="G3159">
        <f>'7D'!$D$10</f>
        <v>0</v>
      </c>
      <c r="O3159" t="str">
        <f>_xlfn.CONCAT('7D'!$B$9, "-", '7D'!$B$10, "-", '7D'!$W$7, "-", '7D'!$S$6, "-", '7D'!$N$5)</f>
        <v>Load received at sewage treatment works-Load received by STWs in size band 1-No permit-BOD5-Treatment works consents</v>
      </c>
    </row>
    <row r="3160" spans="1:15">
      <c r="A3160" t="s">
        <v>17341</v>
      </c>
      <c r="B3160" s="2602" t="str">
        <f>'7D'!$CH$10</f>
        <v>STWDB006</v>
      </c>
      <c r="D3160" t="str">
        <f>_xlfn.CONCAT('7D'!$B$9, "-", '7D'!$B$10, "-", '7D'!$X$7, "-", '7D'!$S$6, "-", '7D'!$N$5)</f>
        <v>Load received at sewage treatment works-Load received by STWs in size band 1-Total-BOD5-Treatment works consents</v>
      </c>
      <c r="E3160" t="str">
        <f>'7D'!$C$10</f>
        <v>kg BOD5/day</v>
      </c>
      <c r="F3160" t="s">
        <v>17334</v>
      </c>
      <c r="G3160">
        <f>'7D'!$D$10</f>
        <v>0</v>
      </c>
      <c r="O3160" t="str">
        <f>_xlfn.CONCAT('7D'!$B$9, "-", '7D'!$B$10, "-", '7D'!$X$7, "-", '7D'!$S$6, "-", '7D'!$N$5)</f>
        <v>Load received at sewage treatment works-Load received by STWs in size band 1-Total-BOD5-Treatment works consents</v>
      </c>
    </row>
    <row r="3161" spans="1:15">
      <c r="A3161" t="s">
        <v>17341</v>
      </c>
      <c r="B3161" s="2602" t="str">
        <f>'7D'!$CI$10</f>
        <v>STWDA001</v>
      </c>
      <c r="D3161" t="str">
        <f>_xlfn.CONCAT('7D'!$B$9, "-", '7D'!$B$10, "-", '7D'!$Y$7, "-", '7D'!$Y$6, "-", '7D'!$N$5)</f>
        <v>Load received at sewage treatment works-Load received by STWs in size band 1-&lt;=1mg/l-Ammonia-Treatment works consents</v>
      </c>
      <c r="E3161" t="str">
        <f>'7D'!$C$10</f>
        <v>kg BOD5/day</v>
      </c>
      <c r="F3161" t="s">
        <v>17334</v>
      </c>
      <c r="G3161">
        <f>'7D'!$D$10</f>
        <v>0</v>
      </c>
      <c r="O3161" t="str">
        <f>_xlfn.CONCAT('7D'!$B$9, "-", '7D'!$B$10, "-", '7D'!$Y$7, "-", '7D'!$Y$6, "-", '7D'!$N$5)</f>
        <v>Load received at sewage treatment works-Load received by STWs in size band 1-&lt;=1mg/l-Ammonia-Treatment works consents</v>
      </c>
    </row>
    <row r="3162" spans="1:15">
      <c r="A3162" t="s">
        <v>17341</v>
      </c>
      <c r="B3162" s="2602" t="str">
        <f>'7D'!$CJ$10</f>
        <v>STWDA002</v>
      </c>
      <c r="D3162" t="str">
        <f>_xlfn.CONCAT('7D'!$B$9, "-", '7D'!$B$10, "-", '7D'!$Z$7, "-", '7D'!$Y$6, "-", '7D'!$N$5)</f>
        <v>Load received at sewage treatment works-Load received by STWs in size band 1-&gt;1 to &lt;=3mg/l-Ammonia-Treatment works consents</v>
      </c>
      <c r="E3162" t="str">
        <f>'7D'!$C$10</f>
        <v>kg BOD5/day</v>
      </c>
      <c r="F3162" t="s">
        <v>17334</v>
      </c>
      <c r="G3162">
        <f>'7D'!$D$10</f>
        <v>0</v>
      </c>
      <c r="O3162" t="str">
        <f>_xlfn.CONCAT('7D'!$B$9, "-", '7D'!$B$10, "-", '7D'!$Z$7, "-", '7D'!$Y$6, "-", '7D'!$N$5)</f>
        <v>Load received at sewage treatment works-Load received by STWs in size band 1-&gt;1 to &lt;=3mg/l-Ammonia-Treatment works consents</v>
      </c>
    </row>
    <row r="3163" spans="1:15">
      <c r="A3163" t="s">
        <v>17341</v>
      </c>
      <c r="B3163" s="2602" t="str">
        <f>'7D'!$CK$10</f>
        <v>STWDA003</v>
      </c>
      <c r="D3163" t="str">
        <f>_xlfn.CONCAT('7D'!$B$9, "-", '7D'!$B$10, "-", '7D'!$AA$7, "-", '7D'!$Y$6, "-", '7D'!$N$5)</f>
        <v>Load received at sewage treatment works-Load received by STWs in size band 1-&gt;3 to &lt;=10mg/l-Ammonia-Treatment works consents</v>
      </c>
      <c r="E3163" t="str">
        <f>'7D'!$C$10</f>
        <v>kg BOD5/day</v>
      </c>
      <c r="F3163" t="s">
        <v>17334</v>
      </c>
      <c r="G3163">
        <f>'7D'!$D$10</f>
        <v>0</v>
      </c>
      <c r="O3163" t="str">
        <f>_xlfn.CONCAT('7D'!$B$9, "-", '7D'!$B$10, "-", '7D'!$AA$7, "-", '7D'!$Y$6, "-", '7D'!$N$5)</f>
        <v>Load received at sewage treatment works-Load received by STWs in size band 1-&gt;3 to &lt;=10mg/l-Ammonia-Treatment works consents</v>
      </c>
    </row>
    <row r="3164" spans="1:15">
      <c r="A3164" t="s">
        <v>17341</v>
      </c>
      <c r="B3164" s="2602" t="str">
        <f>'7D'!$CL$10</f>
        <v>STWDA004</v>
      </c>
      <c r="D3164" t="str">
        <f>_xlfn.CONCAT('7D'!$B$9, "-", '7D'!$B$10, "-", '7D'!$AB$7, "-", '7D'!$Y$6, "-", '7D'!$N$5)</f>
        <v>Load received at sewage treatment works-Load received by STWs in size band 1-&gt;10mg/l-Ammonia-Treatment works consents</v>
      </c>
      <c r="E3164" t="str">
        <f>'7D'!$C$10</f>
        <v>kg BOD5/day</v>
      </c>
      <c r="F3164" t="s">
        <v>17334</v>
      </c>
      <c r="G3164">
        <f>'7D'!$D$10</f>
        <v>0</v>
      </c>
      <c r="O3164" t="str">
        <f>_xlfn.CONCAT('7D'!$B$9, "-", '7D'!$B$10, "-", '7D'!$AB$7, "-", '7D'!$Y$6, "-", '7D'!$N$5)</f>
        <v>Load received at sewage treatment works-Load received by STWs in size band 1-&gt;10mg/l-Ammonia-Treatment works consents</v>
      </c>
    </row>
    <row r="3165" spans="1:15">
      <c r="A3165" t="s">
        <v>17341</v>
      </c>
      <c r="B3165" s="2602" t="str">
        <f>'7D'!$CM$10</f>
        <v>STWDA005</v>
      </c>
      <c r="D3165" t="str">
        <f>_xlfn.CONCAT('7D'!$B$9, "-", '7D'!$B$10, "-", '7D'!$AC$7, "-", '7D'!$Y$6, "-", '7D'!$N$5)</f>
        <v>Load received at sewage treatment works-Load received by STWs in size band 1-No permit-Ammonia-Treatment works consents</v>
      </c>
      <c r="E3165" t="str">
        <f>'7D'!$C$10</f>
        <v>kg BOD5/day</v>
      </c>
      <c r="F3165" t="s">
        <v>17334</v>
      </c>
      <c r="G3165">
        <f>'7D'!$D$10</f>
        <v>0</v>
      </c>
      <c r="O3165" t="str">
        <f>_xlfn.CONCAT('7D'!$B$9, "-", '7D'!$B$10, "-", '7D'!$AC$7, "-", '7D'!$Y$6, "-", '7D'!$N$5)</f>
        <v>Load received at sewage treatment works-Load received by STWs in size band 1-No permit-Ammonia-Treatment works consents</v>
      </c>
    </row>
    <row r="3166" spans="1:15">
      <c r="A3166" t="s">
        <v>17341</v>
      </c>
      <c r="B3166" s="2602" t="str">
        <f>'7D'!$CN$10</f>
        <v>STWDA006</v>
      </c>
      <c r="D3166" t="str">
        <f>_xlfn.CONCAT('7D'!$B$9, "-", '7D'!$B$10, "-", '7D'!$AD$7, "-", '7D'!$Y$6, "-", '7D'!$N$5)</f>
        <v>Load received at sewage treatment works-Load received by STWs in size band 1-Total-Ammonia-Treatment works consents</v>
      </c>
      <c r="E3166" t="str">
        <f>'7D'!$C$10</f>
        <v>kg BOD5/day</v>
      </c>
      <c r="F3166" t="s">
        <v>17334</v>
      </c>
      <c r="G3166">
        <f>'7D'!$D$10</f>
        <v>0</v>
      </c>
      <c r="O3166" t="str">
        <f>_xlfn.CONCAT('7D'!$B$9, "-", '7D'!$B$10, "-", '7D'!$AD$7, "-", '7D'!$Y$6, "-", '7D'!$N$5)</f>
        <v>Load received at sewage treatment works-Load received by STWs in size band 1-Total-Ammonia-Treatment works consents</v>
      </c>
    </row>
    <row r="3167" spans="1:15">
      <c r="A3167" t="s">
        <v>17341</v>
      </c>
      <c r="B3167" s="2602" t="str">
        <f>'7D'!$BO$11</f>
        <v>STWD015</v>
      </c>
      <c r="D3167" t="str">
        <f>_xlfn.CONCAT('7D'!$B$9, "-", '7D'!$B$11, "-", '7D'!$E$6, "-", '7D'!$E$6, "-", '7D'!$E$5)</f>
        <v>Load received at sewage treatment works-Load received by STWs in size band 2-Primary-Primary-Treatment categories</v>
      </c>
      <c r="E3167" t="str">
        <f>'7D'!$C$11</f>
        <v>kg BOD5/day</v>
      </c>
      <c r="F3167" t="s">
        <v>17334</v>
      </c>
      <c r="G3167">
        <f>'7D'!$D$11</f>
        <v>0</v>
      </c>
      <c r="O3167" t="str">
        <f>_xlfn.CONCAT('7D'!$B$9, "-", '7D'!$B$11, "-", '7D'!$E$6, "-", '7D'!$E$6, "-", '7D'!$E$5)</f>
        <v>Load received at sewage treatment works-Load received by STWs in size band 2-Primary-Primary-Treatment categories</v>
      </c>
    </row>
    <row r="3168" spans="1:15">
      <c r="A3168" t="s">
        <v>17341</v>
      </c>
      <c r="B3168" s="2602" t="str">
        <f>'7D'!$BP$11</f>
        <v>STWD016</v>
      </c>
      <c r="D3168" t="str">
        <f>_xlfn.CONCAT('7D'!$B$9, "-", '7D'!$B$11, "-", '7D'!$F$7, "-", '7D'!$F$6, "-", '7D'!$E$5)</f>
        <v>Load received at sewage treatment works-Load received by STWs in size band 2-Activated Sludge-Secondary-Treatment categories</v>
      </c>
      <c r="E3168" t="str">
        <f>'7D'!$C$11</f>
        <v>kg BOD5/day</v>
      </c>
      <c r="F3168" t="s">
        <v>17334</v>
      </c>
      <c r="G3168">
        <f>'7D'!$D$11</f>
        <v>0</v>
      </c>
      <c r="O3168" t="str">
        <f>_xlfn.CONCAT('7D'!$B$9, "-", '7D'!$B$11, "-", '7D'!$F$7, "-", '7D'!$F$6, "-", '7D'!$E$5)</f>
        <v>Load received at sewage treatment works-Load received by STWs in size band 2-Activated Sludge-Secondary-Treatment categories</v>
      </c>
    </row>
    <row r="3169" spans="1:15">
      <c r="A3169" t="s">
        <v>17341</v>
      </c>
      <c r="B3169" s="2602" t="str">
        <f>'7D'!$BQ$11</f>
        <v>STWD017</v>
      </c>
      <c r="D3169" t="str">
        <f>_xlfn.CONCAT('7D'!$B$9, "-", '7D'!$B$11, "-", '7D'!$G$7, "-", '7D'!$F$6, "-", '7D'!$E$5)</f>
        <v>Load received at sewage treatment works-Load received by STWs in size band 2-Biological-Secondary-Treatment categories</v>
      </c>
      <c r="E3169" t="str">
        <f>'7D'!$C$11</f>
        <v>kg BOD5/day</v>
      </c>
      <c r="F3169" t="s">
        <v>17334</v>
      </c>
      <c r="G3169">
        <f>'7D'!$D$11</f>
        <v>0</v>
      </c>
      <c r="O3169" t="str">
        <f>_xlfn.CONCAT('7D'!$B$9, "-", '7D'!$B$11, "-", '7D'!$G$7, "-", '7D'!$F$6, "-", '7D'!$E$5)</f>
        <v>Load received at sewage treatment works-Load received by STWs in size band 2-Biological-Secondary-Treatment categories</v>
      </c>
    </row>
    <row r="3170" spans="1:15">
      <c r="A3170" t="s">
        <v>17341</v>
      </c>
      <c r="B3170" s="2602" t="str">
        <f>'7D'!$BR$11</f>
        <v>STWD018</v>
      </c>
      <c r="D3170" t="str">
        <f>_xlfn.CONCAT('7D'!$B$9, "-", '7D'!$B$11, "-", '7D'!$H$7, "-", '7D'!$H$6, "-", '7D'!$E$5)</f>
        <v>Load received at sewage treatment works-Load received by STWs in size band 2-A1-Tertiary-Treatment categories</v>
      </c>
      <c r="E3170" t="str">
        <f>'7D'!$C$11</f>
        <v>kg BOD5/day</v>
      </c>
      <c r="F3170" t="s">
        <v>17334</v>
      </c>
      <c r="G3170">
        <f>'7D'!$D$11</f>
        <v>0</v>
      </c>
      <c r="O3170" t="str">
        <f>_xlfn.CONCAT('7D'!$B$9, "-", '7D'!$B$11, "-", '7D'!$H$7, "-", '7D'!$H$6, "-", '7D'!$E$5)</f>
        <v>Load received at sewage treatment works-Load received by STWs in size band 2-A1-Tertiary-Treatment categories</v>
      </c>
    </row>
    <row r="3171" spans="1:15">
      <c r="A3171" t="s">
        <v>17341</v>
      </c>
      <c r="B3171" s="2602" t="str">
        <f>'7D'!$BS$11</f>
        <v>STWD019</v>
      </c>
      <c r="D3171" t="str">
        <f>_xlfn.CONCAT('7D'!$B$9, "-", '7D'!$B$11, "-", '7D'!$I$7, "-", '7D'!$H$6, "-", '7D'!$E$5)</f>
        <v>Load received at sewage treatment works-Load received by STWs in size band 2-A2-Tertiary-Treatment categories</v>
      </c>
      <c r="E3171" t="str">
        <f>'7D'!$C$11</f>
        <v>kg BOD5/day</v>
      </c>
      <c r="F3171" t="s">
        <v>17334</v>
      </c>
      <c r="G3171">
        <f>'7D'!$D$11</f>
        <v>0</v>
      </c>
      <c r="O3171" t="str">
        <f>_xlfn.CONCAT('7D'!$B$9, "-", '7D'!$B$11, "-", '7D'!$I$7, "-", '7D'!$H$6, "-", '7D'!$E$5)</f>
        <v>Load received at sewage treatment works-Load received by STWs in size band 2-A2-Tertiary-Treatment categories</v>
      </c>
    </row>
    <row r="3172" spans="1:15">
      <c r="A3172" t="s">
        <v>17341</v>
      </c>
      <c r="B3172" s="2602" t="str">
        <f>'7D'!$BT$11</f>
        <v>STWD020</v>
      </c>
      <c r="D3172" t="str">
        <f>_xlfn.CONCAT('7D'!$B$9, "-", '7D'!$B$11, "-", '7D'!$J$7, "-", '7D'!$H$6, "-", '7D'!$E$5)</f>
        <v>Load received at sewage treatment works-Load received by STWs in size band 2-B1-Tertiary-Treatment categories</v>
      </c>
      <c r="E3172" t="str">
        <f>'7D'!$C$11</f>
        <v>kg BOD5/day</v>
      </c>
      <c r="F3172" t="s">
        <v>17334</v>
      </c>
      <c r="G3172">
        <f>'7D'!$D$11</f>
        <v>0</v>
      </c>
      <c r="O3172" t="str">
        <f>_xlfn.CONCAT('7D'!$B$9, "-", '7D'!$B$11, "-", '7D'!$J$7, "-", '7D'!$H$6, "-", '7D'!$E$5)</f>
        <v>Load received at sewage treatment works-Load received by STWs in size band 2-B1-Tertiary-Treatment categories</v>
      </c>
    </row>
    <row r="3173" spans="1:15">
      <c r="A3173" t="s">
        <v>17341</v>
      </c>
      <c r="B3173" s="2602" t="str">
        <f>'7D'!$BU$11</f>
        <v>STWD021</v>
      </c>
      <c r="D3173" t="str">
        <f>_xlfn.CONCAT('7D'!$B$9, "-", '7D'!$B$11, "-", '7D'!$K$7, "-", '7D'!$H$6, "-", '7D'!$E$5)</f>
        <v>Load received at sewage treatment works-Load received by STWs in size band 2-B2-Tertiary-Treatment categories</v>
      </c>
      <c r="E3173" t="str">
        <f>'7D'!$C$11</f>
        <v>kg BOD5/day</v>
      </c>
      <c r="F3173" t="s">
        <v>17334</v>
      </c>
      <c r="G3173">
        <f>'7D'!$D$11</f>
        <v>0</v>
      </c>
      <c r="O3173" t="str">
        <f>_xlfn.CONCAT('7D'!$B$9, "-", '7D'!$B$11, "-", '7D'!$K$7, "-", '7D'!$H$6, "-", '7D'!$E$5)</f>
        <v>Load received at sewage treatment works-Load received by STWs in size band 2-B2-Tertiary-Treatment categories</v>
      </c>
    </row>
    <row r="3174" spans="1:15">
      <c r="A3174" t="s">
        <v>17341</v>
      </c>
      <c r="B3174" s="2602" t="str">
        <f>'7D'!$BV$11</f>
        <v>STWD026</v>
      </c>
      <c r="D3174" t="str">
        <f>_xlfn.CONCAT('7D'!$B$9, "-", '7D'!$B$11, "-", '7D'!$L$6, "-", '7D'!$L$6, "-", '7D'!$E$5)</f>
        <v>Load received at sewage treatment works-Load received by STWs in size band 2-Total-Total-Treatment categories</v>
      </c>
      <c r="E3174" t="str">
        <f>'7D'!$C$11</f>
        <v>kg BOD5/day</v>
      </c>
      <c r="F3174" t="s">
        <v>17334</v>
      </c>
      <c r="G3174">
        <f>'7D'!$D$11</f>
        <v>0</v>
      </c>
      <c r="O3174" t="str">
        <f>_xlfn.CONCAT('7D'!$B$9, "-", '7D'!$B$11, "-", '7D'!$L$6, "-", '7D'!$L$6, "-", '7D'!$E$5)</f>
        <v>Load received at sewage treatment works-Load received by STWs in size band 2-Total-Total-Treatment categories</v>
      </c>
    </row>
    <row r="3175" spans="1:15">
      <c r="A3175" t="s">
        <v>17341</v>
      </c>
      <c r="B3175" s="2602" t="str">
        <f>'7D'!$BX$11</f>
        <v>STWDP015</v>
      </c>
      <c r="D3175" t="str">
        <f>_xlfn.CONCAT('7D'!$B$9, "-", '7D'!$B$11, "-", '7D'!$N$7, "-", '7D'!$N$6, "-", '7D'!$N$5)</f>
        <v>Load received at sewage treatment works-Load received by STWs in size band 2-&lt;=0.5mg/l-Phosphorus-Treatment works consents</v>
      </c>
      <c r="E3175" t="str">
        <f>'7D'!$C$11</f>
        <v>kg BOD5/day</v>
      </c>
      <c r="F3175" t="s">
        <v>17334</v>
      </c>
      <c r="G3175">
        <f>'7D'!$D$11</f>
        <v>0</v>
      </c>
      <c r="O3175" t="str">
        <f>_xlfn.CONCAT('7D'!$B$9, "-", '7D'!$B$11, "-", '7D'!$N$7, "-", '7D'!$N$6, "-", '7D'!$N$5)</f>
        <v>Load received at sewage treatment works-Load received by STWs in size band 2-&lt;=0.5mg/l-Phosphorus-Treatment works consents</v>
      </c>
    </row>
    <row r="3176" spans="1:15">
      <c r="A3176" t="s">
        <v>17341</v>
      </c>
      <c r="B3176" s="2602" t="str">
        <f>'7D'!$BY$11</f>
        <v>STWDP016</v>
      </c>
      <c r="D3176" t="str">
        <f>_xlfn.CONCAT('7D'!$B$9, "-", '7D'!$B$11, "-", '7D'!$O$7, "-", '7D'!$N$6, "-", '7D'!$N$5)</f>
        <v>Load received at sewage treatment works-Load received by STWs in size band 2-&gt;0.5 to &lt;=1mg/l-Phosphorus-Treatment works consents</v>
      </c>
      <c r="E3176" t="str">
        <f>'7D'!$C$11</f>
        <v>kg BOD5/day</v>
      </c>
      <c r="F3176" t="s">
        <v>17334</v>
      </c>
      <c r="G3176">
        <f>'7D'!$D$11</f>
        <v>0</v>
      </c>
      <c r="O3176" t="str">
        <f>_xlfn.CONCAT('7D'!$B$9, "-", '7D'!$B$11, "-", '7D'!$O$7, "-", '7D'!$N$6, "-", '7D'!$N$5)</f>
        <v>Load received at sewage treatment works-Load received by STWs in size band 2-&gt;0.5 to &lt;=1mg/l-Phosphorus-Treatment works consents</v>
      </c>
    </row>
    <row r="3177" spans="1:15">
      <c r="A3177" t="s">
        <v>17341</v>
      </c>
      <c r="B3177" s="2602" t="str">
        <f>'7D'!$BZ$11</f>
        <v>STWDP017</v>
      </c>
      <c r="D3177" t="str">
        <f>_xlfn.CONCAT('7D'!$B$9, "-", '7D'!$B$11, "-", '7D'!$P$7, "-", '7D'!$N$6, "-", '7D'!$N$5)</f>
        <v>Load received at sewage treatment works-Load received by STWs in size band 2-&gt;1mg/l-Phosphorus-Treatment works consents</v>
      </c>
      <c r="E3177" t="str">
        <f>'7D'!$C$11</f>
        <v>kg BOD5/day</v>
      </c>
      <c r="F3177" t="s">
        <v>17334</v>
      </c>
      <c r="G3177">
        <f>'7D'!$D$11</f>
        <v>0</v>
      </c>
      <c r="O3177" t="str">
        <f>_xlfn.CONCAT('7D'!$B$9, "-", '7D'!$B$11, "-", '7D'!$P$7, "-", '7D'!$N$6, "-", '7D'!$N$5)</f>
        <v>Load received at sewage treatment works-Load received by STWs in size band 2-&gt;1mg/l-Phosphorus-Treatment works consents</v>
      </c>
    </row>
    <row r="3178" spans="1:15">
      <c r="A3178" t="s">
        <v>17341</v>
      </c>
      <c r="B3178" s="2602" t="str">
        <f>'7D'!$CA$11</f>
        <v>STWDP018</v>
      </c>
      <c r="D3178" t="str">
        <f>_xlfn.CONCAT('7D'!$B$9, "-", '7D'!$B$11, "-", '7D'!$Q$7, "-", '7D'!$N$6, "-", '7D'!$N$5)</f>
        <v>Load received at sewage treatment works-Load received by STWs in size band 2-No permit-Phosphorus-Treatment works consents</v>
      </c>
      <c r="E3178" t="str">
        <f>'7D'!$C$11</f>
        <v>kg BOD5/day</v>
      </c>
      <c r="F3178" t="s">
        <v>17334</v>
      </c>
      <c r="G3178">
        <f>'7D'!$D$11</f>
        <v>0</v>
      </c>
      <c r="O3178" t="str">
        <f>_xlfn.CONCAT('7D'!$B$9, "-", '7D'!$B$11, "-", '7D'!$Q$7, "-", '7D'!$N$6, "-", '7D'!$N$5)</f>
        <v>Load received at sewage treatment works-Load received by STWs in size band 2-No permit-Phosphorus-Treatment works consents</v>
      </c>
    </row>
    <row r="3179" spans="1:15">
      <c r="A3179" t="s">
        <v>17341</v>
      </c>
      <c r="B3179" s="2602" t="str">
        <f>'7D'!$CB$11</f>
        <v>STWDP019</v>
      </c>
      <c r="D3179" t="str">
        <f>_xlfn.CONCAT('7D'!$B$9, "-", '7D'!$B$11, "-", '7D'!$R$7, "-", '7D'!$N$6, "-", '7D'!$N$5)</f>
        <v>Load received at sewage treatment works-Load received by STWs in size band 2-Total-Phosphorus-Treatment works consents</v>
      </c>
      <c r="E3179" t="str">
        <f>'7D'!$C$11</f>
        <v>kg BOD5/day</v>
      </c>
      <c r="F3179" t="s">
        <v>17334</v>
      </c>
      <c r="G3179">
        <f>'7D'!$D$11</f>
        <v>0</v>
      </c>
      <c r="O3179" t="str">
        <f>_xlfn.CONCAT('7D'!$B$9, "-", '7D'!$B$11, "-", '7D'!$R$7, "-", '7D'!$N$6, "-", '7D'!$N$5)</f>
        <v>Load received at sewage treatment works-Load received by STWs in size band 2-Total-Phosphorus-Treatment works consents</v>
      </c>
    </row>
    <row r="3180" spans="1:15">
      <c r="A3180" t="s">
        <v>17341</v>
      </c>
      <c r="B3180" s="2602" t="str">
        <f>'7D'!$CC$11</f>
        <v>STWDB015</v>
      </c>
      <c r="D3180" t="str">
        <f>_xlfn.CONCAT('7D'!$B$9, "-", '7D'!$B$11, "-", '7D'!$S$7, "-", '7D'!$S$6, "-", '7D'!$N$5)</f>
        <v>Load received at sewage treatment works-Load received by STWs in size band 2-&lt;=7mg/l-BOD5-Treatment works consents</v>
      </c>
      <c r="E3180" t="str">
        <f>'7D'!$C$11</f>
        <v>kg BOD5/day</v>
      </c>
      <c r="F3180" t="s">
        <v>17334</v>
      </c>
      <c r="G3180">
        <f>'7D'!$D$11</f>
        <v>0</v>
      </c>
      <c r="O3180" t="str">
        <f>_xlfn.CONCAT('7D'!$B$9, "-", '7D'!$B$11, "-", '7D'!$S$7, "-", '7D'!$S$6, "-", '7D'!$N$5)</f>
        <v>Load received at sewage treatment works-Load received by STWs in size band 2-&lt;=7mg/l-BOD5-Treatment works consents</v>
      </c>
    </row>
    <row r="3181" spans="1:15">
      <c r="A3181" t="s">
        <v>17341</v>
      </c>
      <c r="B3181" s="2602" t="str">
        <f>'7D'!$CD$11</f>
        <v>STWDB016</v>
      </c>
      <c r="D3181" t="str">
        <f>_xlfn.CONCAT('7D'!$B$9, "-", '7D'!$B$11, "-", '7D'!$T$7, "-", '7D'!$S$6, "-", '7D'!$N$5)</f>
        <v>Load received at sewage treatment works-Load received by STWs in size band 2-&gt;7 to &lt;=10mg/l-BOD5-Treatment works consents</v>
      </c>
      <c r="E3181" t="str">
        <f>'7D'!$C$11</f>
        <v>kg BOD5/day</v>
      </c>
      <c r="F3181" t="s">
        <v>17334</v>
      </c>
      <c r="G3181">
        <f>'7D'!$D$11</f>
        <v>0</v>
      </c>
      <c r="O3181" t="str">
        <f>_xlfn.CONCAT('7D'!$B$9, "-", '7D'!$B$11, "-", '7D'!$T$7, "-", '7D'!$S$6, "-", '7D'!$N$5)</f>
        <v>Load received at sewage treatment works-Load received by STWs in size band 2-&gt;7 to &lt;=10mg/l-BOD5-Treatment works consents</v>
      </c>
    </row>
    <row r="3182" spans="1:15">
      <c r="A3182" t="s">
        <v>17341</v>
      </c>
      <c r="B3182" s="2602" t="str">
        <f>'7D'!$CE$11</f>
        <v>STWDB017</v>
      </c>
      <c r="D3182" t="str">
        <f>_xlfn.CONCAT('7D'!$B$9, "-", '7D'!$B$11, "-", '7D'!$U$7, "-", '7D'!$S$6, "-", '7D'!$N$5)</f>
        <v>Load received at sewage treatment works-Load received by STWs in size band 2-&gt;10 to &lt;=20mg/l-BOD5-Treatment works consents</v>
      </c>
      <c r="E3182" t="str">
        <f>'7D'!$C$11</f>
        <v>kg BOD5/day</v>
      </c>
      <c r="F3182" t="s">
        <v>17334</v>
      </c>
      <c r="G3182">
        <f>'7D'!$D$11</f>
        <v>0</v>
      </c>
      <c r="O3182" t="str">
        <f>_xlfn.CONCAT('7D'!$B$9, "-", '7D'!$B$11, "-", '7D'!$U$7, "-", '7D'!$S$6, "-", '7D'!$N$5)</f>
        <v>Load received at sewage treatment works-Load received by STWs in size band 2-&gt;10 to &lt;=20mg/l-BOD5-Treatment works consents</v>
      </c>
    </row>
    <row r="3183" spans="1:15">
      <c r="A3183" t="s">
        <v>17341</v>
      </c>
      <c r="B3183" s="2602" t="str">
        <f>'7D'!$CF$11</f>
        <v>STWDB018</v>
      </c>
      <c r="D3183" t="str">
        <f>_xlfn.CONCAT('7D'!$B$9, "-", '7D'!$B$11, "-", '7D'!$V$7, "-", '7D'!$S$6, "-", '7D'!$N$5)</f>
        <v>Load received at sewage treatment works-Load received by STWs in size band 2-&gt;20mg/l-BOD5-Treatment works consents</v>
      </c>
      <c r="E3183" t="str">
        <f>'7D'!$C$11</f>
        <v>kg BOD5/day</v>
      </c>
      <c r="F3183" t="s">
        <v>17334</v>
      </c>
      <c r="G3183">
        <f>'7D'!$D$11</f>
        <v>0</v>
      </c>
      <c r="O3183" t="str">
        <f>_xlfn.CONCAT('7D'!$B$9, "-", '7D'!$B$11, "-", '7D'!$V$7, "-", '7D'!$S$6, "-", '7D'!$N$5)</f>
        <v>Load received at sewage treatment works-Load received by STWs in size band 2-&gt;20mg/l-BOD5-Treatment works consents</v>
      </c>
    </row>
    <row r="3184" spans="1:15">
      <c r="A3184" t="s">
        <v>17341</v>
      </c>
      <c r="B3184" s="2602" t="str">
        <f>'7D'!$CG$11</f>
        <v>STWDB019</v>
      </c>
      <c r="D3184" t="str">
        <f>_xlfn.CONCAT('7D'!$B$9, "-", '7D'!$B$11, "-", '7D'!$W$7, "-", '7D'!$S$6, "-", '7D'!$N$5)</f>
        <v>Load received at sewage treatment works-Load received by STWs in size band 2-No permit-BOD5-Treatment works consents</v>
      </c>
      <c r="E3184" t="str">
        <f>'7D'!$C$11</f>
        <v>kg BOD5/day</v>
      </c>
      <c r="F3184" t="s">
        <v>17334</v>
      </c>
      <c r="G3184">
        <f>'7D'!$D$11</f>
        <v>0</v>
      </c>
      <c r="O3184" t="str">
        <f>_xlfn.CONCAT('7D'!$B$9, "-", '7D'!$B$11, "-", '7D'!$W$7, "-", '7D'!$S$6, "-", '7D'!$N$5)</f>
        <v>Load received at sewage treatment works-Load received by STWs in size band 2-No permit-BOD5-Treatment works consents</v>
      </c>
    </row>
    <row r="3185" spans="1:15">
      <c r="A3185" t="s">
        <v>17341</v>
      </c>
      <c r="B3185" s="2602" t="str">
        <f>'7D'!$CH$11</f>
        <v>STWDB020</v>
      </c>
      <c r="D3185" t="str">
        <f>_xlfn.CONCAT('7D'!$B$9, "-", '7D'!$B$11, "-", '7D'!$X$7, "-", '7D'!$S$6, "-", '7D'!$N$5)</f>
        <v>Load received at sewage treatment works-Load received by STWs in size band 2-Total-BOD5-Treatment works consents</v>
      </c>
      <c r="E3185" t="str">
        <f>'7D'!$C$11</f>
        <v>kg BOD5/day</v>
      </c>
      <c r="F3185" t="s">
        <v>17334</v>
      </c>
      <c r="G3185">
        <f>'7D'!$D$11</f>
        <v>0</v>
      </c>
      <c r="O3185" t="str">
        <f>_xlfn.CONCAT('7D'!$B$9, "-", '7D'!$B$11, "-", '7D'!$X$7, "-", '7D'!$S$6, "-", '7D'!$N$5)</f>
        <v>Load received at sewage treatment works-Load received by STWs in size band 2-Total-BOD5-Treatment works consents</v>
      </c>
    </row>
    <row r="3186" spans="1:15">
      <c r="A3186" t="s">
        <v>17341</v>
      </c>
      <c r="B3186" s="2602" t="str">
        <f>'7D'!$CI$11</f>
        <v>STWDA015</v>
      </c>
      <c r="D3186" t="str">
        <f>_xlfn.CONCAT('7D'!$B$9, "-", '7D'!$B$11, "-", '7D'!$Y$7, "-", '7D'!$Y$6, "-", '7D'!$N$5)</f>
        <v>Load received at sewage treatment works-Load received by STWs in size band 2-&lt;=1mg/l-Ammonia-Treatment works consents</v>
      </c>
      <c r="E3186" t="str">
        <f>'7D'!$C$11</f>
        <v>kg BOD5/day</v>
      </c>
      <c r="F3186" t="s">
        <v>17334</v>
      </c>
      <c r="G3186">
        <f>'7D'!$D$11</f>
        <v>0</v>
      </c>
      <c r="O3186" t="str">
        <f>_xlfn.CONCAT('7D'!$B$9, "-", '7D'!$B$11, "-", '7D'!$Y$7, "-", '7D'!$Y$6, "-", '7D'!$N$5)</f>
        <v>Load received at sewage treatment works-Load received by STWs in size band 2-&lt;=1mg/l-Ammonia-Treatment works consents</v>
      </c>
    </row>
    <row r="3187" spans="1:15">
      <c r="A3187" t="s">
        <v>17341</v>
      </c>
      <c r="B3187" s="2602" t="str">
        <f>'7D'!$CJ$11</f>
        <v>STWDA016</v>
      </c>
      <c r="D3187" t="str">
        <f>_xlfn.CONCAT('7D'!$B$9, "-", '7D'!$B$11, "-", '7D'!$Z$7, "-", '7D'!$Y$6, "-", '7D'!$N$5)</f>
        <v>Load received at sewage treatment works-Load received by STWs in size band 2-&gt;1 to &lt;=3mg/l-Ammonia-Treatment works consents</v>
      </c>
      <c r="E3187" t="str">
        <f>'7D'!$C$11</f>
        <v>kg BOD5/day</v>
      </c>
      <c r="F3187" t="s">
        <v>17334</v>
      </c>
      <c r="G3187">
        <f>'7D'!$D$11</f>
        <v>0</v>
      </c>
      <c r="O3187" t="str">
        <f>_xlfn.CONCAT('7D'!$B$9, "-", '7D'!$B$11, "-", '7D'!$Z$7, "-", '7D'!$Y$6, "-", '7D'!$N$5)</f>
        <v>Load received at sewage treatment works-Load received by STWs in size band 2-&gt;1 to &lt;=3mg/l-Ammonia-Treatment works consents</v>
      </c>
    </row>
    <row r="3188" spans="1:15">
      <c r="A3188" t="s">
        <v>17341</v>
      </c>
      <c r="B3188" s="2602" t="str">
        <f>'7D'!$CK$11</f>
        <v>STWDA017</v>
      </c>
      <c r="D3188" t="str">
        <f>_xlfn.CONCAT('7D'!$B$9, "-", '7D'!$B$11, "-", '7D'!$AA$7, "-", '7D'!$Y$6, "-", '7D'!$N$5)</f>
        <v>Load received at sewage treatment works-Load received by STWs in size band 2-&gt;3 to &lt;=10mg/l-Ammonia-Treatment works consents</v>
      </c>
      <c r="E3188" t="str">
        <f>'7D'!$C$11</f>
        <v>kg BOD5/day</v>
      </c>
      <c r="F3188" t="s">
        <v>17334</v>
      </c>
      <c r="G3188">
        <f>'7D'!$D$11</f>
        <v>0</v>
      </c>
      <c r="O3188" t="str">
        <f>_xlfn.CONCAT('7D'!$B$9, "-", '7D'!$B$11, "-", '7D'!$AA$7, "-", '7D'!$Y$6, "-", '7D'!$N$5)</f>
        <v>Load received at sewage treatment works-Load received by STWs in size band 2-&gt;3 to &lt;=10mg/l-Ammonia-Treatment works consents</v>
      </c>
    </row>
    <row r="3189" spans="1:15">
      <c r="A3189" t="s">
        <v>17341</v>
      </c>
      <c r="B3189" s="2602" t="str">
        <f>'7D'!$CL$11</f>
        <v>STWDA018</v>
      </c>
      <c r="D3189" t="str">
        <f>_xlfn.CONCAT('7D'!$B$9, "-", '7D'!$B$11, "-", '7D'!$AB$7, "-", '7D'!$Y$6, "-", '7D'!$N$5)</f>
        <v>Load received at sewage treatment works-Load received by STWs in size band 2-&gt;10mg/l-Ammonia-Treatment works consents</v>
      </c>
      <c r="E3189" t="str">
        <f>'7D'!$C$11</f>
        <v>kg BOD5/day</v>
      </c>
      <c r="F3189" t="s">
        <v>17334</v>
      </c>
      <c r="G3189">
        <f>'7D'!$D$11</f>
        <v>0</v>
      </c>
      <c r="O3189" t="str">
        <f>_xlfn.CONCAT('7D'!$B$9, "-", '7D'!$B$11, "-", '7D'!$AB$7, "-", '7D'!$Y$6, "-", '7D'!$N$5)</f>
        <v>Load received at sewage treatment works-Load received by STWs in size band 2-&gt;10mg/l-Ammonia-Treatment works consents</v>
      </c>
    </row>
    <row r="3190" spans="1:15">
      <c r="A3190" t="s">
        <v>17341</v>
      </c>
      <c r="B3190" s="2602" t="str">
        <f>'7D'!$CM$11</f>
        <v>STWDA019</v>
      </c>
      <c r="D3190" t="str">
        <f>_xlfn.CONCAT('7D'!$B$9, "-", '7D'!$B$11, "-", '7D'!$AC$7, "-", '7D'!$Y$6, "-", '7D'!$N$5)</f>
        <v>Load received at sewage treatment works-Load received by STWs in size band 2-No permit-Ammonia-Treatment works consents</v>
      </c>
      <c r="E3190" t="str">
        <f>'7D'!$C$11</f>
        <v>kg BOD5/day</v>
      </c>
      <c r="F3190" t="s">
        <v>17334</v>
      </c>
      <c r="G3190">
        <f>'7D'!$D$11</f>
        <v>0</v>
      </c>
      <c r="O3190" t="str">
        <f>_xlfn.CONCAT('7D'!$B$9, "-", '7D'!$B$11, "-", '7D'!$AC$7, "-", '7D'!$Y$6, "-", '7D'!$N$5)</f>
        <v>Load received at sewage treatment works-Load received by STWs in size band 2-No permit-Ammonia-Treatment works consents</v>
      </c>
    </row>
    <row r="3191" spans="1:15">
      <c r="A3191" t="s">
        <v>17341</v>
      </c>
      <c r="B3191" s="2602" t="str">
        <f>'7D'!$CN$11</f>
        <v>STWDA020</v>
      </c>
      <c r="D3191" t="str">
        <f>_xlfn.CONCAT('7D'!$B$9, "-", '7D'!$B$11, "-", '7D'!$AD$7, "-", '7D'!$Y$6, "-", '7D'!$N$5)</f>
        <v>Load received at sewage treatment works-Load received by STWs in size band 2-Total-Ammonia-Treatment works consents</v>
      </c>
      <c r="E3191" t="str">
        <f>'7D'!$C$11</f>
        <v>kg BOD5/day</v>
      </c>
      <c r="F3191" t="s">
        <v>17334</v>
      </c>
      <c r="G3191">
        <f>'7D'!$D$11</f>
        <v>0</v>
      </c>
      <c r="O3191" t="str">
        <f>_xlfn.CONCAT('7D'!$B$9, "-", '7D'!$B$11, "-", '7D'!$AD$7, "-", '7D'!$Y$6, "-", '7D'!$N$5)</f>
        <v>Load received at sewage treatment works-Load received by STWs in size band 2-Total-Ammonia-Treatment works consents</v>
      </c>
    </row>
    <row r="3192" spans="1:15">
      <c r="A3192" t="s">
        <v>17341</v>
      </c>
      <c r="B3192" s="2602" t="str">
        <f>'7D'!$BO$12</f>
        <v>STWD029</v>
      </c>
      <c r="D3192" t="str">
        <f>_xlfn.CONCAT('7D'!$B$9, "-", '7D'!$B$12, "-", '7D'!$E$6, "-", '7D'!$E$6, "-", '7D'!$E$5)</f>
        <v>Load received at sewage treatment works-Load received by STWs in size band 3-Primary-Primary-Treatment categories</v>
      </c>
      <c r="E3192" t="str">
        <f>'7D'!$C$12</f>
        <v>kg BOD5/day</v>
      </c>
      <c r="F3192" t="s">
        <v>17334</v>
      </c>
      <c r="G3192">
        <f>'7D'!$D$12</f>
        <v>0</v>
      </c>
      <c r="O3192" t="str">
        <f>_xlfn.CONCAT('7D'!$B$9, "-", '7D'!$B$12, "-", '7D'!$E$6, "-", '7D'!$E$6, "-", '7D'!$E$5)</f>
        <v>Load received at sewage treatment works-Load received by STWs in size band 3-Primary-Primary-Treatment categories</v>
      </c>
    </row>
    <row r="3193" spans="1:15">
      <c r="A3193" t="s">
        <v>17341</v>
      </c>
      <c r="B3193" s="2602" t="str">
        <f>'7D'!$BP$12</f>
        <v>STWD030</v>
      </c>
      <c r="D3193" t="str">
        <f>_xlfn.CONCAT('7D'!$B$9, "-", '7D'!$B$12, "-", '7D'!$F$7, "-", '7D'!$F$6, "-", '7D'!$E$5)</f>
        <v>Load received at sewage treatment works-Load received by STWs in size band 3-Activated Sludge-Secondary-Treatment categories</v>
      </c>
      <c r="E3193" t="str">
        <f>'7D'!$C$12</f>
        <v>kg BOD5/day</v>
      </c>
      <c r="F3193" t="s">
        <v>17334</v>
      </c>
      <c r="G3193">
        <f>'7D'!$D$12</f>
        <v>0</v>
      </c>
      <c r="O3193" t="str">
        <f>_xlfn.CONCAT('7D'!$B$9, "-", '7D'!$B$12, "-", '7D'!$F$7, "-", '7D'!$F$6, "-", '7D'!$E$5)</f>
        <v>Load received at sewage treatment works-Load received by STWs in size band 3-Activated Sludge-Secondary-Treatment categories</v>
      </c>
    </row>
    <row r="3194" spans="1:15">
      <c r="A3194" t="s">
        <v>17341</v>
      </c>
      <c r="B3194" s="2602" t="str">
        <f>'7D'!$BQ$12</f>
        <v>STWD031</v>
      </c>
      <c r="D3194" t="str">
        <f>_xlfn.CONCAT('7D'!$B$9, "-", '7D'!$B$12, "-", '7D'!$G$7, "-", '7D'!$F$6, "-", '7D'!$E$5)</f>
        <v>Load received at sewage treatment works-Load received by STWs in size band 3-Biological-Secondary-Treatment categories</v>
      </c>
      <c r="E3194" t="str">
        <f>'7D'!$C$12</f>
        <v>kg BOD5/day</v>
      </c>
      <c r="F3194" t="s">
        <v>17334</v>
      </c>
      <c r="G3194">
        <f>'7D'!$D$12</f>
        <v>0</v>
      </c>
      <c r="O3194" t="str">
        <f>_xlfn.CONCAT('7D'!$B$9, "-", '7D'!$B$12, "-", '7D'!$G$7, "-", '7D'!$F$6, "-", '7D'!$E$5)</f>
        <v>Load received at sewage treatment works-Load received by STWs in size band 3-Biological-Secondary-Treatment categories</v>
      </c>
    </row>
    <row r="3195" spans="1:15">
      <c r="A3195" t="s">
        <v>17341</v>
      </c>
      <c r="B3195" s="2602" t="str">
        <f>'7D'!$BR$12</f>
        <v>STWD032</v>
      </c>
      <c r="D3195" t="str">
        <f>_xlfn.CONCAT('7D'!$B$9, "-", '7D'!$B$12, "-", '7D'!$H$7, "-", '7D'!$H$6, "-", '7D'!$E$5)</f>
        <v>Load received at sewage treatment works-Load received by STWs in size band 3-A1-Tertiary-Treatment categories</v>
      </c>
      <c r="E3195" t="str">
        <f>'7D'!$C$12</f>
        <v>kg BOD5/day</v>
      </c>
      <c r="F3195" t="s">
        <v>17334</v>
      </c>
      <c r="G3195">
        <f>'7D'!$D$12</f>
        <v>0</v>
      </c>
      <c r="O3195" t="str">
        <f>_xlfn.CONCAT('7D'!$B$9, "-", '7D'!$B$12, "-", '7D'!$H$7, "-", '7D'!$H$6, "-", '7D'!$E$5)</f>
        <v>Load received at sewage treatment works-Load received by STWs in size band 3-A1-Tertiary-Treatment categories</v>
      </c>
    </row>
    <row r="3196" spans="1:15">
      <c r="A3196" t="s">
        <v>17341</v>
      </c>
      <c r="B3196" s="2602" t="str">
        <f>'7D'!$BS$12</f>
        <v>STWD033</v>
      </c>
      <c r="D3196" t="str">
        <f>_xlfn.CONCAT('7D'!$B$9, "-", '7D'!$B$12, "-", '7D'!$I$7, "-", '7D'!$H$6, "-", '7D'!$E$5)</f>
        <v>Load received at sewage treatment works-Load received by STWs in size band 3-A2-Tertiary-Treatment categories</v>
      </c>
      <c r="E3196" t="str">
        <f>'7D'!$C$12</f>
        <v>kg BOD5/day</v>
      </c>
      <c r="F3196" t="s">
        <v>17334</v>
      </c>
      <c r="G3196">
        <f>'7D'!$D$12</f>
        <v>0</v>
      </c>
      <c r="O3196" t="str">
        <f>_xlfn.CONCAT('7D'!$B$9, "-", '7D'!$B$12, "-", '7D'!$I$7, "-", '7D'!$H$6, "-", '7D'!$E$5)</f>
        <v>Load received at sewage treatment works-Load received by STWs in size band 3-A2-Tertiary-Treatment categories</v>
      </c>
    </row>
    <row r="3197" spans="1:15">
      <c r="A3197" t="s">
        <v>17341</v>
      </c>
      <c r="B3197" s="2602" t="str">
        <f>'7D'!$BT$12</f>
        <v>STWD034</v>
      </c>
      <c r="D3197" t="str">
        <f>_xlfn.CONCAT('7D'!$B$9, "-", '7D'!$B$12, "-", '7D'!$J$7, "-", '7D'!$H$6, "-", '7D'!$E$5)</f>
        <v>Load received at sewage treatment works-Load received by STWs in size band 3-B1-Tertiary-Treatment categories</v>
      </c>
      <c r="E3197" t="str">
        <f>'7D'!$C$12</f>
        <v>kg BOD5/day</v>
      </c>
      <c r="F3197" t="s">
        <v>17334</v>
      </c>
      <c r="G3197">
        <f>'7D'!$D$12</f>
        <v>0</v>
      </c>
      <c r="O3197" t="str">
        <f>_xlfn.CONCAT('7D'!$B$9, "-", '7D'!$B$12, "-", '7D'!$J$7, "-", '7D'!$H$6, "-", '7D'!$E$5)</f>
        <v>Load received at sewage treatment works-Load received by STWs in size band 3-B1-Tertiary-Treatment categories</v>
      </c>
    </row>
    <row r="3198" spans="1:15">
      <c r="A3198" t="s">
        <v>17341</v>
      </c>
      <c r="B3198" s="2602" t="str">
        <f>'7D'!$BU$12</f>
        <v>STWD035</v>
      </c>
      <c r="D3198" t="str">
        <f>_xlfn.CONCAT('7D'!$B$9, "-", '7D'!$B$12, "-", '7D'!$K$7, "-", '7D'!$H$6, "-", '7D'!$E$5)</f>
        <v>Load received at sewage treatment works-Load received by STWs in size band 3-B2-Tertiary-Treatment categories</v>
      </c>
      <c r="E3198" t="str">
        <f>'7D'!$C$12</f>
        <v>kg BOD5/day</v>
      </c>
      <c r="F3198" t="s">
        <v>17334</v>
      </c>
      <c r="G3198">
        <f>'7D'!$D$12</f>
        <v>0</v>
      </c>
      <c r="O3198" t="str">
        <f>_xlfn.CONCAT('7D'!$B$9, "-", '7D'!$B$12, "-", '7D'!$K$7, "-", '7D'!$H$6, "-", '7D'!$E$5)</f>
        <v>Load received at sewage treatment works-Load received by STWs in size band 3-B2-Tertiary-Treatment categories</v>
      </c>
    </row>
    <row r="3199" spans="1:15">
      <c r="A3199" t="s">
        <v>17341</v>
      </c>
      <c r="B3199" s="2602" t="str">
        <f>'7D'!$BV$12</f>
        <v>STWD040</v>
      </c>
      <c r="D3199" t="str">
        <f>_xlfn.CONCAT('7D'!$B$9, "-", '7D'!$B$12, "-", '7D'!$L$6, "-", '7D'!$L$6, "-", '7D'!$E$5)</f>
        <v>Load received at sewage treatment works-Load received by STWs in size band 3-Total-Total-Treatment categories</v>
      </c>
      <c r="E3199" t="str">
        <f>'7D'!$C$12</f>
        <v>kg BOD5/day</v>
      </c>
      <c r="F3199" t="s">
        <v>17334</v>
      </c>
      <c r="G3199">
        <f>'7D'!$D$12</f>
        <v>0</v>
      </c>
      <c r="O3199" t="str">
        <f>_xlfn.CONCAT('7D'!$B$9, "-", '7D'!$B$12, "-", '7D'!$L$6, "-", '7D'!$L$6, "-", '7D'!$E$5)</f>
        <v>Load received at sewage treatment works-Load received by STWs in size band 3-Total-Total-Treatment categories</v>
      </c>
    </row>
    <row r="3200" spans="1:15">
      <c r="A3200" t="s">
        <v>17341</v>
      </c>
      <c r="B3200" s="2602" t="str">
        <f>'7D'!$BX$12</f>
        <v>STWDP029</v>
      </c>
      <c r="D3200" t="str">
        <f>_xlfn.CONCAT('7D'!$B$9, "-", '7D'!$B$12, "-", '7D'!$N$7, "-", '7D'!$N$6, "-", '7D'!$N$5)</f>
        <v>Load received at sewage treatment works-Load received by STWs in size band 3-&lt;=0.5mg/l-Phosphorus-Treatment works consents</v>
      </c>
      <c r="E3200" t="str">
        <f>'7D'!$C$12</f>
        <v>kg BOD5/day</v>
      </c>
      <c r="F3200" t="s">
        <v>17334</v>
      </c>
      <c r="G3200">
        <f>'7D'!$D$12</f>
        <v>0</v>
      </c>
      <c r="O3200" t="str">
        <f>_xlfn.CONCAT('7D'!$B$9, "-", '7D'!$B$12, "-", '7D'!$N$7, "-", '7D'!$N$6, "-", '7D'!$N$5)</f>
        <v>Load received at sewage treatment works-Load received by STWs in size band 3-&lt;=0.5mg/l-Phosphorus-Treatment works consents</v>
      </c>
    </row>
    <row r="3201" spans="1:15">
      <c r="A3201" t="s">
        <v>17341</v>
      </c>
      <c r="B3201" s="2602" t="str">
        <f>'7D'!$BY$12</f>
        <v>STWDP030</v>
      </c>
      <c r="D3201" t="str">
        <f>_xlfn.CONCAT('7D'!$B$9, "-", '7D'!$B$12, "-", '7D'!$O$7, "-", '7D'!$N$6, "-", '7D'!$N$5)</f>
        <v>Load received at sewage treatment works-Load received by STWs in size band 3-&gt;0.5 to &lt;=1mg/l-Phosphorus-Treatment works consents</v>
      </c>
      <c r="E3201" t="str">
        <f>'7D'!$C$12</f>
        <v>kg BOD5/day</v>
      </c>
      <c r="F3201" t="s">
        <v>17334</v>
      </c>
      <c r="G3201">
        <f>'7D'!$D$12</f>
        <v>0</v>
      </c>
      <c r="O3201" t="str">
        <f>_xlfn.CONCAT('7D'!$B$9, "-", '7D'!$B$12, "-", '7D'!$O$7, "-", '7D'!$N$6, "-", '7D'!$N$5)</f>
        <v>Load received at sewage treatment works-Load received by STWs in size band 3-&gt;0.5 to &lt;=1mg/l-Phosphorus-Treatment works consents</v>
      </c>
    </row>
    <row r="3202" spans="1:15">
      <c r="A3202" t="s">
        <v>17341</v>
      </c>
      <c r="B3202" s="2602" t="str">
        <f>'7D'!$BZ$12</f>
        <v>STWDP031</v>
      </c>
      <c r="D3202" t="str">
        <f>_xlfn.CONCAT('7D'!$B$9, "-", '7D'!$B$12, "-", '7D'!$P$7, "-", '7D'!$N$6, "-", '7D'!$N$5)</f>
        <v>Load received at sewage treatment works-Load received by STWs in size band 3-&gt;1mg/l-Phosphorus-Treatment works consents</v>
      </c>
      <c r="E3202" t="str">
        <f>'7D'!$C$12</f>
        <v>kg BOD5/day</v>
      </c>
      <c r="F3202" t="s">
        <v>17334</v>
      </c>
      <c r="G3202">
        <f>'7D'!$D$12</f>
        <v>0</v>
      </c>
      <c r="O3202" t="str">
        <f>_xlfn.CONCAT('7D'!$B$9, "-", '7D'!$B$12, "-", '7D'!$P$7, "-", '7D'!$N$6, "-", '7D'!$N$5)</f>
        <v>Load received at sewage treatment works-Load received by STWs in size band 3-&gt;1mg/l-Phosphorus-Treatment works consents</v>
      </c>
    </row>
    <row r="3203" spans="1:15">
      <c r="A3203" t="s">
        <v>17341</v>
      </c>
      <c r="B3203" s="2602" t="str">
        <f>'7D'!$CA$12</f>
        <v>STWDP032</v>
      </c>
      <c r="D3203" t="str">
        <f>_xlfn.CONCAT('7D'!$B$9, "-", '7D'!$B$12, "-", '7D'!$Q$7, "-", '7D'!$N$6, "-", '7D'!$N$5)</f>
        <v>Load received at sewage treatment works-Load received by STWs in size band 3-No permit-Phosphorus-Treatment works consents</v>
      </c>
      <c r="E3203" t="str">
        <f>'7D'!$C$12</f>
        <v>kg BOD5/day</v>
      </c>
      <c r="F3203" t="s">
        <v>17334</v>
      </c>
      <c r="G3203">
        <f>'7D'!$D$12</f>
        <v>0</v>
      </c>
      <c r="O3203" t="str">
        <f>_xlfn.CONCAT('7D'!$B$9, "-", '7D'!$B$12, "-", '7D'!$Q$7, "-", '7D'!$N$6, "-", '7D'!$N$5)</f>
        <v>Load received at sewage treatment works-Load received by STWs in size band 3-No permit-Phosphorus-Treatment works consents</v>
      </c>
    </row>
    <row r="3204" spans="1:15">
      <c r="A3204" t="s">
        <v>17341</v>
      </c>
      <c r="B3204" s="2602" t="str">
        <f>'7D'!$CB$12</f>
        <v>STWDP033</v>
      </c>
      <c r="D3204" t="str">
        <f>_xlfn.CONCAT('7D'!$B$9, "-", '7D'!$B$12, "-", '7D'!$R$7, "-", '7D'!$N$6, "-", '7D'!$N$5)</f>
        <v>Load received at sewage treatment works-Load received by STWs in size band 3-Total-Phosphorus-Treatment works consents</v>
      </c>
      <c r="E3204" t="str">
        <f>'7D'!$C$12</f>
        <v>kg BOD5/day</v>
      </c>
      <c r="F3204" t="s">
        <v>17334</v>
      </c>
      <c r="G3204">
        <f>'7D'!$D$12</f>
        <v>0</v>
      </c>
      <c r="O3204" t="str">
        <f>_xlfn.CONCAT('7D'!$B$9, "-", '7D'!$B$12, "-", '7D'!$R$7, "-", '7D'!$N$6, "-", '7D'!$N$5)</f>
        <v>Load received at sewage treatment works-Load received by STWs in size band 3-Total-Phosphorus-Treatment works consents</v>
      </c>
    </row>
    <row r="3205" spans="1:15">
      <c r="A3205" t="s">
        <v>17341</v>
      </c>
      <c r="B3205" s="2602" t="str">
        <f>'7D'!$CC$12</f>
        <v>STWDB029</v>
      </c>
      <c r="D3205" t="str">
        <f>_xlfn.CONCAT('7D'!$B$9, "-", '7D'!$B$12, "-", '7D'!$S$7, "-", '7D'!$S$6, "-", '7D'!$N$5)</f>
        <v>Load received at sewage treatment works-Load received by STWs in size band 3-&lt;=7mg/l-BOD5-Treatment works consents</v>
      </c>
      <c r="E3205" t="str">
        <f>'7D'!$C$12</f>
        <v>kg BOD5/day</v>
      </c>
      <c r="F3205" t="s">
        <v>17334</v>
      </c>
      <c r="G3205">
        <f>'7D'!$D$12</f>
        <v>0</v>
      </c>
      <c r="O3205" t="str">
        <f>_xlfn.CONCAT('7D'!$B$9, "-", '7D'!$B$12, "-", '7D'!$S$7, "-", '7D'!$S$6, "-", '7D'!$N$5)</f>
        <v>Load received at sewage treatment works-Load received by STWs in size band 3-&lt;=7mg/l-BOD5-Treatment works consents</v>
      </c>
    </row>
    <row r="3206" spans="1:15">
      <c r="A3206" t="s">
        <v>17341</v>
      </c>
      <c r="B3206" s="2602" t="str">
        <f>'7D'!$CD$12</f>
        <v>STWDB030</v>
      </c>
      <c r="D3206" t="str">
        <f>_xlfn.CONCAT('7D'!$B$9, "-", '7D'!$B$12, "-", '7D'!$T$7, "-", '7D'!$S$6, "-", '7D'!$N$5)</f>
        <v>Load received at sewage treatment works-Load received by STWs in size band 3-&gt;7 to &lt;=10mg/l-BOD5-Treatment works consents</v>
      </c>
      <c r="E3206" t="str">
        <f>'7D'!$C$12</f>
        <v>kg BOD5/day</v>
      </c>
      <c r="F3206" t="s">
        <v>17334</v>
      </c>
      <c r="G3206">
        <f>'7D'!$D$12</f>
        <v>0</v>
      </c>
      <c r="O3206" t="str">
        <f>_xlfn.CONCAT('7D'!$B$9, "-", '7D'!$B$12, "-", '7D'!$T$7, "-", '7D'!$S$6, "-", '7D'!$N$5)</f>
        <v>Load received at sewage treatment works-Load received by STWs in size band 3-&gt;7 to &lt;=10mg/l-BOD5-Treatment works consents</v>
      </c>
    </row>
    <row r="3207" spans="1:15">
      <c r="A3207" t="s">
        <v>17341</v>
      </c>
      <c r="B3207" s="2602" t="str">
        <f>'7D'!$CE$12</f>
        <v>STWDB031</v>
      </c>
      <c r="D3207" t="str">
        <f>_xlfn.CONCAT('7D'!$B$9, "-", '7D'!$B$12, "-", '7D'!$U$7, "-", '7D'!$S$6, "-", '7D'!$N$5)</f>
        <v>Load received at sewage treatment works-Load received by STWs in size band 3-&gt;10 to &lt;=20mg/l-BOD5-Treatment works consents</v>
      </c>
      <c r="E3207" t="str">
        <f>'7D'!$C$12</f>
        <v>kg BOD5/day</v>
      </c>
      <c r="F3207" t="s">
        <v>17334</v>
      </c>
      <c r="G3207">
        <f>'7D'!$D$12</f>
        <v>0</v>
      </c>
      <c r="O3207" t="str">
        <f>_xlfn.CONCAT('7D'!$B$9, "-", '7D'!$B$12, "-", '7D'!$U$7, "-", '7D'!$S$6, "-", '7D'!$N$5)</f>
        <v>Load received at sewage treatment works-Load received by STWs in size band 3-&gt;10 to &lt;=20mg/l-BOD5-Treatment works consents</v>
      </c>
    </row>
    <row r="3208" spans="1:15">
      <c r="A3208" t="s">
        <v>17341</v>
      </c>
      <c r="B3208" s="2602" t="str">
        <f>'7D'!$CF$12</f>
        <v>STWDB032</v>
      </c>
      <c r="D3208" t="str">
        <f>_xlfn.CONCAT('7D'!$B$9, "-", '7D'!$B$12, "-", '7D'!$V$7, "-", '7D'!$S$6, "-", '7D'!$N$5)</f>
        <v>Load received at sewage treatment works-Load received by STWs in size band 3-&gt;20mg/l-BOD5-Treatment works consents</v>
      </c>
      <c r="E3208" t="str">
        <f>'7D'!$C$12</f>
        <v>kg BOD5/day</v>
      </c>
      <c r="F3208" t="s">
        <v>17334</v>
      </c>
      <c r="G3208">
        <f>'7D'!$D$12</f>
        <v>0</v>
      </c>
      <c r="O3208" t="str">
        <f>_xlfn.CONCAT('7D'!$B$9, "-", '7D'!$B$12, "-", '7D'!$V$7, "-", '7D'!$S$6, "-", '7D'!$N$5)</f>
        <v>Load received at sewage treatment works-Load received by STWs in size band 3-&gt;20mg/l-BOD5-Treatment works consents</v>
      </c>
    </row>
    <row r="3209" spans="1:15">
      <c r="A3209" t="s">
        <v>17341</v>
      </c>
      <c r="B3209" s="2602" t="str">
        <f>'7D'!$CG$12</f>
        <v>STWDB033</v>
      </c>
      <c r="D3209" t="str">
        <f>_xlfn.CONCAT('7D'!$B$9, "-", '7D'!$B$12, "-", '7D'!$W$7, "-", '7D'!$S$6, "-", '7D'!$N$5)</f>
        <v>Load received at sewage treatment works-Load received by STWs in size band 3-No permit-BOD5-Treatment works consents</v>
      </c>
      <c r="E3209" t="str">
        <f>'7D'!$C$12</f>
        <v>kg BOD5/day</v>
      </c>
      <c r="F3209" t="s">
        <v>17334</v>
      </c>
      <c r="G3209">
        <f>'7D'!$D$12</f>
        <v>0</v>
      </c>
      <c r="O3209" t="str">
        <f>_xlfn.CONCAT('7D'!$B$9, "-", '7D'!$B$12, "-", '7D'!$W$7, "-", '7D'!$S$6, "-", '7D'!$N$5)</f>
        <v>Load received at sewage treatment works-Load received by STWs in size band 3-No permit-BOD5-Treatment works consents</v>
      </c>
    </row>
    <row r="3210" spans="1:15">
      <c r="A3210" t="s">
        <v>17341</v>
      </c>
      <c r="B3210" s="2602" t="str">
        <f>'7D'!$CH$12</f>
        <v>STWDB034</v>
      </c>
      <c r="D3210" t="str">
        <f>_xlfn.CONCAT('7D'!$B$9, "-", '7D'!$B$12, "-", '7D'!$X$7, "-", '7D'!$S$6, "-", '7D'!$N$5)</f>
        <v>Load received at sewage treatment works-Load received by STWs in size band 3-Total-BOD5-Treatment works consents</v>
      </c>
      <c r="E3210" t="str">
        <f>'7D'!$C$12</f>
        <v>kg BOD5/day</v>
      </c>
      <c r="F3210" t="s">
        <v>17334</v>
      </c>
      <c r="G3210">
        <f>'7D'!$D$12</f>
        <v>0</v>
      </c>
      <c r="O3210" t="str">
        <f>_xlfn.CONCAT('7D'!$B$9, "-", '7D'!$B$12, "-", '7D'!$X$7, "-", '7D'!$S$6, "-", '7D'!$N$5)</f>
        <v>Load received at sewage treatment works-Load received by STWs in size band 3-Total-BOD5-Treatment works consents</v>
      </c>
    </row>
    <row r="3211" spans="1:15">
      <c r="A3211" t="s">
        <v>17341</v>
      </c>
      <c r="B3211" s="2602" t="str">
        <f>'7D'!$CI$12</f>
        <v>STWDA029</v>
      </c>
      <c r="D3211" t="str">
        <f>_xlfn.CONCAT('7D'!$B$9, "-", '7D'!$B$12, "-", '7D'!$Y$7, "-", '7D'!$Y$6, "-", '7D'!$N$5)</f>
        <v>Load received at sewage treatment works-Load received by STWs in size band 3-&lt;=1mg/l-Ammonia-Treatment works consents</v>
      </c>
      <c r="E3211" t="str">
        <f>'7D'!$C$12</f>
        <v>kg BOD5/day</v>
      </c>
      <c r="F3211" t="s">
        <v>17334</v>
      </c>
      <c r="G3211">
        <f>'7D'!$D$12</f>
        <v>0</v>
      </c>
      <c r="O3211" t="str">
        <f>_xlfn.CONCAT('7D'!$B$9, "-", '7D'!$B$12, "-", '7D'!$Y$7, "-", '7D'!$Y$6, "-", '7D'!$N$5)</f>
        <v>Load received at sewage treatment works-Load received by STWs in size band 3-&lt;=1mg/l-Ammonia-Treatment works consents</v>
      </c>
    </row>
    <row r="3212" spans="1:15">
      <c r="A3212" t="s">
        <v>17341</v>
      </c>
      <c r="B3212" s="2602" t="str">
        <f>'7D'!$CJ$12</f>
        <v>STWDA030</v>
      </c>
      <c r="D3212" t="str">
        <f>_xlfn.CONCAT('7D'!$B$9, "-", '7D'!$B$12, "-", '7D'!$Z$7, "-", '7D'!$Y$6, "-", '7D'!$N$5)</f>
        <v>Load received at sewage treatment works-Load received by STWs in size band 3-&gt;1 to &lt;=3mg/l-Ammonia-Treatment works consents</v>
      </c>
      <c r="E3212" t="str">
        <f>'7D'!$C$12</f>
        <v>kg BOD5/day</v>
      </c>
      <c r="F3212" t="s">
        <v>17334</v>
      </c>
      <c r="G3212">
        <f>'7D'!$D$12</f>
        <v>0</v>
      </c>
      <c r="O3212" t="str">
        <f>_xlfn.CONCAT('7D'!$B$9, "-", '7D'!$B$12, "-", '7D'!$Z$7, "-", '7D'!$Y$6, "-", '7D'!$N$5)</f>
        <v>Load received at sewage treatment works-Load received by STWs in size band 3-&gt;1 to &lt;=3mg/l-Ammonia-Treatment works consents</v>
      </c>
    </row>
    <row r="3213" spans="1:15">
      <c r="A3213" t="s">
        <v>17341</v>
      </c>
      <c r="B3213" s="2602" t="str">
        <f>'7D'!$CK$12</f>
        <v>STWDA031</v>
      </c>
      <c r="D3213" t="str">
        <f>_xlfn.CONCAT('7D'!$B$9, "-", '7D'!$B$12, "-", '7D'!$AA$7, "-", '7D'!$Y$6, "-", '7D'!$N$5)</f>
        <v>Load received at sewage treatment works-Load received by STWs in size band 3-&gt;3 to &lt;=10mg/l-Ammonia-Treatment works consents</v>
      </c>
      <c r="E3213" t="str">
        <f>'7D'!$C$12</f>
        <v>kg BOD5/day</v>
      </c>
      <c r="F3213" t="s">
        <v>17334</v>
      </c>
      <c r="G3213">
        <f>'7D'!$D$12</f>
        <v>0</v>
      </c>
      <c r="O3213" t="str">
        <f>_xlfn.CONCAT('7D'!$B$9, "-", '7D'!$B$12, "-", '7D'!$AA$7, "-", '7D'!$Y$6, "-", '7D'!$N$5)</f>
        <v>Load received at sewage treatment works-Load received by STWs in size band 3-&gt;3 to &lt;=10mg/l-Ammonia-Treatment works consents</v>
      </c>
    </row>
    <row r="3214" spans="1:15">
      <c r="A3214" t="s">
        <v>17341</v>
      </c>
      <c r="B3214" s="2602" t="str">
        <f>'7D'!$CL$12</f>
        <v>STWDA032</v>
      </c>
      <c r="D3214" t="str">
        <f>_xlfn.CONCAT('7D'!$B$9, "-", '7D'!$B$12, "-", '7D'!$AB$7, "-", '7D'!$Y$6, "-", '7D'!$N$5)</f>
        <v>Load received at sewage treatment works-Load received by STWs in size band 3-&gt;10mg/l-Ammonia-Treatment works consents</v>
      </c>
      <c r="E3214" t="str">
        <f>'7D'!$C$12</f>
        <v>kg BOD5/day</v>
      </c>
      <c r="F3214" t="s">
        <v>17334</v>
      </c>
      <c r="G3214">
        <f>'7D'!$D$12</f>
        <v>0</v>
      </c>
      <c r="O3214" t="str">
        <f>_xlfn.CONCAT('7D'!$B$9, "-", '7D'!$B$12, "-", '7D'!$AB$7, "-", '7D'!$Y$6, "-", '7D'!$N$5)</f>
        <v>Load received at sewage treatment works-Load received by STWs in size band 3-&gt;10mg/l-Ammonia-Treatment works consents</v>
      </c>
    </row>
    <row r="3215" spans="1:15">
      <c r="A3215" t="s">
        <v>17341</v>
      </c>
      <c r="B3215" s="2602" t="str">
        <f>'7D'!$CM$12</f>
        <v>STWDA033</v>
      </c>
      <c r="D3215" t="str">
        <f>_xlfn.CONCAT('7D'!$B$9, "-", '7D'!$B$12, "-", '7D'!$AC$7, "-", '7D'!$Y$6, "-", '7D'!$N$5)</f>
        <v>Load received at sewage treatment works-Load received by STWs in size band 3-No permit-Ammonia-Treatment works consents</v>
      </c>
      <c r="E3215" t="str">
        <f>'7D'!$C$12</f>
        <v>kg BOD5/day</v>
      </c>
      <c r="F3215" t="s">
        <v>17334</v>
      </c>
      <c r="G3215">
        <f>'7D'!$D$12</f>
        <v>0</v>
      </c>
      <c r="O3215" t="str">
        <f>_xlfn.CONCAT('7D'!$B$9, "-", '7D'!$B$12, "-", '7D'!$AC$7, "-", '7D'!$Y$6, "-", '7D'!$N$5)</f>
        <v>Load received at sewage treatment works-Load received by STWs in size band 3-No permit-Ammonia-Treatment works consents</v>
      </c>
    </row>
    <row r="3216" spans="1:15">
      <c r="A3216" t="s">
        <v>17341</v>
      </c>
      <c r="B3216" s="2602" t="str">
        <f>'7D'!$CN$12</f>
        <v>STWDA034</v>
      </c>
      <c r="D3216" t="str">
        <f>_xlfn.CONCAT('7D'!$B$9, "-", '7D'!$B$12, "-", '7D'!$AD$7, "-", '7D'!$Y$6, "-", '7D'!$N$5)</f>
        <v>Load received at sewage treatment works-Load received by STWs in size band 3-Total-Ammonia-Treatment works consents</v>
      </c>
      <c r="E3216" t="str">
        <f>'7D'!$C$12</f>
        <v>kg BOD5/day</v>
      </c>
      <c r="F3216" t="s">
        <v>17334</v>
      </c>
      <c r="G3216">
        <f>'7D'!$D$12</f>
        <v>0</v>
      </c>
      <c r="O3216" t="str">
        <f>_xlfn.CONCAT('7D'!$B$9, "-", '7D'!$B$12, "-", '7D'!$AD$7, "-", '7D'!$Y$6, "-", '7D'!$N$5)</f>
        <v>Load received at sewage treatment works-Load received by STWs in size band 3-Total-Ammonia-Treatment works consents</v>
      </c>
    </row>
    <row r="3217" spans="1:15">
      <c r="A3217" t="s">
        <v>17341</v>
      </c>
      <c r="B3217" s="2602" t="str">
        <f>'7D'!$BO$13</f>
        <v>STWD043</v>
      </c>
      <c r="D3217" t="str">
        <f>_xlfn.CONCAT('7D'!$B$9, "-", '7D'!$B$13, "-", '7D'!$E$6, "-", '7D'!$E$6, "-", '7D'!$E$5)</f>
        <v>Load received at sewage treatment works-Load received by STWs in size band 4-Primary-Primary-Treatment categories</v>
      </c>
      <c r="E3217" t="str">
        <f>'7D'!$C$13</f>
        <v>kg BOD5/day</v>
      </c>
      <c r="F3217" t="s">
        <v>17334</v>
      </c>
      <c r="G3217">
        <f>'7D'!$D$13</f>
        <v>0</v>
      </c>
      <c r="O3217" t="str">
        <f>_xlfn.CONCAT('7D'!$B$9, "-", '7D'!$B$13, "-", '7D'!$E$6, "-", '7D'!$E$6, "-", '7D'!$E$5)</f>
        <v>Load received at sewage treatment works-Load received by STWs in size band 4-Primary-Primary-Treatment categories</v>
      </c>
    </row>
    <row r="3218" spans="1:15">
      <c r="A3218" t="s">
        <v>17341</v>
      </c>
      <c r="B3218" s="2602" t="str">
        <f>'7D'!$BP$13</f>
        <v>STWD044</v>
      </c>
      <c r="D3218" t="str">
        <f>_xlfn.CONCAT('7D'!$B$9, "-", '7D'!$B$13, "-", '7D'!$F$7, "-", '7D'!$F$6, "-", '7D'!$E$5)</f>
        <v>Load received at sewage treatment works-Load received by STWs in size band 4-Activated Sludge-Secondary-Treatment categories</v>
      </c>
      <c r="E3218" t="str">
        <f>'7D'!$C$13</f>
        <v>kg BOD5/day</v>
      </c>
      <c r="F3218" t="s">
        <v>17334</v>
      </c>
      <c r="G3218">
        <f>'7D'!$D$13</f>
        <v>0</v>
      </c>
      <c r="O3218" t="str">
        <f>_xlfn.CONCAT('7D'!$B$9, "-", '7D'!$B$13, "-", '7D'!$F$7, "-", '7D'!$F$6, "-", '7D'!$E$5)</f>
        <v>Load received at sewage treatment works-Load received by STWs in size band 4-Activated Sludge-Secondary-Treatment categories</v>
      </c>
    </row>
    <row r="3219" spans="1:15">
      <c r="A3219" t="s">
        <v>17341</v>
      </c>
      <c r="B3219" s="2602" t="str">
        <f>'7D'!$BQ$13</f>
        <v>STWD045</v>
      </c>
      <c r="D3219" t="str">
        <f>_xlfn.CONCAT('7D'!$B$9, "-", '7D'!$B$13, "-", '7D'!$G$7, "-", '7D'!$F$6, "-", '7D'!$E$5)</f>
        <v>Load received at sewage treatment works-Load received by STWs in size band 4-Biological-Secondary-Treatment categories</v>
      </c>
      <c r="E3219" t="str">
        <f>'7D'!$C$13</f>
        <v>kg BOD5/day</v>
      </c>
      <c r="F3219" t="s">
        <v>17334</v>
      </c>
      <c r="G3219">
        <f>'7D'!$D$13</f>
        <v>0</v>
      </c>
      <c r="O3219" t="str">
        <f>_xlfn.CONCAT('7D'!$B$9, "-", '7D'!$B$13, "-", '7D'!$G$7, "-", '7D'!$F$6, "-", '7D'!$E$5)</f>
        <v>Load received at sewage treatment works-Load received by STWs in size band 4-Biological-Secondary-Treatment categories</v>
      </c>
    </row>
    <row r="3220" spans="1:15">
      <c r="A3220" t="s">
        <v>17341</v>
      </c>
      <c r="B3220" s="2602" t="str">
        <f>'7D'!$BR$13</f>
        <v>STWD046</v>
      </c>
      <c r="D3220" t="str">
        <f>_xlfn.CONCAT('7D'!$B$9, "-", '7D'!$B$13, "-", '7D'!$H$7, "-", '7D'!$H$6, "-", '7D'!$E$5)</f>
        <v>Load received at sewage treatment works-Load received by STWs in size band 4-A1-Tertiary-Treatment categories</v>
      </c>
      <c r="E3220" t="str">
        <f>'7D'!$C$13</f>
        <v>kg BOD5/day</v>
      </c>
      <c r="F3220" t="s">
        <v>17334</v>
      </c>
      <c r="G3220">
        <f>'7D'!$D$13</f>
        <v>0</v>
      </c>
      <c r="O3220" t="str">
        <f>_xlfn.CONCAT('7D'!$B$9, "-", '7D'!$B$13, "-", '7D'!$H$7, "-", '7D'!$H$6, "-", '7D'!$E$5)</f>
        <v>Load received at sewage treatment works-Load received by STWs in size band 4-A1-Tertiary-Treatment categories</v>
      </c>
    </row>
    <row r="3221" spans="1:15">
      <c r="A3221" t="s">
        <v>17341</v>
      </c>
      <c r="B3221" s="2602" t="str">
        <f>'7D'!$BS$13</f>
        <v>STWD047</v>
      </c>
      <c r="D3221" t="str">
        <f>_xlfn.CONCAT('7D'!$B$9, "-", '7D'!$B$13, "-", '7D'!$I$7, "-", '7D'!$H$6, "-", '7D'!$E$5)</f>
        <v>Load received at sewage treatment works-Load received by STWs in size band 4-A2-Tertiary-Treatment categories</v>
      </c>
      <c r="E3221" t="str">
        <f>'7D'!$C$13</f>
        <v>kg BOD5/day</v>
      </c>
      <c r="F3221" t="s">
        <v>17334</v>
      </c>
      <c r="G3221">
        <f>'7D'!$D$13</f>
        <v>0</v>
      </c>
      <c r="O3221" t="str">
        <f>_xlfn.CONCAT('7D'!$B$9, "-", '7D'!$B$13, "-", '7D'!$I$7, "-", '7D'!$H$6, "-", '7D'!$E$5)</f>
        <v>Load received at sewage treatment works-Load received by STWs in size band 4-A2-Tertiary-Treatment categories</v>
      </c>
    </row>
    <row r="3222" spans="1:15">
      <c r="A3222" t="s">
        <v>17341</v>
      </c>
      <c r="B3222" s="2602" t="str">
        <f>'7D'!$BT$13</f>
        <v>STWD048</v>
      </c>
      <c r="D3222" t="str">
        <f>_xlfn.CONCAT('7D'!$B$9, "-", '7D'!$B$13, "-", '7D'!$J$7, "-", '7D'!$H$6, "-", '7D'!$E$5)</f>
        <v>Load received at sewage treatment works-Load received by STWs in size band 4-B1-Tertiary-Treatment categories</v>
      </c>
      <c r="E3222" t="str">
        <f>'7D'!$C$13</f>
        <v>kg BOD5/day</v>
      </c>
      <c r="F3222" t="s">
        <v>17334</v>
      </c>
      <c r="G3222">
        <f>'7D'!$D$13</f>
        <v>0</v>
      </c>
      <c r="O3222" t="str">
        <f>_xlfn.CONCAT('7D'!$B$9, "-", '7D'!$B$13, "-", '7D'!$J$7, "-", '7D'!$H$6, "-", '7D'!$E$5)</f>
        <v>Load received at sewage treatment works-Load received by STWs in size band 4-B1-Tertiary-Treatment categories</v>
      </c>
    </row>
    <row r="3223" spans="1:15">
      <c r="A3223" t="s">
        <v>17341</v>
      </c>
      <c r="B3223" s="2602" t="str">
        <f>'7D'!$BU$13</f>
        <v>STWD049</v>
      </c>
      <c r="D3223" t="str">
        <f>_xlfn.CONCAT('7D'!$B$9, "-", '7D'!$B$13, "-", '7D'!$K$7, "-", '7D'!$H$6, "-", '7D'!$E$5)</f>
        <v>Load received at sewage treatment works-Load received by STWs in size band 4-B2-Tertiary-Treatment categories</v>
      </c>
      <c r="E3223" t="str">
        <f>'7D'!$C$13</f>
        <v>kg BOD5/day</v>
      </c>
      <c r="F3223" t="s">
        <v>17334</v>
      </c>
      <c r="G3223">
        <f>'7D'!$D$13</f>
        <v>0</v>
      </c>
      <c r="O3223" t="str">
        <f>_xlfn.CONCAT('7D'!$B$9, "-", '7D'!$B$13, "-", '7D'!$K$7, "-", '7D'!$H$6, "-", '7D'!$E$5)</f>
        <v>Load received at sewage treatment works-Load received by STWs in size band 4-B2-Tertiary-Treatment categories</v>
      </c>
    </row>
    <row r="3224" spans="1:15">
      <c r="A3224" t="s">
        <v>17341</v>
      </c>
      <c r="B3224" s="2602" t="str">
        <f>'7D'!$BV$13</f>
        <v>STWD054</v>
      </c>
      <c r="D3224" t="str">
        <f>_xlfn.CONCAT('7D'!$B$9, "-", '7D'!$B$13, "-", '7D'!$L$6, "-", '7D'!$L$6, "-", '7D'!$E$5)</f>
        <v>Load received at sewage treatment works-Load received by STWs in size band 4-Total-Total-Treatment categories</v>
      </c>
      <c r="E3224" t="str">
        <f>'7D'!$C$13</f>
        <v>kg BOD5/day</v>
      </c>
      <c r="F3224" t="s">
        <v>17334</v>
      </c>
      <c r="G3224">
        <f>'7D'!$D$13</f>
        <v>0</v>
      </c>
      <c r="O3224" t="str">
        <f>_xlfn.CONCAT('7D'!$B$9, "-", '7D'!$B$13, "-", '7D'!$L$6, "-", '7D'!$L$6, "-", '7D'!$E$5)</f>
        <v>Load received at sewage treatment works-Load received by STWs in size band 4-Total-Total-Treatment categories</v>
      </c>
    </row>
    <row r="3225" spans="1:15">
      <c r="A3225" t="s">
        <v>17341</v>
      </c>
      <c r="B3225" s="2602" t="str">
        <f>'7D'!$BX$13</f>
        <v>STWDP043</v>
      </c>
      <c r="D3225" t="str">
        <f>_xlfn.CONCAT('7D'!$B$9, "-", '7D'!$B$13, "-", '7D'!$N$7, "-", '7D'!$N$6, "-", '7D'!$N$5)</f>
        <v>Load received at sewage treatment works-Load received by STWs in size band 4-&lt;=0.5mg/l-Phosphorus-Treatment works consents</v>
      </c>
      <c r="E3225" t="str">
        <f>'7D'!$C$13</f>
        <v>kg BOD5/day</v>
      </c>
      <c r="F3225" t="s">
        <v>17334</v>
      </c>
      <c r="G3225">
        <f>'7D'!$D$13</f>
        <v>0</v>
      </c>
      <c r="O3225" t="str">
        <f>_xlfn.CONCAT('7D'!$B$9, "-", '7D'!$B$13, "-", '7D'!$N$7, "-", '7D'!$N$6, "-", '7D'!$N$5)</f>
        <v>Load received at sewage treatment works-Load received by STWs in size band 4-&lt;=0.5mg/l-Phosphorus-Treatment works consents</v>
      </c>
    </row>
    <row r="3226" spans="1:15">
      <c r="A3226" t="s">
        <v>17341</v>
      </c>
      <c r="B3226" s="2602" t="str">
        <f>'7D'!$BY$13</f>
        <v>STWDP044</v>
      </c>
      <c r="D3226" t="str">
        <f>_xlfn.CONCAT('7D'!$B$9, "-", '7D'!$B$13, "-", '7D'!$O$7, "-", '7D'!$N$6, "-", '7D'!$N$5)</f>
        <v>Load received at sewage treatment works-Load received by STWs in size band 4-&gt;0.5 to &lt;=1mg/l-Phosphorus-Treatment works consents</v>
      </c>
      <c r="E3226" t="str">
        <f>'7D'!$C$13</f>
        <v>kg BOD5/day</v>
      </c>
      <c r="F3226" t="s">
        <v>17334</v>
      </c>
      <c r="G3226">
        <f>'7D'!$D$13</f>
        <v>0</v>
      </c>
      <c r="O3226" t="str">
        <f>_xlfn.CONCAT('7D'!$B$9, "-", '7D'!$B$13, "-", '7D'!$O$7, "-", '7D'!$N$6, "-", '7D'!$N$5)</f>
        <v>Load received at sewage treatment works-Load received by STWs in size band 4-&gt;0.5 to &lt;=1mg/l-Phosphorus-Treatment works consents</v>
      </c>
    </row>
    <row r="3227" spans="1:15">
      <c r="A3227" t="s">
        <v>17341</v>
      </c>
      <c r="B3227" s="2602" t="str">
        <f>'7D'!$BZ$13</f>
        <v>STWDP045</v>
      </c>
      <c r="D3227" t="str">
        <f>_xlfn.CONCAT('7D'!$B$9, "-", '7D'!$B$13, "-", '7D'!$P$7, "-", '7D'!$N$6, "-", '7D'!$N$5)</f>
        <v>Load received at sewage treatment works-Load received by STWs in size band 4-&gt;1mg/l-Phosphorus-Treatment works consents</v>
      </c>
      <c r="E3227" t="str">
        <f>'7D'!$C$13</f>
        <v>kg BOD5/day</v>
      </c>
      <c r="F3227" t="s">
        <v>17334</v>
      </c>
      <c r="G3227">
        <f>'7D'!$D$13</f>
        <v>0</v>
      </c>
      <c r="O3227" t="str">
        <f>_xlfn.CONCAT('7D'!$B$9, "-", '7D'!$B$13, "-", '7D'!$P$7, "-", '7D'!$N$6, "-", '7D'!$N$5)</f>
        <v>Load received at sewage treatment works-Load received by STWs in size band 4-&gt;1mg/l-Phosphorus-Treatment works consents</v>
      </c>
    </row>
    <row r="3228" spans="1:15">
      <c r="A3228" t="s">
        <v>17341</v>
      </c>
      <c r="B3228" s="2602" t="str">
        <f>'7D'!$CA$13</f>
        <v>STWDP046</v>
      </c>
      <c r="D3228" t="str">
        <f>_xlfn.CONCAT('7D'!$B$9, "-", '7D'!$B$13, "-", '7D'!$Q$7, "-", '7D'!$N$6, "-", '7D'!$N$5)</f>
        <v>Load received at sewage treatment works-Load received by STWs in size band 4-No permit-Phosphorus-Treatment works consents</v>
      </c>
      <c r="E3228" t="str">
        <f>'7D'!$C$13</f>
        <v>kg BOD5/day</v>
      </c>
      <c r="F3228" t="s">
        <v>17334</v>
      </c>
      <c r="G3228">
        <f>'7D'!$D$13</f>
        <v>0</v>
      </c>
      <c r="O3228" t="str">
        <f>_xlfn.CONCAT('7D'!$B$9, "-", '7D'!$B$13, "-", '7D'!$Q$7, "-", '7D'!$N$6, "-", '7D'!$N$5)</f>
        <v>Load received at sewage treatment works-Load received by STWs in size band 4-No permit-Phosphorus-Treatment works consents</v>
      </c>
    </row>
    <row r="3229" spans="1:15">
      <c r="A3229" t="s">
        <v>17341</v>
      </c>
      <c r="B3229" s="2602" t="str">
        <f>'7D'!$CB$13</f>
        <v>STWDP047</v>
      </c>
      <c r="D3229" t="str">
        <f>_xlfn.CONCAT('7D'!$B$9, "-", '7D'!$B$13, "-", '7D'!$R$7, "-", '7D'!$N$6, "-", '7D'!$N$5)</f>
        <v>Load received at sewage treatment works-Load received by STWs in size band 4-Total-Phosphorus-Treatment works consents</v>
      </c>
      <c r="E3229" t="str">
        <f>'7D'!$C$13</f>
        <v>kg BOD5/day</v>
      </c>
      <c r="F3229" t="s">
        <v>17334</v>
      </c>
      <c r="G3229">
        <f>'7D'!$D$13</f>
        <v>0</v>
      </c>
      <c r="O3229" t="str">
        <f>_xlfn.CONCAT('7D'!$B$9, "-", '7D'!$B$13, "-", '7D'!$R$7, "-", '7D'!$N$6, "-", '7D'!$N$5)</f>
        <v>Load received at sewage treatment works-Load received by STWs in size band 4-Total-Phosphorus-Treatment works consents</v>
      </c>
    </row>
    <row r="3230" spans="1:15">
      <c r="A3230" t="s">
        <v>17341</v>
      </c>
      <c r="B3230" s="2602" t="str">
        <f>'7D'!$CC$13</f>
        <v>STWDB043</v>
      </c>
      <c r="D3230" t="str">
        <f>_xlfn.CONCAT('7D'!$B$9, "-", '7D'!$B$13, "-", '7D'!$S$7, "-", '7D'!$S$6, "-", '7D'!$N$5)</f>
        <v>Load received at sewage treatment works-Load received by STWs in size band 4-&lt;=7mg/l-BOD5-Treatment works consents</v>
      </c>
      <c r="E3230" t="str">
        <f>'7D'!$C$13</f>
        <v>kg BOD5/day</v>
      </c>
      <c r="F3230" t="s">
        <v>17334</v>
      </c>
      <c r="G3230">
        <f>'7D'!$D$13</f>
        <v>0</v>
      </c>
      <c r="O3230" t="str">
        <f>_xlfn.CONCAT('7D'!$B$9, "-", '7D'!$B$13, "-", '7D'!$S$7, "-", '7D'!$S$6, "-", '7D'!$N$5)</f>
        <v>Load received at sewage treatment works-Load received by STWs in size band 4-&lt;=7mg/l-BOD5-Treatment works consents</v>
      </c>
    </row>
    <row r="3231" spans="1:15">
      <c r="A3231" t="s">
        <v>17341</v>
      </c>
      <c r="B3231" s="2602" t="str">
        <f>'7D'!$CD$13</f>
        <v>STWDB044</v>
      </c>
      <c r="D3231" t="str">
        <f>_xlfn.CONCAT('7D'!$B$9, "-", '7D'!$B$13, "-", '7D'!$T$7, "-", '7D'!$S$6, "-", '7D'!$N$5)</f>
        <v>Load received at sewage treatment works-Load received by STWs in size band 4-&gt;7 to &lt;=10mg/l-BOD5-Treatment works consents</v>
      </c>
      <c r="E3231" t="str">
        <f>'7D'!$C$13</f>
        <v>kg BOD5/day</v>
      </c>
      <c r="F3231" t="s">
        <v>17334</v>
      </c>
      <c r="G3231">
        <f>'7D'!$D$13</f>
        <v>0</v>
      </c>
      <c r="O3231" t="str">
        <f>_xlfn.CONCAT('7D'!$B$9, "-", '7D'!$B$13, "-", '7D'!$T$7, "-", '7D'!$S$6, "-", '7D'!$N$5)</f>
        <v>Load received at sewage treatment works-Load received by STWs in size band 4-&gt;7 to &lt;=10mg/l-BOD5-Treatment works consents</v>
      </c>
    </row>
    <row r="3232" spans="1:15">
      <c r="A3232" t="s">
        <v>17341</v>
      </c>
      <c r="B3232" s="2602" t="str">
        <f>'7D'!$CE$13</f>
        <v>STWDB045</v>
      </c>
      <c r="D3232" t="str">
        <f>_xlfn.CONCAT('7D'!$B$9, "-", '7D'!$B$13, "-", '7D'!$U$7, "-", '7D'!$S$6, "-", '7D'!$N$5)</f>
        <v>Load received at sewage treatment works-Load received by STWs in size band 4-&gt;10 to &lt;=20mg/l-BOD5-Treatment works consents</v>
      </c>
      <c r="E3232" t="str">
        <f>'7D'!$C$13</f>
        <v>kg BOD5/day</v>
      </c>
      <c r="F3232" t="s">
        <v>17334</v>
      </c>
      <c r="G3232">
        <f>'7D'!$D$13</f>
        <v>0</v>
      </c>
      <c r="O3232" t="str">
        <f>_xlfn.CONCAT('7D'!$B$9, "-", '7D'!$B$13, "-", '7D'!$U$7, "-", '7D'!$S$6, "-", '7D'!$N$5)</f>
        <v>Load received at sewage treatment works-Load received by STWs in size band 4-&gt;10 to &lt;=20mg/l-BOD5-Treatment works consents</v>
      </c>
    </row>
    <row r="3233" spans="1:15">
      <c r="A3233" t="s">
        <v>17341</v>
      </c>
      <c r="B3233" s="2602" t="str">
        <f>'7D'!$CF$13</f>
        <v>STWDB046</v>
      </c>
      <c r="D3233" t="str">
        <f>_xlfn.CONCAT('7D'!$B$9, "-", '7D'!$B$13, "-", '7D'!$V$7, "-", '7D'!$S$6, "-", '7D'!$N$5)</f>
        <v>Load received at sewage treatment works-Load received by STWs in size band 4-&gt;20mg/l-BOD5-Treatment works consents</v>
      </c>
      <c r="E3233" t="str">
        <f>'7D'!$C$13</f>
        <v>kg BOD5/day</v>
      </c>
      <c r="F3233" t="s">
        <v>17334</v>
      </c>
      <c r="G3233">
        <f>'7D'!$D$13</f>
        <v>0</v>
      </c>
      <c r="O3233" t="str">
        <f>_xlfn.CONCAT('7D'!$B$9, "-", '7D'!$B$13, "-", '7D'!$V$7, "-", '7D'!$S$6, "-", '7D'!$N$5)</f>
        <v>Load received at sewage treatment works-Load received by STWs in size band 4-&gt;20mg/l-BOD5-Treatment works consents</v>
      </c>
    </row>
    <row r="3234" spans="1:15">
      <c r="A3234" t="s">
        <v>17341</v>
      </c>
      <c r="B3234" s="2602" t="str">
        <f>'7D'!$CG$13</f>
        <v>STWDB047</v>
      </c>
      <c r="D3234" t="str">
        <f>_xlfn.CONCAT('7D'!$B$9, "-", '7D'!$B$13, "-", '7D'!$W$7, "-", '7D'!$S$6, "-", '7D'!$N$5)</f>
        <v>Load received at sewage treatment works-Load received by STWs in size band 4-No permit-BOD5-Treatment works consents</v>
      </c>
      <c r="E3234" t="str">
        <f>'7D'!$C$13</f>
        <v>kg BOD5/day</v>
      </c>
      <c r="F3234" t="s">
        <v>17334</v>
      </c>
      <c r="G3234">
        <f>'7D'!$D$13</f>
        <v>0</v>
      </c>
      <c r="O3234" t="str">
        <f>_xlfn.CONCAT('7D'!$B$9, "-", '7D'!$B$13, "-", '7D'!$W$7, "-", '7D'!$S$6, "-", '7D'!$N$5)</f>
        <v>Load received at sewage treatment works-Load received by STWs in size band 4-No permit-BOD5-Treatment works consents</v>
      </c>
    </row>
    <row r="3235" spans="1:15">
      <c r="A3235" t="s">
        <v>17341</v>
      </c>
      <c r="B3235" s="2602" t="str">
        <f>'7D'!$CH$13</f>
        <v>STWDB048</v>
      </c>
      <c r="D3235" t="str">
        <f>_xlfn.CONCAT('7D'!$B$9, "-", '7D'!$B$13, "-", '7D'!$X$7, "-", '7D'!$S$6, "-", '7D'!$N$5)</f>
        <v>Load received at sewage treatment works-Load received by STWs in size band 4-Total-BOD5-Treatment works consents</v>
      </c>
      <c r="E3235" t="str">
        <f>'7D'!$C$13</f>
        <v>kg BOD5/day</v>
      </c>
      <c r="F3235" t="s">
        <v>17334</v>
      </c>
      <c r="G3235">
        <f>'7D'!$D$13</f>
        <v>0</v>
      </c>
      <c r="O3235" t="str">
        <f>_xlfn.CONCAT('7D'!$B$9, "-", '7D'!$B$13, "-", '7D'!$X$7, "-", '7D'!$S$6, "-", '7D'!$N$5)</f>
        <v>Load received at sewage treatment works-Load received by STWs in size band 4-Total-BOD5-Treatment works consents</v>
      </c>
    </row>
    <row r="3236" spans="1:15">
      <c r="A3236" t="s">
        <v>17341</v>
      </c>
      <c r="B3236" s="2602" t="str">
        <f>'7D'!$CI$13</f>
        <v>STWDA043</v>
      </c>
      <c r="D3236" t="str">
        <f>_xlfn.CONCAT('7D'!$B$9, "-", '7D'!$B$13, "-", '7D'!$Y$7, "-", '7D'!$Y$6, "-", '7D'!$N$5)</f>
        <v>Load received at sewage treatment works-Load received by STWs in size band 4-&lt;=1mg/l-Ammonia-Treatment works consents</v>
      </c>
      <c r="E3236" t="str">
        <f>'7D'!$C$13</f>
        <v>kg BOD5/day</v>
      </c>
      <c r="F3236" t="s">
        <v>17334</v>
      </c>
      <c r="G3236">
        <f>'7D'!$D$13</f>
        <v>0</v>
      </c>
      <c r="O3236" t="str">
        <f>_xlfn.CONCAT('7D'!$B$9, "-", '7D'!$B$13, "-", '7D'!$Y$7, "-", '7D'!$Y$6, "-", '7D'!$N$5)</f>
        <v>Load received at sewage treatment works-Load received by STWs in size band 4-&lt;=1mg/l-Ammonia-Treatment works consents</v>
      </c>
    </row>
    <row r="3237" spans="1:15">
      <c r="A3237" t="s">
        <v>17341</v>
      </c>
      <c r="B3237" s="2602" t="str">
        <f>'7D'!$CJ$13</f>
        <v>STWDA044</v>
      </c>
      <c r="D3237" t="str">
        <f>_xlfn.CONCAT('7D'!$B$9, "-", '7D'!$B$13, "-", '7D'!$Z$7, "-", '7D'!$Y$6, "-", '7D'!$N$5)</f>
        <v>Load received at sewage treatment works-Load received by STWs in size band 4-&gt;1 to &lt;=3mg/l-Ammonia-Treatment works consents</v>
      </c>
      <c r="E3237" t="str">
        <f>'7D'!$C$13</f>
        <v>kg BOD5/day</v>
      </c>
      <c r="F3237" t="s">
        <v>17334</v>
      </c>
      <c r="G3237">
        <f>'7D'!$D$13</f>
        <v>0</v>
      </c>
      <c r="O3237" t="str">
        <f>_xlfn.CONCAT('7D'!$B$9, "-", '7D'!$B$13, "-", '7D'!$Z$7, "-", '7D'!$Y$6, "-", '7D'!$N$5)</f>
        <v>Load received at sewage treatment works-Load received by STWs in size band 4-&gt;1 to &lt;=3mg/l-Ammonia-Treatment works consents</v>
      </c>
    </row>
    <row r="3238" spans="1:15">
      <c r="A3238" t="s">
        <v>17341</v>
      </c>
      <c r="B3238" s="2602" t="str">
        <f>'7D'!$CK$13</f>
        <v>STWDA045</v>
      </c>
      <c r="D3238" t="str">
        <f>_xlfn.CONCAT('7D'!$B$9, "-", '7D'!$B$13, "-", '7D'!$AA$7, "-", '7D'!$Y$6, "-", '7D'!$N$5)</f>
        <v>Load received at sewage treatment works-Load received by STWs in size band 4-&gt;3 to &lt;=10mg/l-Ammonia-Treatment works consents</v>
      </c>
      <c r="E3238" t="str">
        <f>'7D'!$C$13</f>
        <v>kg BOD5/day</v>
      </c>
      <c r="F3238" t="s">
        <v>17334</v>
      </c>
      <c r="G3238">
        <f>'7D'!$D$13</f>
        <v>0</v>
      </c>
      <c r="O3238" t="str">
        <f>_xlfn.CONCAT('7D'!$B$9, "-", '7D'!$B$13, "-", '7D'!$AA$7, "-", '7D'!$Y$6, "-", '7D'!$N$5)</f>
        <v>Load received at sewage treatment works-Load received by STWs in size band 4-&gt;3 to &lt;=10mg/l-Ammonia-Treatment works consents</v>
      </c>
    </row>
    <row r="3239" spans="1:15">
      <c r="A3239" t="s">
        <v>17341</v>
      </c>
      <c r="B3239" s="2602" t="str">
        <f>'7D'!$CL$13</f>
        <v>STWDA046</v>
      </c>
      <c r="D3239" t="str">
        <f>_xlfn.CONCAT('7D'!$B$9, "-", '7D'!$B$13, "-", '7D'!$AB$7, "-", '7D'!$Y$6, "-", '7D'!$N$5)</f>
        <v>Load received at sewage treatment works-Load received by STWs in size band 4-&gt;10mg/l-Ammonia-Treatment works consents</v>
      </c>
      <c r="E3239" t="str">
        <f>'7D'!$C$13</f>
        <v>kg BOD5/day</v>
      </c>
      <c r="F3239" t="s">
        <v>17334</v>
      </c>
      <c r="G3239">
        <f>'7D'!$D$13</f>
        <v>0</v>
      </c>
      <c r="O3239" t="str">
        <f>_xlfn.CONCAT('7D'!$B$9, "-", '7D'!$B$13, "-", '7D'!$AB$7, "-", '7D'!$Y$6, "-", '7D'!$N$5)</f>
        <v>Load received at sewage treatment works-Load received by STWs in size band 4-&gt;10mg/l-Ammonia-Treatment works consents</v>
      </c>
    </row>
    <row r="3240" spans="1:15">
      <c r="A3240" t="s">
        <v>17341</v>
      </c>
      <c r="B3240" s="2602" t="str">
        <f>'7D'!$CM$13</f>
        <v>STWDA047</v>
      </c>
      <c r="D3240" t="str">
        <f>_xlfn.CONCAT('7D'!$B$9, "-", '7D'!$B$13, "-", '7D'!$AC$7, "-", '7D'!$Y$6, "-", '7D'!$N$5)</f>
        <v>Load received at sewage treatment works-Load received by STWs in size band 4-No permit-Ammonia-Treatment works consents</v>
      </c>
      <c r="E3240" t="str">
        <f>'7D'!$C$13</f>
        <v>kg BOD5/day</v>
      </c>
      <c r="F3240" t="s">
        <v>17334</v>
      </c>
      <c r="G3240">
        <f>'7D'!$D$13</f>
        <v>0</v>
      </c>
      <c r="O3240" t="str">
        <f>_xlfn.CONCAT('7D'!$B$9, "-", '7D'!$B$13, "-", '7D'!$AC$7, "-", '7D'!$Y$6, "-", '7D'!$N$5)</f>
        <v>Load received at sewage treatment works-Load received by STWs in size band 4-No permit-Ammonia-Treatment works consents</v>
      </c>
    </row>
    <row r="3241" spans="1:15">
      <c r="A3241" t="s">
        <v>17341</v>
      </c>
      <c r="B3241" s="2602" t="str">
        <f>'7D'!$CN$13</f>
        <v>STWDA048</v>
      </c>
      <c r="D3241" t="str">
        <f>_xlfn.CONCAT('7D'!$B$9, "-", '7D'!$B$13, "-", '7D'!$AD$7, "-", '7D'!$Y$6, "-", '7D'!$N$5)</f>
        <v>Load received at sewage treatment works-Load received by STWs in size band 4-Total-Ammonia-Treatment works consents</v>
      </c>
      <c r="E3241" t="str">
        <f>'7D'!$C$13</f>
        <v>kg BOD5/day</v>
      </c>
      <c r="F3241" t="s">
        <v>17334</v>
      </c>
      <c r="G3241">
        <f>'7D'!$D$13</f>
        <v>0</v>
      </c>
      <c r="O3241" t="str">
        <f>_xlfn.CONCAT('7D'!$B$9, "-", '7D'!$B$13, "-", '7D'!$AD$7, "-", '7D'!$Y$6, "-", '7D'!$N$5)</f>
        <v>Load received at sewage treatment works-Load received by STWs in size band 4-Total-Ammonia-Treatment works consents</v>
      </c>
    </row>
    <row r="3242" spans="1:15">
      <c r="A3242" t="s">
        <v>17341</v>
      </c>
      <c r="B3242" s="2602" t="str">
        <f>'7D'!$BO$14</f>
        <v>STWD057</v>
      </c>
      <c r="D3242" t="str">
        <f>_xlfn.CONCAT('7D'!$B$9, "-", '7D'!$B$14, "-", '7D'!$E$6, "-", '7D'!$E$6, "-", '7D'!$E$5)</f>
        <v>Load received at sewage treatment works-Load received by STWs in size band 5-Primary-Primary-Treatment categories</v>
      </c>
      <c r="E3242" t="str">
        <f>'7D'!$C$14</f>
        <v>kg BOD5/day</v>
      </c>
      <c r="F3242" t="s">
        <v>17334</v>
      </c>
      <c r="G3242">
        <f>'7D'!$D$14</f>
        <v>0</v>
      </c>
      <c r="O3242" t="str">
        <f>_xlfn.CONCAT('7D'!$B$9, "-", '7D'!$B$14, "-", '7D'!$E$6, "-", '7D'!$E$6, "-", '7D'!$E$5)</f>
        <v>Load received at sewage treatment works-Load received by STWs in size band 5-Primary-Primary-Treatment categories</v>
      </c>
    </row>
    <row r="3243" spans="1:15">
      <c r="A3243" t="s">
        <v>17341</v>
      </c>
      <c r="B3243" s="2602" t="str">
        <f>'7D'!$BP$14</f>
        <v>STWD058</v>
      </c>
      <c r="D3243" t="str">
        <f>_xlfn.CONCAT('7D'!$B$9, "-", '7D'!$B$14, "-", '7D'!$F$7, "-", '7D'!$F$6, "-", '7D'!$E$5)</f>
        <v>Load received at sewage treatment works-Load received by STWs in size band 5-Activated Sludge-Secondary-Treatment categories</v>
      </c>
      <c r="E3243" t="str">
        <f>'7D'!$C$14</f>
        <v>kg BOD5/day</v>
      </c>
      <c r="F3243" t="s">
        <v>17334</v>
      </c>
      <c r="G3243">
        <f>'7D'!$D$14</f>
        <v>0</v>
      </c>
      <c r="O3243" t="str">
        <f>_xlfn.CONCAT('7D'!$B$9, "-", '7D'!$B$14, "-", '7D'!$F$7, "-", '7D'!$F$6, "-", '7D'!$E$5)</f>
        <v>Load received at sewage treatment works-Load received by STWs in size band 5-Activated Sludge-Secondary-Treatment categories</v>
      </c>
    </row>
    <row r="3244" spans="1:15">
      <c r="A3244" t="s">
        <v>17341</v>
      </c>
      <c r="B3244" s="2602" t="str">
        <f>'7D'!$BQ$14</f>
        <v>STWD059</v>
      </c>
      <c r="D3244" t="str">
        <f>_xlfn.CONCAT('7D'!$B$9, "-", '7D'!$B$14, "-", '7D'!$G$7, "-", '7D'!$F$6, "-", '7D'!$E$5)</f>
        <v>Load received at sewage treatment works-Load received by STWs in size band 5-Biological-Secondary-Treatment categories</v>
      </c>
      <c r="E3244" t="str">
        <f>'7D'!$C$14</f>
        <v>kg BOD5/day</v>
      </c>
      <c r="F3244" t="s">
        <v>17334</v>
      </c>
      <c r="G3244">
        <f>'7D'!$D$14</f>
        <v>0</v>
      </c>
      <c r="O3244" t="str">
        <f>_xlfn.CONCAT('7D'!$B$9, "-", '7D'!$B$14, "-", '7D'!$G$7, "-", '7D'!$F$6, "-", '7D'!$E$5)</f>
        <v>Load received at sewage treatment works-Load received by STWs in size band 5-Biological-Secondary-Treatment categories</v>
      </c>
    </row>
    <row r="3245" spans="1:15">
      <c r="A3245" t="s">
        <v>17341</v>
      </c>
      <c r="B3245" s="2602" t="str">
        <f>'7D'!$BR$14</f>
        <v>STWD060</v>
      </c>
      <c r="D3245" t="str">
        <f>_xlfn.CONCAT('7D'!$B$9, "-", '7D'!$B$14, "-", '7D'!$H$7, "-", '7D'!$H$6, "-", '7D'!$E$5)</f>
        <v>Load received at sewage treatment works-Load received by STWs in size band 5-A1-Tertiary-Treatment categories</v>
      </c>
      <c r="E3245" t="str">
        <f>'7D'!$C$14</f>
        <v>kg BOD5/day</v>
      </c>
      <c r="F3245" t="s">
        <v>17334</v>
      </c>
      <c r="G3245">
        <f>'7D'!$D$14</f>
        <v>0</v>
      </c>
      <c r="O3245" t="str">
        <f>_xlfn.CONCAT('7D'!$B$9, "-", '7D'!$B$14, "-", '7D'!$H$7, "-", '7D'!$H$6, "-", '7D'!$E$5)</f>
        <v>Load received at sewage treatment works-Load received by STWs in size band 5-A1-Tertiary-Treatment categories</v>
      </c>
    </row>
    <row r="3246" spans="1:15">
      <c r="A3246" t="s">
        <v>17341</v>
      </c>
      <c r="B3246" s="2602" t="str">
        <f>'7D'!$BS$14</f>
        <v>STWD061</v>
      </c>
      <c r="D3246" t="str">
        <f>_xlfn.CONCAT('7D'!$B$9, "-", '7D'!$B$14, "-", '7D'!$I$7, "-", '7D'!$H$6, "-", '7D'!$E$5)</f>
        <v>Load received at sewage treatment works-Load received by STWs in size band 5-A2-Tertiary-Treatment categories</v>
      </c>
      <c r="E3246" t="str">
        <f>'7D'!$C$14</f>
        <v>kg BOD5/day</v>
      </c>
      <c r="F3246" t="s">
        <v>17334</v>
      </c>
      <c r="G3246">
        <f>'7D'!$D$14</f>
        <v>0</v>
      </c>
      <c r="O3246" t="str">
        <f>_xlfn.CONCAT('7D'!$B$9, "-", '7D'!$B$14, "-", '7D'!$I$7, "-", '7D'!$H$6, "-", '7D'!$E$5)</f>
        <v>Load received at sewage treatment works-Load received by STWs in size band 5-A2-Tertiary-Treatment categories</v>
      </c>
    </row>
    <row r="3247" spans="1:15">
      <c r="A3247" t="s">
        <v>17341</v>
      </c>
      <c r="B3247" s="2602" t="str">
        <f>'7D'!$BT$14</f>
        <v>STWD062</v>
      </c>
      <c r="D3247" t="str">
        <f>_xlfn.CONCAT('7D'!$B$9, "-", '7D'!$B$14, "-", '7D'!$J$7, "-", '7D'!$H$6, "-", '7D'!$E$5)</f>
        <v>Load received at sewage treatment works-Load received by STWs in size band 5-B1-Tertiary-Treatment categories</v>
      </c>
      <c r="E3247" t="str">
        <f>'7D'!$C$14</f>
        <v>kg BOD5/day</v>
      </c>
      <c r="F3247" t="s">
        <v>17334</v>
      </c>
      <c r="G3247">
        <f>'7D'!$D$14</f>
        <v>0</v>
      </c>
      <c r="O3247" t="str">
        <f>_xlfn.CONCAT('7D'!$B$9, "-", '7D'!$B$14, "-", '7D'!$J$7, "-", '7D'!$H$6, "-", '7D'!$E$5)</f>
        <v>Load received at sewage treatment works-Load received by STWs in size band 5-B1-Tertiary-Treatment categories</v>
      </c>
    </row>
    <row r="3248" spans="1:15">
      <c r="A3248" t="s">
        <v>17341</v>
      </c>
      <c r="B3248" s="2602" t="str">
        <f>'7D'!$BU$14</f>
        <v>STWD063</v>
      </c>
      <c r="D3248" t="str">
        <f>_xlfn.CONCAT('7D'!$B$9, "-", '7D'!$B$14, "-", '7D'!$K$7, "-", '7D'!$H$6, "-", '7D'!$E$5)</f>
        <v>Load received at sewage treatment works-Load received by STWs in size band 5-B2-Tertiary-Treatment categories</v>
      </c>
      <c r="E3248" t="str">
        <f>'7D'!$C$14</f>
        <v>kg BOD5/day</v>
      </c>
      <c r="F3248" t="s">
        <v>17334</v>
      </c>
      <c r="G3248">
        <f>'7D'!$D$14</f>
        <v>0</v>
      </c>
      <c r="O3248" t="str">
        <f>_xlfn.CONCAT('7D'!$B$9, "-", '7D'!$B$14, "-", '7D'!$K$7, "-", '7D'!$H$6, "-", '7D'!$E$5)</f>
        <v>Load received at sewage treatment works-Load received by STWs in size band 5-B2-Tertiary-Treatment categories</v>
      </c>
    </row>
    <row r="3249" spans="1:15">
      <c r="A3249" t="s">
        <v>17341</v>
      </c>
      <c r="B3249" s="2602" t="str">
        <f>'7D'!$BV$14</f>
        <v>STWD068</v>
      </c>
      <c r="D3249" t="str">
        <f>_xlfn.CONCAT('7D'!$B$9, "-", '7D'!$B$14, "-", '7D'!$L$6, "-", '7D'!$L$6, "-", '7D'!$E$5)</f>
        <v>Load received at sewage treatment works-Load received by STWs in size band 5-Total-Total-Treatment categories</v>
      </c>
      <c r="E3249" t="str">
        <f>'7D'!$C$14</f>
        <v>kg BOD5/day</v>
      </c>
      <c r="F3249" t="s">
        <v>17334</v>
      </c>
      <c r="G3249">
        <f>'7D'!$D$14</f>
        <v>0</v>
      </c>
      <c r="O3249" t="str">
        <f>_xlfn.CONCAT('7D'!$B$9, "-", '7D'!$B$14, "-", '7D'!$L$6, "-", '7D'!$L$6, "-", '7D'!$E$5)</f>
        <v>Load received at sewage treatment works-Load received by STWs in size band 5-Total-Total-Treatment categories</v>
      </c>
    </row>
    <row r="3250" spans="1:15">
      <c r="A3250" t="s">
        <v>17341</v>
      </c>
      <c r="B3250" s="2602" t="str">
        <f>'7D'!$BX$14</f>
        <v>STWDP057</v>
      </c>
      <c r="D3250" t="str">
        <f>_xlfn.CONCAT('7D'!$B$9, "-", '7D'!$B$14, "-", '7D'!$N$7, "-", '7D'!$N$6, "-", '7D'!$N$5)</f>
        <v>Load received at sewage treatment works-Load received by STWs in size band 5-&lt;=0.5mg/l-Phosphorus-Treatment works consents</v>
      </c>
      <c r="E3250" t="str">
        <f>'7D'!$C$14</f>
        <v>kg BOD5/day</v>
      </c>
      <c r="F3250" t="s">
        <v>17334</v>
      </c>
      <c r="G3250">
        <f>'7D'!$D$14</f>
        <v>0</v>
      </c>
      <c r="O3250" t="str">
        <f>_xlfn.CONCAT('7D'!$B$9, "-", '7D'!$B$14, "-", '7D'!$N$7, "-", '7D'!$N$6, "-", '7D'!$N$5)</f>
        <v>Load received at sewage treatment works-Load received by STWs in size band 5-&lt;=0.5mg/l-Phosphorus-Treatment works consents</v>
      </c>
    </row>
    <row r="3251" spans="1:15">
      <c r="A3251" t="s">
        <v>17341</v>
      </c>
      <c r="B3251" s="2602" t="str">
        <f>'7D'!$BY$14</f>
        <v>STWDP058</v>
      </c>
      <c r="D3251" t="str">
        <f>_xlfn.CONCAT('7D'!$B$9, "-", '7D'!$B$14, "-", '7D'!$O$7, "-", '7D'!$N$6, "-", '7D'!$N$5)</f>
        <v>Load received at sewage treatment works-Load received by STWs in size band 5-&gt;0.5 to &lt;=1mg/l-Phosphorus-Treatment works consents</v>
      </c>
      <c r="E3251" t="str">
        <f>'7D'!$C$14</f>
        <v>kg BOD5/day</v>
      </c>
      <c r="F3251" t="s">
        <v>17334</v>
      </c>
      <c r="G3251">
        <f>'7D'!$D$14</f>
        <v>0</v>
      </c>
      <c r="O3251" t="str">
        <f>_xlfn.CONCAT('7D'!$B$9, "-", '7D'!$B$14, "-", '7D'!$O$7, "-", '7D'!$N$6, "-", '7D'!$N$5)</f>
        <v>Load received at sewage treatment works-Load received by STWs in size band 5-&gt;0.5 to &lt;=1mg/l-Phosphorus-Treatment works consents</v>
      </c>
    </row>
    <row r="3252" spans="1:15">
      <c r="A3252" t="s">
        <v>17341</v>
      </c>
      <c r="B3252" s="2602" t="str">
        <f>'7D'!$BZ$14</f>
        <v>STWDP059</v>
      </c>
      <c r="D3252" t="str">
        <f>_xlfn.CONCAT('7D'!$B$9, "-", '7D'!$B$14, "-", '7D'!$P$7, "-", '7D'!$N$6, "-", '7D'!$N$5)</f>
        <v>Load received at sewage treatment works-Load received by STWs in size band 5-&gt;1mg/l-Phosphorus-Treatment works consents</v>
      </c>
      <c r="E3252" t="str">
        <f>'7D'!$C$14</f>
        <v>kg BOD5/day</v>
      </c>
      <c r="F3252" t="s">
        <v>17334</v>
      </c>
      <c r="G3252">
        <f>'7D'!$D$14</f>
        <v>0</v>
      </c>
      <c r="O3252" t="str">
        <f>_xlfn.CONCAT('7D'!$B$9, "-", '7D'!$B$14, "-", '7D'!$P$7, "-", '7D'!$N$6, "-", '7D'!$N$5)</f>
        <v>Load received at sewage treatment works-Load received by STWs in size band 5-&gt;1mg/l-Phosphorus-Treatment works consents</v>
      </c>
    </row>
    <row r="3253" spans="1:15">
      <c r="A3253" t="s">
        <v>17341</v>
      </c>
      <c r="B3253" s="2602" t="str">
        <f>'7D'!$CA$14</f>
        <v>STWDP060</v>
      </c>
      <c r="D3253" t="str">
        <f>_xlfn.CONCAT('7D'!$B$9, "-", '7D'!$B$14, "-", '7D'!$Q$7, "-", '7D'!$N$6, "-", '7D'!$N$5)</f>
        <v>Load received at sewage treatment works-Load received by STWs in size band 5-No permit-Phosphorus-Treatment works consents</v>
      </c>
      <c r="E3253" t="str">
        <f>'7D'!$C$14</f>
        <v>kg BOD5/day</v>
      </c>
      <c r="F3253" t="s">
        <v>17334</v>
      </c>
      <c r="G3253">
        <f>'7D'!$D$14</f>
        <v>0</v>
      </c>
      <c r="O3253" t="str">
        <f>_xlfn.CONCAT('7D'!$B$9, "-", '7D'!$B$14, "-", '7D'!$Q$7, "-", '7D'!$N$6, "-", '7D'!$N$5)</f>
        <v>Load received at sewage treatment works-Load received by STWs in size band 5-No permit-Phosphorus-Treatment works consents</v>
      </c>
    </row>
    <row r="3254" spans="1:15">
      <c r="A3254" t="s">
        <v>17341</v>
      </c>
      <c r="B3254" s="2602" t="str">
        <f>'7D'!$CB$14</f>
        <v>STWDP061</v>
      </c>
      <c r="D3254" t="str">
        <f>_xlfn.CONCAT('7D'!$B$9, "-", '7D'!$B$14, "-", '7D'!$R$7, "-", '7D'!$N$6, "-", '7D'!$N$5)</f>
        <v>Load received at sewage treatment works-Load received by STWs in size band 5-Total-Phosphorus-Treatment works consents</v>
      </c>
      <c r="E3254" t="str">
        <f>'7D'!$C$14</f>
        <v>kg BOD5/day</v>
      </c>
      <c r="F3254" t="s">
        <v>17334</v>
      </c>
      <c r="G3254">
        <f>'7D'!$D$14</f>
        <v>0</v>
      </c>
      <c r="O3254" t="str">
        <f>_xlfn.CONCAT('7D'!$B$9, "-", '7D'!$B$14, "-", '7D'!$R$7, "-", '7D'!$N$6, "-", '7D'!$N$5)</f>
        <v>Load received at sewage treatment works-Load received by STWs in size band 5-Total-Phosphorus-Treatment works consents</v>
      </c>
    </row>
    <row r="3255" spans="1:15">
      <c r="A3255" t="s">
        <v>17341</v>
      </c>
      <c r="B3255" s="2602" t="str">
        <f>'7D'!$CC$14</f>
        <v>STWDB057</v>
      </c>
      <c r="D3255" t="str">
        <f>_xlfn.CONCAT('7D'!$B$9, "-", '7D'!$B$14, "-", '7D'!$S$7, "-", '7D'!$S$6, "-", '7D'!$N$5)</f>
        <v>Load received at sewage treatment works-Load received by STWs in size band 5-&lt;=7mg/l-BOD5-Treatment works consents</v>
      </c>
      <c r="E3255" t="str">
        <f>'7D'!$C$14</f>
        <v>kg BOD5/day</v>
      </c>
      <c r="F3255" t="s">
        <v>17334</v>
      </c>
      <c r="G3255">
        <f>'7D'!$D$14</f>
        <v>0</v>
      </c>
      <c r="O3255" t="str">
        <f>_xlfn.CONCAT('7D'!$B$9, "-", '7D'!$B$14, "-", '7D'!$S$7, "-", '7D'!$S$6, "-", '7D'!$N$5)</f>
        <v>Load received at sewage treatment works-Load received by STWs in size band 5-&lt;=7mg/l-BOD5-Treatment works consents</v>
      </c>
    </row>
    <row r="3256" spans="1:15">
      <c r="A3256" t="s">
        <v>17341</v>
      </c>
      <c r="B3256" s="2602" t="str">
        <f>'7D'!$CD$14</f>
        <v>STWDB058</v>
      </c>
      <c r="D3256" t="str">
        <f>_xlfn.CONCAT('7D'!$B$9, "-", '7D'!$B$14, "-", '7D'!$T$7, "-", '7D'!$S$6, "-", '7D'!$N$5)</f>
        <v>Load received at sewage treatment works-Load received by STWs in size band 5-&gt;7 to &lt;=10mg/l-BOD5-Treatment works consents</v>
      </c>
      <c r="E3256" t="str">
        <f>'7D'!$C$14</f>
        <v>kg BOD5/day</v>
      </c>
      <c r="F3256" t="s">
        <v>17334</v>
      </c>
      <c r="G3256">
        <f>'7D'!$D$14</f>
        <v>0</v>
      </c>
      <c r="O3256" t="str">
        <f>_xlfn.CONCAT('7D'!$B$9, "-", '7D'!$B$14, "-", '7D'!$T$7, "-", '7D'!$S$6, "-", '7D'!$N$5)</f>
        <v>Load received at sewage treatment works-Load received by STWs in size band 5-&gt;7 to &lt;=10mg/l-BOD5-Treatment works consents</v>
      </c>
    </row>
    <row r="3257" spans="1:15">
      <c r="A3257" t="s">
        <v>17341</v>
      </c>
      <c r="B3257" s="2602" t="str">
        <f>'7D'!$CE$14</f>
        <v>STWDB059</v>
      </c>
      <c r="D3257" t="str">
        <f>_xlfn.CONCAT('7D'!$B$9, "-", '7D'!$B$14, "-", '7D'!$U$7, "-", '7D'!$S$6, "-", '7D'!$N$5)</f>
        <v>Load received at sewage treatment works-Load received by STWs in size band 5-&gt;10 to &lt;=20mg/l-BOD5-Treatment works consents</v>
      </c>
      <c r="E3257" t="str">
        <f>'7D'!$C$14</f>
        <v>kg BOD5/day</v>
      </c>
      <c r="F3257" t="s">
        <v>17334</v>
      </c>
      <c r="G3257">
        <f>'7D'!$D$14</f>
        <v>0</v>
      </c>
      <c r="O3257" t="str">
        <f>_xlfn.CONCAT('7D'!$B$9, "-", '7D'!$B$14, "-", '7D'!$U$7, "-", '7D'!$S$6, "-", '7D'!$N$5)</f>
        <v>Load received at sewage treatment works-Load received by STWs in size band 5-&gt;10 to &lt;=20mg/l-BOD5-Treatment works consents</v>
      </c>
    </row>
    <row r="3258" spans="1:15">
      <c r="A3258" t="s">
        <v>17341</v>
      </c>
      <c r="B3258" s="2602" t="str">
        <f>'7D'!$CF$14</f>
        <v>STWDB060</v>
      </c>
      <c r="D3258" t="str">
        <f>_xlfn.CONCAT('7D'!$B$9, "-", '7D'!$B$14, "-", '7D'!$V$7, "-", '7D'!$S$6, "-", '7D'!$N$5)</f>
        <v>Load received at sewage treatment works-Load received by STWs in size band 5-&gt;20mg/l-BOD5-Treatment works consents</v>
      </c>
      <c r="E3258" t="str">
        <f>'7D'!$C$14</f>
        <v>kg BOD5/day</v>
      </c>
      <c r="F3258" t="s">
        <v>17334</v>
      </c>
      <c r="G3258">
        <f>'7D'!$D$14</f>
        <v>0</v>
      </c>
      <c r="O3258" t="str">
        <f>_xlfn.CONCAT('7D'!$B$9, "-", '7D'!$B$14, "-", '7D'!$V$7, "-", '7D'!$S$6, "-", '7D'!$N$5)</f>
        <v>Load received at sewage treatment works-Load received by STWs in size band 5-&gt;20mg/l-BOD5-Treatment works consents</v>
      </c>
    </row>
    <row r="3259" spans="1:15">
      <c r="A3259" t="s">
        <v>17341</v>
      </c>
      <c r="B3259" s="2602" t="str">
        <f>'7D'!$CG$14</f>
        <v>STWDB061</v>
      </c>
      <c r="D3259" t="str">
        <f>_xlfn.CONCAT('7D'!$B$9, "-", '7D'!$B$14, "-", '7D'!$W$7, "-", '7D'!$S$6, "-", '7D'!$N$5)</f>
        <v>Load received at sewage treatment works-Load received by STWs in size band 5-No permit-BOD5-Treatment works consents</v>
      </c>
      <c r="E3259" t="str">
        <f>'7D'!$C$14</f>
        <v>kg BOD5/day</v>
      </c>
      <c r="F3259" t="s">
        <v>17334</v>
      </c>
      <c r="G3259">
        <f>'7D'!$D$14</f>
        <v>0</v>
      </c>
      <c r="O3259" t="str">
        <f>_xlfn.CONCAT('7D'!$B$9, "-", '7D'!$B$14, "-", '7D'!$W$7, "-", '7D'!$S$6, "-", '7D'!$N$5)</f>
        <v>Load received at sewage treatment works-Load received by STWs in size band 5-No permit-BOD5-Treatment works consents</v>
      </c>
    </row>
    <row r="3260" spans="1:15">
      <c r="A3260" t="s">
        <v>17341</v>
      </c>
      <c r="B3260" s="2602" t="str">
        <f>'7D'!$CH$14</f>
        <v>STWDB062</v>
      </c>
      <c r="D3260" t="str">
        <f>_xlfn.CONCAT('7D'!$B$9, "-", '7D'!$B$14, "-", '7D'!$X$7, "-", '7D'!$S$6, "-", '7D'!$N$5)</f>
        <v>Load received at sewage treatment works-Load received by STWs in size band 5-Total-BOD5-Treatment works consents</v>
      </c>
      <c r="E3260" t="str">
        <f>'7D'!$C$14</f>
        <v>kg BOD5/day</v>
      </c>
      <c r="F3260" t="s">
        <v>17334</v>
      </c>
      <c r="G3260">
        <f>'7D'!$D$14</f>
        <v>0</v>
      </c>
      <c r="O3260" t="str">
        <f>_xlfn.CONCAT('7D'!$B$9, "-", '7D'!$B$14, "-", '7D'!$X$7, "-", '7D'!$S$6, "-", '7D'!$N$5)</f>
        <v>Load received at sewage treatment works-Load received by STWs in size band 5-Total-BOD5-Treatment works consents</v>
      </c>
    </row>
    <row r="3261" spans="1:15">
      <c r="A3261" t="s">
        <v>17341</v>
      </c>
      <c r="B3261" s="2602" t="str">
        <f>'7D'!$CI$14</f>
        <v>STWDA057</v>
      </c>
      <c r="D3261" t="str">
        <f>_xlfn.CONCAT('7D'!$B$9, "-", '7D'!$B$14, "-", '7D'!$Y$7, "-", '7D'!$Y$6, "-", '7D'!$N$5)</f>
        <v>Load received at sewage treatment works-Load received by STWs in size band 5-&lt;=1mg/l-Ammonia-Treatment works consents</v>
      </c>
      <c r="E3261" t="str">
        <f>'7D'!$C$14</f>
        <v>kg BOD5/day</v>
      </c>
      <c r="F3261" t="s">
        <v>17334</v>
      </c>
      <c r="G3261">
        <f>'7D'!$D$14</f>
        <v>0</v>
      </c>
      <c r="O3261" t="str">
        <f>_xlfn.CONCAT('7D'!$B$9, "-", '7D'!$B$14, "-", '7D'!$Y$7, "-", '7D'!$Y$6, "-", '7D'!$N$5)</f>
        <v>Load received at sewage treatment works-Load received by STWs in size band 5-&lt;=1mg/l-Ammonia-Treatment works consents</v>
      </c>
    </row>
    <row r="3262" spans="1:15">
      <c r="A3262" t="s">
        <v>17341</v>
      </c>
      <c r="B3262" s="2602" t="str">
        <f>'7D'!$CJ$14</f>
        <v>STWDA058</v>
      </c>
      <c r="D3262" t="str">
        <f>_xlfn.CONCAT('7D'!$B$9, "-", '7D'!$B$14, "-", '7D'!$Z$7, "-", '7D'!$Y$6, "-", '7D'!$N$5)</f>
        <v>Load received at sewage treatment works-Load received by STWs in size band 5-&gt;1 to &lt;=3mg/l-Ammonia-Treatment works consents</v>
      </c>
      <c r="E3262" t="str">
        <f>'7D'!$C$14</f>
        <v>kg BOD5/day</v>
      </c>
      <c r="F3262" t="s">
        <v>17334</v>
      </c>
      <c r="G3262">
        <f>'7D'!$D$14</f>
        <v>0</v>
      </c>
      <c r="O3262" t="str">
        <f>_xlfn.CONCAT('7D'!$B$9, "-", '7D'!$B$14, "-", '7D'!$Z$7, "-", '7D'!$Y$6, "-", '7D'!$N$5)</f>
        <v>Load received at sewage treatment works-Load received by STWs in size band 5-&gt;1 to &lt;=3mg/l-Ammonia-Treatment works consents</v>
      </c>
    </row>
    <row r="3263" spans="1:15">
      <c r="A3263" t="s">
        <v>17341</v>
      </c>
      <c r="B3263" s="2602" t="str">
        <f>'7D'!$CK$14</f>
        <v>STWDA059</v>
      </c>
      <c r="D3263" t="str">
        <f>_xlfn.CONCAT('7D'!$B$9, "-", '7D'!$B$14, "-", '7D'!$AA$7, "-", '7D'!$Y$6, "-", '7D'!$N$5)</f>
        <v>Load received at sewage treatment works-Load received by STWs in size band 5-&gt;3 to &lt;=10mg/l-Ammonia-Treatment works consents</v>
      </c>
      <c r="E3263" t="str">
        <f>'7D'!$C$14</f>
        <v>kg BOD5/day</v>
      </c>
      <c r="F3263" t="s">
        <v>17334</v>
      </c>
      <c r="G3263">
        <f>'7D'!$D$14</f>
        <v>0</v>
      </c>
      <c r="O3263" t="str">
        <f>_xlfn.CONCAT('7D'!$B$9, "-", '7D'!$B$14, "-", '7D'!$AA$7, "-", '7D'!$Y$6, "-", '7D'!$N$5)</f>
        <v>Load received at sewage treatment works-Load received by STWs in size band 5-&gt;3 to &lt;=10mg/l-Ammonia-Treatment works consents</v>
      </c>
    </row>
    <row r="3264" spans="1:15">
      <c r="A3264" t="s">
        <v>17341</v>
      </c>
      <c r="B3264" s="2602" t="str">
        <f>'7D'!$CL$14</f>
        <v>STWDA060</v>
      </c>
      <c r="D3264" t="str">
        <f>_xlfn.CONCAT('7D'!$B$9, "-", '7D'!$B$14, "-", '7D'!$AB$7, "-", '7D'!$Y$6, "-", '7D'!$N$5)</f>
        <v>Load received at sewage treatment works-Load received by STWs in size band 5-&gt;10mg/l-Ammonia-Treatment works consents</v>
      </c>
      <c r="E3264" t="str">
        <f>'7D'!$C$14</f>
        <v>kg BOD5/day</v>
      </c>
      <c r="F3264" t="s">
        <v>17334</v>
      </c>
      <c r="G3264">
        <f>'7D'!$D$14</f>
        <v>0</v>
      </c>
      <c r="O3264" t="str">
        <f>_xlfn.CONCAT('7D'!$B$9, "-", '7D'!$B$14, "-", '7D'!$AB$7, "-", '7D'!$Y$6, "-", '7D'!$N$5)</f>
        <v>Load received at sewage treatment works-Load received by STWs in size band 5-&gt;10mg/l-Ammonia-Treatment works consents</v>
      </c>
    </row>
    <row r="3265" spans="1:15">
      <c r="A3265" t="s">
        <v>17341</v>
      </c>
      <c r="B3265" s="2602" t="str">
        <f>'7D'!$CM$14</f>
        <v>STWDA061</v>
      </c>
      <c r="D3265" t="str">
        <f>_xlfn.CONCAT('7D'!$B$9, "-", '7D'!$B$14, "-", '7D'!$AC$7, "-", '7D'!$Y$6, "-", '7D'!$N$5)</f>
        <v>Load received at sewage treatment works-Load received by STWs in size band 5-No permit-Ammonia-Treatment works consents</v>
      </c>
      <c r="E3265" t="str">
        <f>'7D'!$C$14</f>
        <v>kg BOD5/day</v>
      </c>
      <c r="F3265" t="s">
        <v>17334</v>
      </c>
      <c r="G3265">
        <f>'7D'!$D$14</f>
        <v>0</v>
      </c>
      <c r="O3265" t="str">
        <f>_xlfn.CONCAT('7D'!$B$9, "-", '7D'!$B$14, "-", '7D'!$AC$7, "-", '7D'!$Y$6, "-", '7D'!$N$5)</f>
        <v>Load received at sewage treatment works-Load received by STWs in size band 5-No permit-Ammonia-Treatment works consents</v>
      </c>
    </row>
    <row r="3266" spans="1:15">
      <c r="A3266" t="s">
        <v>17341</v>
      </c>
      <c r="B3266" s="2602" t="str">
        <f>'7D'!$CN$14</f>
        <v>STWDA062</v>
      </c>
      <c r="D3266" t="str">
        <f>_xlfn.CONCAT('7D'!$B$9, "-", '7D'!$B$14, "-", '7D'!$AD$7, "-", '7D'!$Y$6, "-", '7D'!$N$5)</f>
        <v>Load received at sewage treatment works-Load received by STWs in size band 5-Total-Ammonia-Treatment works consents</v>
      </c>
      <c r="E3266" t="str">
        <f>'7D'!$C$14</f>
        <v>kg BOD5/day</v>
      </c>
      <c r="F3266" t="s">
        <v>17334</v>
      </c>
      <c r="G3266">
        <f>'7D'!$D$14</f>
        <v>0</v>
      </c>
      <c r="O3266" t="str">
        <f>_xlfn.CONCAT('7D'!$B$9, "-", '7D'!$B$14, "-", '7D'!$AD$7, "-", '7D'!$Y$6, "-", '7D'!$N$5)</f>
        <v>Load received at sewage treatment works-Load received by STWs in size band 5-Total-Ammonia-Treatment works consents</v>
      </c>
    </row>
    <row r="3267" spans="1:15">
      <c r="A3267" t="s">
        <v>17341</v>
      </c>
      <c r="B3267" s="2602" t="str">
        <f>'7D'!$BO$15</f>
        <v>STWD101</v>
      </c>
      <c r="D3267" t="str">
        <f>_xlfn.CONCAT('7D'!$B$9, "-", '7D'!$B$15, "-", '7D'!$E$6, "-", '7D'!$E$6, "-", '7D'!$E$5)</f>
        <v>Load received at sewage treatment works-Load received by STWs above size band 5-Primary-Primary-Treatment categories</v>
      </c>
      <c r="E3267" t="str">
        <f>'7D'!$C$15</f>
        <v>kg BOD5/day</v>
      </c>
      <c r="F3267" t="s">
        <v>17334</v>
      </c>
      <c r="G3267">
        <f>'7D'!$D$15</f>
        <v>0</v>
      </c>
      <c r="O3267" t="str">
        <f>_xlfn.CONCAT('7D'!$B$9, "-", '7D'!$B$15, "-", '7D'!$E$6, "-", '7D'!$E$6, "-", '7D'!$E$5)</f>
        <v>Load received at sewage treatment works-Load received by STWs above size band 5-Primary-Primary-Treatment categories</v>
      </c>
    </row>
    <row r="3268" spans="1:15">
      <c r="A3268" t="s">
        <v>17341</v>
      </c>
      <c r="B3268" s="2602" t="str">
        <f>'7D'!$BP$15</f>
        <v>STWD102</v>
      </c>
      <c r="D3268" t="str">
        <f>_xlfn.CONCAT('7D'!$B$9, "-", '7D'!$B$15, "-", '7D'!$F$7, "-", '7D'!$F$6, "-", '7D'!$E$5)</f>
        <v>Load received at sewage treatment works-Load received by STWs above size band 5-Activated Sludge-Secondary-Treatment categories</v>
      </c>
      <c r="E3268" t="str">
        <f>'7D'!$C$15</f>
        <v>kg BOD5/day</v>
      </c>
      <c r="F3268" t="s">
        <v>17334</v>
      </c>
      <c r="G3268">
        <f>'7D'!$D$15</f>
        <v>0</v>
      </c>
      <c r="O3268" t="str">
        <f>_xlfn.CONCAT('7D'!$B$9, "-", '7D'!$B$15, "-", '7D'!$F$7, "-", '7D'!$F$6, "-", '7D'!$E$5)</f>
        <v>Load received at sewage treatment works-Load received by STWs above size band 5-Activated Sludge-Secondary-Treatment categories</v>
      </c>
    </row>
    <row r="3269" spans="1:15">
      <c r="A3269" t="s">
        <v>17341</v>
      </c>
      <c r="B3269" s="2602" t="str">
        <f>'7D'!$BQ$15</f>
        <v>STWD103</v>
      </c>
      <c r="D3269" t="str">
        <f>_xlfn.CONCAT('7D'!$B$9, "-", '7D'!$B$15, "-", '7D'!$G$7, "-", '7D'!$F$6, "-", '7D'!$E$5)</f>
        <v>Load received at sewage treatment works-Load received by STWs above size band 5-Biological-Secondary-Treatment categories</v>
      </c>
      <c r="E3269" t="str">
        <f>'7D'!$C$15</f>
        <v>kg BOD5/day</v>
      </c>
      <c r="F3269" t="s">
        <v>17334</v>
      </c>
      <c r="G3269">
        <f>'7D'!$D$15</f>
        <v>0</v>
      </c>
      <c r="O3269" t="str">
        <f>_xlfn.CONCAT('7D'!$B$9, "-", '7D'!$B$15, "-", '7D'!$G$7, "-", '7D'!$F$6, "-", '7D'!$E$5)</f>
        <v>Load received at sewage treatment works-Load received by STWs above size band 5-Biological-Secondary-Treatment categories</v>
      </c>
    </row>
    <row r="3270" spans="1:15">
      <c r="A3270" t="s">
        <v>17341</v>
      </c>
      <c r="B3270" s="2602" t="str">
        <f>'7D'!$BR$15</f>
        <v>STWD104</v>
      </c>
      <c r="D3270" t="str">
        <f>_xlfn.CONCAT('7D'!$B$9, "-", '7D'!$B$15, "-", '7D'!$H$7, "-", '7D'!$H$6, "-", '7D'!$E$5)</f>
        <v>Load received at sewage treatment works-Load received by STWs above size band 5-A1-Tertiary-Treatment categories</v>
      </c>
      <c r="E3270" t="str">
        <f>'7D'!$C$15</f>
        <v>kg BOD5/day</v>
      </c>
      <c r="F3270" t="s">
        <v>17334</v>
      </c>
      <c r="G3270">
        <f>'7D'!$D$15</f>
        <v>0</v>
      </c>
      <c r="O3270" t="str">
        <f>_xlfn.CONCAT('7D'!$B$9, "-", '7D'!$B$15, "-", '7D'!$H$7, "-", '7D'!$H$6, "-", '7D'!$E$5)</f>
        <v>Load received at sewage treatment works-Load received by STWs above size band 5-A1-Tertiary-Treatment categories</v>
      </c>
    </row>
    <row r="3271" spans="1:15">
      <c r="A3271" t="s">
        <v>17341</v>
      </c>
      <c r="B3271" s="2602" t="str">
        <f>'7D'!$BS$15</f>
        <v>STWD105</v>
      </c>
      <c r="D3271" t="str">
        <f>_xlfn.CONCAT('7D'!$B$9, "-", '7D'!$B$15, "-", '7D'!$I$7, "-", '7D'!$H$6, "-", '7D'!$E$5)</f>
        <v>Load received at sewage treatment works-Load received by STWs above size band 5-A2-Tertiary-Treatment categories</v>
      </c>
      <c r="E3271" t="str">
        <f>'7D'!$C$15</f>
        <v>kg BOD5/day</v>
      </c>
      <c r="F3271" t="s">
        <v>17334</v>
      </c>
      <c r="G3271">
        <f>'7D'!$D$15</f>
        <v>0</v>
      </c>
      <c r="O3271" t="str">
        <f>_xlfn.CONCAT('7D'!$B$9, "-", '7D'!$B$15, "-", '7D'!$I$7, "-", '7D'!$H$6, "-", '7D'!$E$5)</f>
        <v>Load received at sewage treatment works-Load received by STWs above size band 5-A2-Tertiary-Treatment categories</v>
      </c>
    </row>
    <row r="3272" spans="1:15">
      <c r="A3272" t="s">
        <v>17341</v>
      </c>
      <c r="B3272" s="2602" t="str">
        <f>'7D'!$BT$15</f>
        <v>STWD106</v>
      </c>
      <c r="D3272" t="str">
        <f>_xlfn.CONCAT('7D'!$B$9, "-", '7D'!$B$15, "-", '7D'!$J$7, "-", '7D'!$H$6, "-", '7D'!$E$5)</f>
        <v>Load received at sewage treatment works-Load received by STWs above size band 5-B1-Tertiary-Treatment categories</v>
      </c>
      <c r="E3272" t="str">
        <f>'7D'!$C$15</f>
        <v>kg BOD5/day</v>
      </c>
      <c r="F3272" t="s">
        <v>17334</v>
      </c>
      <c r="G3272">
        <f>'7D'!$D$15</f>
        <v>0</v>
      </c>
      <c r="O3272" t="str">
        <f>_xlfn.CONCAT('7D'!$B$9, "-", '7D'!$B$15, "-", '7D'!$J$7, "-", '7D'!$H$6, "-", '7D'!$E$5)</f>
        <v>Load received at sewage treatment works-Load received by STWs above size band 5-B1-Tertiary-Treatment categories</v>
      </c>
    </row>
    <row r="3273" spans="1:15">
      <c r="A3273" t="s">
        <v>17341</v>
      </c>
      <c r="B3273" s="2602" t="str">
        <f>'7D'!$BU$15</f>
        <v>STWD107</v>
      </c>
      <c r="D3273" t="str">
        <f>_xlfn.CONCAT('7D'!$B$9, "-", '7D'!$B$15, "-", '7D'!$K$7, "-", '7D'!$H$6, "-", '7D'!$E$5)</f>
        <v>Load received at sewage treatment works-Load received by STWs above size band 5-B2-Tertiary-Treatment categories</v>
      </c>
      <c r="E3273" t="str">
        <f>'7D'!$C$15</f>
        <v>kg BOD5/day</v>
      </c>
      <c r="F3273" t="s">
        <v>17334</v>
      </c>
      <c r="G3273">
        <f>'7D'!$D$15</f>
        <v>0</v>
      </c>
      <c r="O3273" t="str">
        <f>_xlfn.CONCAT('7D'!$B$9, "-", '7D'!$B$15, "-", '7D'!$K$7, "-", '7D'!$H$6, "-", '7D'!$E$5)</f>
        <v>Load received at sewage treatment works-Load received by STWs above size band 5-B2-Tertiary-Treatment categories</v>
      </c>
    </row>
    <row r="3274" spans="1:15">
      <c r="A3274" t="s">
        <v>17341</v>
      </c>
      <c r="B3274" s="2602" t="str">
        <f>'7D'!$BV$15</f>
        <v>STWD108</v>
      </c>
      <c r="D3274" t="str">
        <f>_xlfn.CONCAT('7D'!$B$9, "-", '7D'!$B$15, "-", '7D'!$L$6, "-", '7D'!$L$6, "-", '7D'!$E$5)</f>
        <v>Load received at sewage treatment works-Load received by STWs above size band 5-Total-Total-Treatment categories</v>
      </c>
      <c r="E3274" t="str">
        <f>'7D'!$C$15</f>
        <v>kg BOD5/day</v>
      </c>
      <c r="F3274" t="s">
        <v>17334</v>
      </c>
      <c r="G3274">
        <f>'7D'!$D$15</f>
        <v>0</v>
      </c>
      <c r="O3274" t="str">
        <f>_xlfn.CONCAT('7D'!$B$9, "-", '7D'!$B$15, "-", '7D'!$L$6, "-", '7D'!$L$6, "-", '7D'!$E$5)</f>
        <v>Load received at sewage treatment works-Load received by STWs above size band 5-Total-Total-Treatment categories</v>
      </c>
    </row>
    <row r="3275" spans="1:15">
      <c r="A3275" t="s">
        <v>17341</v>
      </c>
      <c r="B3275" s="2602" t="str">
        <f>'7D'!$BX$15</f>
        <v>STWDP101</v>
      </c>
      <c r="D3275" t="str">
        <f>_xlfn.CONCAT('7D'!$B$9, "-", '7D'!$B$15, "-", '7D'!$N$7, "-", '7D'!$N$6, "-", '7D'!$N$5)</f>
        <v>Load received at sewage treatment works-Load received by STWs above size band 5-&lt;=0.5mg/l-Phosphorus-Treatment works consents</v>
      </c>
      <c r="E3275" t="str">
        <f>'7D'!$C$15</f>
        <v>kg BOD5/day</v>
      </c>
      <c r="F3275" t="s">
        <v>17334</v>
      </c>
      <c r="G3275">
        <f>'7D'!$D$15</f>
        <v>0</v>
      </c>
      <c r="O3275" t="str">
        <f>_xlfn.CONCAT('7D'!$B$9, "-", '7D'!$B$15, "-", '7D'!$N$7, "-", '7D'!$N$6, "-", '7D'!$N$5)</f>
        <v>Load received at sewage treatment works-Load received by STWs above size band 5-&lt;=0.5mg/l-Phosphorus-Treatment works consents</v>
      </c>
    </row>
    <row r="3276" spans="1:15">
      <c r="A3276" t="s">
        <v>17341</v>
      </c>
      <c r="B3276" s="2602" t="str">
        <f>'7D'!$BY$15</f>
        <v>STWDP102</v>
      </c>
      <c r="D3276" t="str">
        <f>_xlfn.CONCAT('7D'!$B$9, "-", '7D'!$B$15, "-", '7D'!$O$7, "-", '7D'!$N$6, "-", '7D'!$N$5)</f>
        <v>Load received at sewage treatment works-Load received by STWs above size band 5-&gt;0.5 to &lt;=1mg/l-Phosphorus-Treatment works consents</v>
      </c>
      <c r="E3276" t="str">
        <f>'7D'!$C$15</f>
        <v>kg BOD5/day</v>
      </c>
      <c r="F3276" t="s">
        <v>17334</v>
      </c>
      <c r="G3276">
        <f>'7D'!$D$15</f>
        <v>0</v>
      </c>
      <c r="O3276" t="str">
        <f>_xlfn.CONCAT('7D'!$B$9, "-", '7D'!$B$15, "-", '7D'!$O$7, "-", '7D'!$N$6, "-", '7D'!$N$5)</f>
        <v>Load received at sewage treatment works-Load received by STWs above size band 5-&gt;0.5 to &lt;=1mg/l-Phosphorus-Treatment works consents</v>
      </c>
    </row>
    <row r="3277" spans="1:15">
      <c r="A3277" t="s">
        <v>17341</v>
      </c>
      <c r="B3277" s="2602" t="str">
        <f>'7D'!$BZ$15</f>
        <v>STWDP103</v>
      </c>
      <c r="D3277" t="str">
        <f>_xlfn.CONCAT('7D'!$B$9, "-", '7D'!$B$15, "-", '7D'!$P$7, "-", '7D'!$N$6, "-", '7D'!$N$5)</f>
        <v>Load received at sewage treatment works-Load received by STWs above size band 5-&gt;1mg/l-Phosphorus-Treatment works consents</v>
      </c>
      <c r="E3277" t="str">
        <f>'7D'!$C$15</f>
        <v>kg BOD5/day</v>
      </c>
      <c r="F3277" t="s">
        <v>17334</v>
      </c>
      <c r="G3277">
        <f>'7D'!$D$15</f>
        <v>0</v>
      </c>
      <c r="O3277" t="str">
        <f>_xlfn.CONCAT('7D'!$B$9, "-", '7D'!$B$15, "-", '7D'!$P$7, "-", '7D'!$N$6, "-", '7D'!$N$5)</f>
        <v>Load received at sewage treatment works-Load received by STWs above size band 5-&gt;1mg/l-Phosphorus-Treatment works consents</v>
      </c>
    </row>
    <row r="3278" spans="1:15">
      <c r="A3278" t="s">
        <v>17341</v>
      </c>
      <c r="B3278" s="2602" t="str">
        <f>'7D'!$CA$15</f>
        <v>STWDP104</v>
      </c>
      <c r="D3278" t="str">
        <f>_xlfn.CONCAT('7D'!$B$9, "-", '7D'!$B$15, "-", '7D'!$Q$7, "-", '7D'!$N$6, "-", '7D'!$N$5)</f>
        <v>Load received at sewage treatment works-Load received by STWs above size band 5-No permit-Phosphorus-Treatment works consents</v>
      </c>
      <c r="E3278" t="str">
        <f>'7D'!$C$15</f>
        <v>kg BOD5/day</v>
      </c>
      <c r="F3278" t="s">
        <v>17334</v>
      </c>
      <c r="G3278">
        <f>'7D'!$D$15</f>
        <v>0</v>
      </c>
      <c r="O3278" t="str">
        <f>_xlfn.CONCAT('7D'!$B$9, "-", '7D'!$B$15, "-", '7D'!$Q$7, "-", '7D'!$N$6, "-", '7D'!$N$5)</f>
        <v>Load received at sewage treatment works-Load received by STWs above size band 5-No permit-Phosphorus-Treatment works consents</v>
      </c>
    </row>
    <row r="3279" spans="1:15">
      <c r="A3279" t="s">
        <v>17341</v>
      </c>
      <c r="B3279" s="2602" t="str">
        <f>'7D'!$CB$15</f>
        <v>STWDP105</v>
      </c>
      <c r="D3279" t="str">
        <f>_xlfn.CONCAT('7D'!$B$9, "-", '7D'!$B$15, "-", '7D'!$R$7, "-", '7D'!$N$6, "-", '7D'!$N$5)</f>
        <v>Load received at sewage treatment works-Load received by STWs above size band 5-Total-Phosphorus-Treatment works consents</v>
      </c>
      <c r="E3279" t="str">
        <f>'7D'!$C$15</f>
        <v>kg BOD5/day</v>
      </c>
      <c r="F3279" t="s">
        <v>17334</v>
      </c>
      <c r="G3279">
        <f>'7D'!$D$15</f>
        <v>0</v>
      </c>
      <c r="O3279" t="str">
        <f>_xlfn.CONCAT('7D'!$B$9, "-", '7D'!$B$15, "-", '7D'!$R$7, "-", '7D'!$N$6, "-", '7D'!$N$5)</f>
        <v>Load received at sewage treatment works-Load received by STWs above size band 5-Total-Phosphorus-Treatment works consents</v>
      </c>
    </row>
    <row r="3280" spans="1:15">
      <c r="A3280" t="s">
        <v>17341</v>
      </c>
      <c r="B3280" s="2602" t="str">
        <f>'7D'!$CC$15</f>
        <v>STWDB101</v>
      </c>
      <c r="D3280" t="str">
        <f>_xlfn.CONCAT('7D'!$B$9, "-", '7D'!$B$15, "-", '7D'!$S$7, "-", '7D'!$S$6, "-", '7D'!$N$5)</f>
        <v>Load received at sewage treatment works-Load received by STWs above size band 5-&lt;=7mg/l-BOD5-Treatment works consents</v>
      </c>
      <c r="E3280" t="str">
        <f>'7D'!$C$15</f>
        <v>kg BOD5/day</v>
      </c>
      <c r="F3280" t="s">
        <v>17334</v>
      </c>
      <c r="G3280">
        <f>'7D'!$D$15</f>
        <v>0</v>
      </c>
      <c r="O3280" t="str">
        <f>_xlfn.CONCAT('7D'!$B$9, "-", '7D'!$B$15, "-", '7D'!$S$7, "-", '7D'!$S$6, "-", '7D'!$N$5)</f>
        <v>Load received at sewage treatment works-Load received by STWs above size band 5-&lt;=7mg/l-BOD5-Treatment works consents</v>
      </c>
    </row>
    <row r="3281" spans="1:15">
      <c r="A3281" t="s">
        <v>17341</v>
      </c>
      <c r="B3281" s="2602" t="str">
        <f>'7D'!$CD$15</f>
        <v>STWDB102</v>
      </c>
      <c r="D3281" t="str">
        <f>_xlfn.CONCAT('7D'!$B$9, "-", '7D'!$B$15, "-", '7D'!$T$7, "-", '7D'!$S$6, "-", '7D'!$N$5)</f>
        <v>Load received at sewage treatment works-Load received by STWs above size band 5-&gt;7 to &lt;=10mg/l-BOD5-Treatment works consents</v>
      </c>
      <c r="E3281" t="str">
        <f>'7D'!$C$15</f>
        <v>kg BOD5/day</v>
      </c>
      <c r="F3281" t="s">
        <v>17334</v>
      </c>
      <c r="G3281">
        <f>'7D'!$D$15</f>
        <v>0</v>
      </c>
      <c r="O3281" t="str">
        <f>_xlfn.CONCAT('7D'!$B$9, "-", '7D'!$B$15, "-", '7D'!$T$7, "-", '7D'!$S$6, "-", '7D'!$N$5)</f>
        <v>Load received at sewage treatment works-Load received by STWs above size band 5-&gt;7 to &lt;=10mg/l-BOD5-Treatment works consents</v>
      </c>
    </row>
    <row r="3282" spans="1:15">
      <c r="A3282" t="s">
        <v>17341</v>
      </c>
      <c r="B3282" s="2602" t="str">
        <f>'7D'!$CE$15</f>
        <v>STWDB103</v>
      </c>
      <c r="D3282" t="str">
        <f>_xlfn.CONCAT('7D'!$B$9, "-", '7D'!$B$15, "-", '7D'!$U$7, "-", '7D'!$S$6, "-", '7D'!$N$5)</f>
        <v>Load received at sewage treatment works-Load received by STWs above size band 5-&gt;10 to &lt;=20mg/l-BOD5-Treatment works consents</v>
      </c>
      <c r="E3282" t="str">
        <f>'7D'!$C$15</f>
        <v>kg BOD5/day</v>
      </c>
      <c r="F3282" t="s">
        <v>17334</v>
      </c>
      <c r="G3282">
        <f>'7D'!$D$15</f>
        <v>0</v>
      </c>
      <c r="O3282" t="str">
        <f>_xlfn.CONCAT('7D'!$B$9, "-", '7D'!$B$15, "-", '7D'!$U$7, "-", '7D'!$S$6, "-", '7D'!$N$5)</f>
        <v>Load received at sewage treatment works-Load received by STWs above size band 5-&gt;10 to &lt;=20mg/l-BOD5-Treatment works consents</v>
      </c>
    </row>
    <row r="3283" spans="1:15">
      <c r="A3283" t="s">
        <v>17341</v>
      </c>
      <c r="B3283" s="2602" t="str">
        <f>'7D'!$CF$15</f>
        <v>STWDB104</v>
      </c>
      <c r="D3283" t="str">
        <f>_xlfn.CONCAT('7D'!$B$9, "-", '7D'!$B$15, "-", '7D'!$V$7, "-", '7D'!$S$6, "-", '7D'!$N$5)</f>
        <v>Load received at sewage treatment works-Load received by STWs above size band 5-&gt;20mg/l-BOD5-Treatment works consents</v>
      </c>
      <c r="E3283" t="str">
        <f>'7D'!$C$15</f>
        <v>kg BOD5/day</v>
      </c>
      <c r="F3283" t="s">
        <v>17334</v>
      </c>
      <c r="G3283">
        <f>'7D'!$D$15</f>
        <v>0</v>
      </c>
      <c r="O3283" t="str">
        <f>_xlfn.CONCAT('7D'!$B$9, "-", '7D'!$B$15, "-", '7D'!$V$7, "-", '7D'!$S$6, "-", '7D'!$N$5)</f>
        <v>Load received at sewage treatment works-Load received by STWs above size band 5-&gt;20mg/l-BOD5-Treatment works consents</v>
      </c>
    </row>
    <row r="3284" spans="1:15">
      <c r="A3284" t="s">
        <v>17341</v>
      </c>
      <c r="B3284" s="2602" t="str">
        <f>'7D'!$CG$15</f>
        <v>STWDB105</v>
      </c>
      <c r="D3284" t="str">
        <f>_xlfn.CONCAT('7D'!$B$9, "-", '7D'!$B$15, "-", '7D'!$W$7, "-", '7D'!$S$6, "-", '7D'!$N$5)</f>
        <v>Load received at sewage treatment works-Load received by STWs above size band 5-No permit-BOD5-Treatment works consents</v>
      </c>
      <c r="E3284" t="str">
        <f>'7D'!$C$15</f>
        <v>kg BOD5/day</v>
      </c>
      <c r="F3284" t="s">
        <v>17334</v>
      </c>
      <c r="G3284">
        <f>'7D'!$D$15</f>
        <v>0</v>
      </c>
      <c r="O3284" t="str">
        <f>_xlfn.CONCAT('7D'!$B$9, "-", '7D'!$B$15, "-", '7D'!$W$7, "-", '7D'!$S$6, "-", '7D'!$N$5)</f>
        <v>Load received at sewage treatment works-Load received by STWs above size band 5-No permit-BOD5-Treatment works consents</v>
      </c>
    </row>
    <row r="3285" spans="1:15">
      <c r="A3285" t="s">
        <v>17341</v>
      </c>
      <c r="B3285" s="2602" t="str">
        <f>'7D'!$CH$15</f>
        <v>STWDB106</v>
      </c>
      <c r="D3285" t="str">
        <f>_xlfn.CONCAT('7D'!$B$9, "-", '7D'!$B$15, "-", '7D'!$X$7, "-", '7D'!$S$6, "-", '7D'!$N$5)</f>
        <v>Load received at sewage treatment works-Load received by STWs above size band 5-Total-BOD5-Treatment works consents</v>
      </c>
      <c r="E3285" t="str">
        <f>'7D'!$C$15</f>
        <v>kg BOD5/day</v>
      </c>
      <c r="F3285" t="s">
        <v>17334</v>
      </c>
      <c r="G3285">
        <f>'7D'!$D$15</f>
        <v>0</v>
      </c>
      <c r="O3285" t="str">
        <f>_xlfn.CONCAT('7D'!$B$9, "-", '7D'!$B$15, "-", '7D'!$X$7, "-", '7D'!$S$6, "-", '7D'!$N$5)</f>
        <v>Load received at sewage treatment works-Load received by STWs above size band 5-Total-BOD5-Treatment works consents</v>
      </c>
    </row>
    <row r="3286" spans="1:15">
      <c r="A3286" t="s">
        <v>17341</v>
      </c>
      <c r="B3286" s="2602" t="str">
        <f>'7D'!$CI$15</f>
        <v>STWDA101</v>
      </c>
      <c r="D3286" t="str">
        <f>_xlfn.CONCAT('7D'!$B$9, "-", '7D'!$B$15, "-", '7D'!$Y$7, "-", '7D'!$Y$6, "-", '7D'!$N$5)</f>
        <v>Load received at sewage treatment works-Load received by STWs above size band 5-&lt;=1mg/l-Ammonia-Treatment works consents</v>
      </c>
      <c r="E3286" t="str">
        <f>'7D'!$C$15</f>
        <v>kg BOD5/day</v>
      </c>
      <c r="F3286" t="s">
        <v>17334</v>
      </c>
      <c r="G3286">
        <f>'7D'!$D$15</f>
        <v>0</v>
      </c>
      <c r="O3286" t="str">
        <f>_xlfn.CONCAT('7D'!$B$9, "-", '7D'!$B$15, "-", '7D'!$Y$7, "-", '7D'!$Y$6, "-", '7D'!$N$5)</f>
        <v>Load received at sewage treatment works-Load received by STWs above size band 5-&lt;=1mg/l-Ammonia-Treatment works consents</v>
      </c>
    </row>
    <row r="3287" spans="1:15">
      <c r="A3287" t="s">
        <v>17341</v>
      </c>
      <c r="B3287" s="2602" t="str">
        <f>'7D'!$CJ$15</f>
        <v>STWDA102</v>
      </c>
      <c r="D3287" t="str">
        <f>_xlfn.CONCAT('7D'!$B$9, "-", '7D'!$B$15, "-", '7D'!$Z$7, "-", '7D'!$Y$6, "-", '7D'!$N$5)</f>
        <v>Load received at sewage treatment works-Load received by STWs above size band 5-&gt;1 to &lt;=3mg/l-Ammonia-Treatment works consents</v>
      </c>
      <c r="E3287" t="str">
        <f>'7D'!$C$15</f>
        <v>kg BOD5/day</v>
      </c>
      <c r="F3287" t="s">
        <v>17334</v>
      </c>
      <c r="G3287">
        <f>'7D'!$D$15</f>
        <v>0</v>
      </c>
      <c r="O3287" t="str">
        <f>_xlfn.CONCAT('7D'!$B$9, "-", '7D'!$B$15, "-", '7D'!$Z$7, "-", '7D'!$Y$6, "-", '7D'!$N$5)</f>
        <v>Load received at sewage treatment works-Load received by STWs above size band 5-&gt;1 to &lt;=3mg/l-Ammonia-Treatment works consents</v>
      </c>
    </row>
    <row r="3288" spans="1:15">
      <c r="A3288" t="s">
        <v>17341</v>
      </c>
      <c r="B3288" s="2602" t="str">
        <f>'7D'!$CK$15</f>
        <v>STWDA103</v>
      </c>
      <c r="D3288" t="str">
        <f>_xlfn.CONCAT('7D'!$B$9, "-", '7D'!$B$15, "-", '7D'!$AA$7, "-", '7D'!$Y$6, "-", '7D'!$N$5)</f>
        <v>Load received at sewage treatment works-Load received by STWs above size band 5-&gt;3 to &lt;=10mg/l-Ammonia-Treatment works consents</v>
      </c>
      <c r="E3288" t="str">
        <f>'7D'!$C$15</f>
        <v>kg BOD5/day</v>
      </c>
      <c r="F3288" t="s">
        <v>17334</v>
      </c>
      <c r="G3288">
        <f>'7D'!$D$15</f>
        <v>0</v>
      </c>
      <c r="O3288" t="str">
        <f>_xlfn.CONCAT('7D'!$B$9, "-", '7D'!$B$15, "-", '7D'!$AA$7, "-", '7D'!$Y$6, "-", '7D'!$N$5)</f>
        <v>Load received at sewage treatment works-Load received by STWs above size band 5-&gt;3 to &lt;=10mg/l-Ammonia-Treatment works consents</v>
      </c>
    </row>
    <row r="3289" spans="1:15">
      <c r="A3289" t="s">
        <v>17341</v>
      </c>
      <c r="B3289" s="2602" t="str">
        <f>'7D'!$CL$15</f>
        <v>STWDA104</v>
      </c>
      <c r="D3289" t="str">
        <f>_xlfn.CONCAT('7D'!$B$9, "-", '7D'!$B$15, "-", '7D'!$AB$7, "-", '7D'!$Y$6, "-", '7D'!$N$5)</f>
        <v>Load received at sewage treatment works-Load received by STWs above size band 5-&gt;10mg/l-Ammonia-Treatment works consents</v>
      </c>
      <c r="E3289" t="str">
        <f>'7D'!$C$15</f>
        <v>kg BOD5/day</v>
      </c>
      <c r="F3289" t="s">
        <v>17334</v>
      </c>
      <c r="G3289">
        <f>'7D'!$D$15</f>
        <v>0</v>
      </c>
      <c r="O3289" t="str">
        <f>_xlfn.CONCAT('7D'!$B$9, "-", '7D'!$B$15, "-", '7D'!$AB$7, "-", '7D'!$Y$6, "-", '7D'!$N$5)</f>
        <v>Load received at sewage treatment works-Load received by STWs above size band 5-&gt;10mg/l-Ammonia-Treatment works consents</v>
      </c>
    </row>
    <row r="3290" spans="1:15">
      <c r="A3290" t="s">
        <v>17341</v>
      </c>
      <c r="B3290" s="2602" t="str">
        <f>'7D'!$CM$15</f>
        <v>STWDA105</v>
      </c>
      <c r="D3290" t="str">
        <f>_xlfn.CONCAT('7D'!$B$9, "-", '7D'!$B$15, "-", '7D'!$AC$7, "-", '7D'!$Y$6, "-", '7D'!$N$5)</f>
        <v>Load received at sewage treatment works-Load received by STWs above size band 5-No permit-Ammonia-Treatment works consents</v>
      </c>
      <c r="E3290" t="str">
        <f>'7D'!$C$15</f>
        <v>kg BOD5/day</v>
      </c>
      <c r="F3290" t="s">
        <v>17334</v>
      </c>
      <c r="G3290">
        <f>'7D'!$D$15</f>
        <v>0</v>
      </c>
      <c r="O3290" t="str">
        <f>_xlfn.CONCAT('7D'!$B$9, "-", '7D'!$B$15, "-", '7D'!$AC$7, "-", '7D'!$Y$6, "-", '7D'!$N$5)</f>
        <v>Load received at sewage treatment works-Load received by STWs above size band 5-No permit-Ammonia-Treatment works consents</v>
      </c>
    </row>
    <row r="3291" spans="1:15">
      <c r="A3291" t="s">
        <v>17341</v>
      </c>
      <c r="B3291" s="2602" t="str">
        <f>'7D'!$CN$15</f>
        <v>STWDA106</v>
      </c>
      <c r="D3291" t="str">
        <f>_xlfn.CONCAT('7D'!$B$9, "-", '7D'!$B$15, "-", '7D'!$AD$7, "-", '7D'!$Y$6, "-", '7D'!$N$5)</f>
        <v>Load received at sewage treatment works-Load received by STWs above size band 5-Total-Ammonia-Treatment works consents</v>
      </c>
      <c r="E3291" t="str">
        <f>'7D'!$C$15</f>
        <v>kg BOD5/day</v>
      </c>
      <c r="F3291" t="s">
        <v>17334</v>
      </c>
      <c r="G3291">
        <f>'7D'!$D$15</f>
        <v>0</v>
      </c>
      <c r="O3291" t="str">
        <f>_xlfn.CONCAT('7D'!$B$9, "-", '7D'!$B$15, "-", '7D'!$AD$7, "-", '7D'!$Y$6, "-", '7D'!$N$5)</f>
        <v>Load received at sewage treatment works-Load received by STWs above size band 5-Total-Ammonia-Treatment works consents</v>
      </c>
    </row>
    <row r="3292" spans="1:15">
      <c r="A3292" t="s">
        <v>17341</v>
      </c>
      <c r="B3292" s="2602" t="str">
        <f>'7D'!$BO$16</f>
        <v>STWD121</v>
      </c>
      <c r="D3292" t="str">
        <f>_xlfn.CONCAT('7D'!$B$9, "-", '7D'!$B$16, "-", '7D'!$E$6, "-", '7D'!$E$6, "-", '7D'!$E$5)</f>
        <v>Load received at sewage treatment works-Total load received-Primary-Primary-Treatment categories</v>
      </c>
      <c r="E3292" t="str">
        <f>'7D'!$C$16</f>
        <v>kg BOD5/day</v>
      </c>
      <c r="F3292" t="s">
        <v>17334</v>
      </c>
      <c r="G3292">
        <f>'7D'!$D$16</f>
        <v>0</v>
      </c>
      <c r="O3292" t="str">
        <f>_xlfn.CONCAT('7D'!$B$9, "-", '7D'!$B$16, "-", '7D'!$E$6, "-", '7D'!$E$6, "-", '7D'!$E$5)</f>
        <v>Load received at sewage treatment works-Total load received-Primary-Primary-Treatment categories</v>
      </c>
    </row>
    <row r="3293" spans="1:15">
      <c r="A3293" t="s">
        <v>17341</v>
      </c>
      <c r="B3293" s="2602" t="str">
        <f>'7D'!$BP$16</f>
        <v>STWD122</v>
      </c>
      <c r="D3293" t="str">
        <f>_xlfn.CONCAT('7D'!$B$9, "-", '7D'!$B$16, "-", '7D'!$F$7, "-", '7D'!$F$6, "-", '7D'!$E$5)</f>
        <v>Load received at sewage treatment works-Total load received-Activated Sludge-Secondary-Treatment categories</v>
      </c>
      <c r="E3293" t="str">
        <f>'7D'!$C$16</f>
        <v>kg BOD5/day</v>
      </c>
      <c r="F3293" t="s">
        <v>17334</v>
      </c>
      <c r="G3293">
        <f>'7D'!$D$16</f>
        <v>0</v>
      </c>
      <c r="O3293" t="str">
        <f>_xlfn.CONCAT('7D'!$B$9, "-", '7D'!$B$16, "-", '7D'!$F$7, "-", '7D'!$F$6, "-", '7D'!$E$5)</f>
        <v>Load received at sewage treatment works-Total load received-Activated Sludge-Secondary-Treatment categories</v>
      </c>
    </row>
    <row r="3294" spans="1:15">
      <c r="A3294" t="s">
        <v>17341</v>
      </c>
      <c r="B3294" s="2602" t="str">
        <f>'7D'!$BQ$16</f>
        <v>STWD123</v>
      </c>
      <c r="D3294" t="str">
        <f>_xlfn.CONCAT('7D'!$B$9, "-", '7D'!$B$16, "-", '7D'!$G$7, "-", '7D'!$F$6, "-", '7D'!$E$5)</f>
        <v>Load received at sewage treatment works-Total load received-Biological-Secondary-Treatment categories</v>
      </c>
      <c r="E3294" t="str">
        <f>'7D'!$C$16</f>
        <v>kg BOD5/day</v>
      </c>
      <c r="F3294" t="s">
        <v>17334</v>
      </c>
      <c r="G3294">
        <f>'7D'!$D$16</f>
        <v>0</v>
      </c>
      <c r="O3294" t="str">
        <f>_xlfn.CONCAT('7D'!$B$9, "-", '7D'!$B$16, "-", '7D'!$G$7, "-", '7D'!$F$6, "-", '7D'!$E$5)</f>
        <v>Load received at sewage treatment works-Total load received-Biological-Secondary-Treatment categories</v>
      </c>
    </row>
    <row r="3295" spans="1:15">
      <c r="A3295" t="s">
        <v>17341</v>
      </c>
      <c r="B3295" s="2602" t="str">
        <f>'7D'!$BR$16</f>
        <v>STWD124</v>
      </c>
      <c r="D3295" t="str">
        <f>_xlfn.CONCAT('7D'!$B$9, "-", '7D'!$B$16, "-", '7D'!$H$7, "-", '7D'!$H$6, "-", '7D'!$E$5)</f>
        <v>Load received at sewage treatment works-Total load received-A1-Tertiary-Treatment categories</v>
      </c>
      <c r="E3295" t="str">
        <f>'7D'!$C$16</f>
        <v>kg BOD5/day</v>
      </c>
      <c r="F3295" t="s">
        <v>17334</v>
      </c>
      <c r="G3295">
        <f>'7D'!$D$16</f>
        <v>0</v>
      </c>
      <c r="O3295" t="str">
        <f>_xlfn.CONCAT('7D'!$B$9, "-", '7D'!$B$16, "-", '7D'!$H$7, "-", '7D'!$H$6, "-", '7D'!$E$5)</f>
        <v>Load received at sewage treatment works-Total load received-A1-Tertiary-Treatment categories</v>
      </c>
    </row>
    <row r="3296" spans="1:15">
      <c r="A3296" t="s">
        <v>17341</v>
      </c>
      <c r="B3296" s="2602" t="str">
        <f>'7D'!$BS$16</f>
        <v>STWD125</v>
      </c>
      <c r="D3296" t="str">
        <f>_xlfn.CONCAT('7D'!$B$9, "-", '7D'!$B$16, "-", '7D'!$I$7, "-", '7D'!$H$6, "-", '7D'!$E$5)</f>
        <v>Load received at sewage treatment works-Total load received-A2-Tertiary-Treatment categories</v>
      </c>
      <c r="E3296" t="str">
        <f>'7D'!$C$16</f>
        <v>kg BOD5/day</v>
      </c>
      <c r="F3296" t="s">
        <v>17334</v>
      </c>
      <c r="G3296">
        <f>'7D'!$D$16</f>
        <v>0</v>
      </c>
      <c r="O3296" t="str">
        <f>_xlfn.CONCAT('7D'!$B$9, "-", '7D'!$B$16, "-", '7D'!$I$7, "-", '7D'!$H$6, "-", '7D'!$E$5)</f>
        <v>Load received at sewage treatment works-Total load received-A2-Tertiary-Treatment categories</v>
      </c>
    </row>
    <row r="3297" spans="1:15">
      <c r="A3297" t="s">
        <v>17341</v>
      </c>
      <c r="B3297" s="2602" t="str">
        <f>'7D'!$BT$16</f>
        <v>STWD126</v>
      </c>
      <c r="D3297" t="str">
        <f>_xlfn.CONCAT('7D'!$B$9, "-", '7D'!$B$16, "-", '7D'!$J$7, "-", '7D'!$H$6, "-", '7D'!$E$5)</f>
        <v>Load received at sewage treatment works-Total load received-B1-Tertiary-Treatment categories</v>
      </c>
      <c r="E3297" t="str">
        <f>'7D'!$C$16</f>
        <v>kg BOD5/day</v>
      </c>
      <c r="F3297" t="s">
        <v>17334</v>
      </c>
      <c r="G3297">
        <f>'7D'!$D$16</f>
        <v>0</v>
      </c>
      <c r="O3297" t="str">
        <f>_xlfn.CONCAT('7D'!$B$9, "-", '7D'!$B$16, "-", '7D'!$J$7, "-", '7D'!$H$6, "-", '7D'!$E$5)</f>
        <v>Load received at sewage treatment works-Total load received-B1-Tertiary-Treatment categories</v>
      </c>
    </row>
    <row r="3298" spans="1:15">
      <c r="A3298" t="s">
        <v>17341</v>
      </c>
      <c r="B3298" s="2602" t="str">
        <f>'7D'!$BU$16</f>
        <v>STWD127</v>
      </c>
      <c r="D3298" t="str">
        <f>_xlfn.CONCAT('7D'!$B$9, "-", '7D'!$B$16, "-", '7D'!$K$7, "-", '7D'!$H$6, "-", '7D'!$E$5)</f>
        <v>Load received at sewage treatment works-Total load received-B2-Tertiary-Treatment categories</v>
      </c>
      <c r="E3298" t="str">
        <f>'7D'!$C$16</f>
        <v>kg BOD5/day</v>
      </c>
      <c r="F3298" t="s">
        <v>17334</v>
      </c>
      <c r="G3298">
        <f>'7D'!$D$16</f>
        <v>0</v>
      </c>
      <c r="O3298" t="str">
        <f>_xlfn.CONCAT('7D'!$B$9, "-", '7D'!$B$16, "-", '7D'!$K$7, "-", '7D'!$H$6, "-", '7D'!$E$5)</f>
        <v>Load received at sewage treatment works-Total load received-B2-Tertiary-Treatment categories</v>
      </c>
    </row>
    <row r="3299" spans="1:15">
      <c r="A3299" t="s">
        <v>17341</v>
      </c>
      <c r="B3299" s="2602" t="str">
        <f>'7D'!$BV$16</f>
        <v>STWD128</v>
      </c>
      <c r="D3299" t="str">
        <f>_xlfn.CONCAT('7D'!$B$9, "-", '7D'!$B$16, "-", '7D'!$L$6, "-", '7D'!$L$6, "-", '7D'!$E$5)</f>
        <v>Load received at sewage treatment works-Total load received-Total-Total-Treatment categories</v>
      </c>
      <c r="E3299" t="str">
        <f>'7D'!$C$16</f>
        <v>kg BOD5/day</v>
      </c>
      <c r="F3299" t="s">
        <v>17334</v>
      </c>
      <c r="G3299">
        <f>'7D'!$D$16</f>
        <v>0</v>
      </c>
      <c r="O3299" t="str">
        <f>_xlfn.CONCAT('7D'!$B$9, "-", '7D'!$B$16, "-", '7D'!$L$6, "-", '7D'!$L$6, "-", '7D'!$E$5)</f>
        <v>Load received at sewage treatment works-Total load received-Total-Total-Treatment categories</v>
      </c>
    </row>
    <row r="3300" spans="1:15">
      <c r="A3300" t="s">
        <v>17341</v>
      </c>
      <c r="B3300" s="2602" t="str">
        <f>'7D'!$BX$16</f>
        <v>STWDP121</v>
      </c>
      <c r="D3300" t="str">
        <f>_xlfn.CONCAT('7D'!$B$9, "-", '7D'!$B$16, "-", '7D'!$N$7, "-", '7D'!$N$6, "-", '7D'!$N$5)</f>
        <v>Load received at sewage treatment works-Total load received-&lt;=0.5mg/l-Phosphorus-Treatment works consents</v>
      </c>
      <c r="E3300" t="str">
        <f>'7D'!$C$16</f>
        <v>kg BOD5/day</v>
      </c>
      <c r="F3300" t="s">
        <v>17334</v>
      </c>
      <c r="G3300">
        <f>'7D'!$D$16</f>
        <v>0</v>
      </c>
      <c r="O3300" t="str">
        <f>_xlfn.CONCAT('7D'!$B$9, "-", '7D'!$B$16, "-", '7D'!$N$7, "-", '7D'!$N$6, "-", '7D'!$N$5)</f>
        <v>Load received at sewage treatment works-Total load received-&lt;=0.5mg/l-Phosphorus-Treatment works consents</v>
      </c>
    </row>
    <row r="3301" spans="1:15">
      <c r="A3301" t="s">
        <v>17341</v>
      </c>
      <c r="B3301" s="2602" t="str">
        <f>'7D'!$BY$16</f>
        <v>STWDP122</v>
      </c>
      <c r="D3301" t="str">
        <f>_xlfn.CONCAT('7D'!$B$9, "-", '7D'!$B$16, "-", '7D'!$O$7, "-", '7D'!$N$6, "-", '7D'!$N$5)</f>
        <v>Load received at sewage treatment works-Total load received-&gt;0.5 to &lt;=1mg/l-Phosphorus-Treatment works consents</v>
      </c>
      <c r="E3301" t="str">
        <f>'7D'!$C$16</f>
        <v>kg BOD5/day</v>
      </c>
      <c r="F3301" t="s">
        <v>17334</v>
      </c>
      <c r="G3301">
        <f>'7D'!$D$16</f>
        <v>0</v>
      </c>
      <c r="O3301" t="str">
        <f>_xlfn.CONCAT('7D'!$B$9, "-", '7D'!$B$16, "-", '7D'!$O$7, "-", '7D'!$N$6, "-", '7D'!$N$5)</f>
        <v>Load received at sewage treatment works-Total load received-&gt;0.5 to &lt;=1mg/l-Phosphorus-Treatment works consents</v>
      </c>
    </row>
    <row r="3302" spans="1:15">
      <c r="A3302" t="s">
        <v>17341</v>
      </c>
      <c r="B3302" s="2602" t="str">
        <f>'7D'!$BZ$16</f>
        <v>STWDP123</v>
      </c>
      <c r="D3302" t="str">
        <f>_xlfn.CONCAT('7D'!$B$9, "-", '7D'!$B$16, "-", '7D'!$P$7, "-", '7D'!$N$6, "-", '7D'!$N$5)</f>
        <v>Load received at sewage treatment works-Total load received-&gt;1mg/l-Phosphorus-Treatment works consents</v>
      </c>
      <c r="E3302" t="str">
        <f>'7D'!$C$16</f>
        <v>kg BOD5/day</v>
      </c>
      <c r="F3302" t="s">
        <v>17334</v>
      </c>
      <c r="G3302">
        <f>'7D'!$D$16</f>
        <v>0</v>
      </c>
      <c r="O3302" t="str">
        <f>_xlfn.CONCAT('7D'!$B$9, "-", '7D'!$B$16, "-", '7D'!$P$7, "-", '7D'!$N$6, "-", '7D'!$N$5)</f>
        <v>Load received at sewage treatment works-Total load received-&gt;1mg/l-Phosphorus-Treatment works consents</v>
      </c>
    </row>
    <row r="3303" spans="1:15">
      <c r="A3303" t="s">
        <v>17341</v>
      </c>
      <c r="B3303" s="2602" t="str">
        <f>'7D'!$CA$16</f>
        <v>STWDP124</v>
      </c>
      <c r="D3303" t="str">
        <f>_xlfn.CONCAT('7D'!$B$9, "-", '7D'!$B$16, "-", '7D'!$Q$7, "-", '7D'!$N$6, "-", '7D'!$N$5)</f>
        <v>Load received at sewage treatment works-Total load received-No permit-Phosphorus-Treatment works consents</v>
      </c>
      <c r="E3303" t="str">
        <f>'7D'!$C$16</f>
        <v>kg BOD5/day</v>
      </c>
      <c r="F3303" t="s">
        <v>17334</v>
      </c>
      <c r="G3303">
        <f>'7D'!$D$16</f>
        <v>0</v>
      </c>
      <c r="O3303" t="str">
        <f>_xlfn.CONCAT('7D'!$B$9, "-", '7D'!$B$16, "-", '7D'!$Q$7, "-", '7D'!$N$6, "-", '7D'!$N$5)</f>
        <v>Load received at sewage treatment works-Total load received-No permit-Phosphorus-Treatment works consents</v>
      </c>
    </row>
    <row r="3304" spans="1:15">
      <c r="A3304" t="s">
        <v>17341</v>
      </c>
      <c r="B3304" s="2602" t="str">
        <f>'7D'!$CB$16</f>
        <v>STWDP125</v>
      </c>
      <c r="D3304" t="str">
        <f>_xlfn.CONCAT('7D'!$B$9, "-", '7D'!$B$16, "-", '7D'!$R$7, "-", '7D'!$N$6, "-", '7D'!$N$5)</f>
        <v>Load received at sewage treatment works-Total load received-Total-Phosphorus-Treatment works consents</v>
      </c>
      <c r="E3304" t="str">
        <f>'7D'!$C$16</f>
        <v>kg BOD5/day</v>
      </c>
      <c r="F3304" t="s">
        <v>17334</v>
      </c>
      <c r="G3304">
        <f>'7D'!$D$16</f>
        <v>0</v>
      </c>
      <c r="O3304" t="str">
        <f>_xlfn.CONCAT('7D'!$B$9, "-", '7D'!$B$16, "-", '7D'!$R$7, "-", '7D'!$N$6, "-", '7D'!$N$5)</f>
        <v>Load received at sewage treatment works-Total load received-Total-Phosphorus-Treatment works consents</v>
      </c>
    </row>
    <row r="3305" spans="1:15">
      <c r="A3305" t="s">
        <v>17341</v>
      </c>
      <c r="B3305" s="2602" t="str">
        <f>'7D'!$CC$16</f>
        <v>STWDB121</v>
      </c>
      <c r="D3305" t="str">
        <f>_xlfn.CONCAT('7D'!$B$9, "-", '7D'!$B$16, "-", '7D'!$S$7, "-", '7D'!$S$6, "-", '7D'!$N$5)</f>
        <v>Load received at sewage treatment works-Total load received-&lt;=7mg/l-BOD5-Treatment works consents</v>
      </c>
      <c r="E3305" t="str">
        <f>'7D'!$C$16</f>
        <v>kg BOD5/day</v>
      </c>
      <c r="F3305" t="s">
        <v>17334</v>
      </c>
      <c r="G3305">
        <f>'7D'!$D$16</f>
        <v>0</v>
      </c>
      <c r="O3305" t="str">
        <f>_xlfn.CONCAT('7D'!$B$9, "-", '7D'!$B$16, "-", '7D'!$S$7, "-", '7D'!$S$6, "-", '7D'!$N$5)</f>
        <v>Load received at sewage treatment works-Total load received-&lt;=7mg/l-BOD5-Treatment works consents</v>
      </c>
    </row>
    <row r="3306" spans="1:15">
      <c r="A3306" t="s">
        <v>17341</v>
      </c>
      <c r="B3306" s="2602" t="str">
        <f>'7D'!$CD$16</f>
        <v>STWDB122</v>
      </c>
      <c r="D3306" t="str">
        <f>_xlfn.CONCAT('7D'!$B$9, "-", '7D'!$B$16, "-", '7D'!$T$7, "-", '7D'!$S$6, "-", '7D'!$N$5)</f>
        <v>Load received at sewage treatment works-Total load received-&gt;7 to &lt;=10mg/l-BOD5-Treatment works consents</v>
      </c>
      <c r="E3306" t="str">
        <f>'7D'!$C$16</f>
        <v>kg BOD5/day</v>
      </c>
      <c r="F3306" t="s">
        <v>17334</v>
      </c>
      <c r="G3306">
        <f>'7D'!$D$16</f>
        <v>0</v>
      </c>
      <c r="O3306" t="str">
        <f>_xlfn.CONCAT('7D'!$B$9, "-", '7D'!$B$16, "-", '7D'!$T$7, "-", '7D'!$S$6, "-", '7D'!$N$5)</f>
        <v>Load received at sewage treatment works-Total load received-&gt;7 to &lt;=10mg/l-BOD5-Treatment works consents</v>
      </c>
    </row>
    <row r="3307" spans="1:15">
      <c r="A3307" t="s">
        <v>17341</v>
      </c>
      <c r="B3307" s="2602" t="str">
        <f>'7D'!$CE$16</f>
        <v>STWDB123</v>
      </c>
      <c r="D3307" t="str">
        <f>_xlfn.CONCAT('7D'!$B$9, "-", '7D'!$B$16, "-", '7D'!$U$7, "-", '7D'!$S$6, "-", '7D'!$N$5)</f>
        <v>Load received at sewage treatment works-Total load received-&gt;10 to &lt;=20mg/l-BOD5-Treatment works consents</v>
      </c>
      <c r="E3307" t="str">
        <f>'7D'!$C$16</f>
        <v>kg BOD5/day</v>
      </c>
      <c r="F3307" t="s">
        <v>17334</v>
      </c>
      <c r="G3307">
        <f>'7D'!$D$16</f>
        <v>0</v>
      </c>
      <c r="O3307" t="str">
        <f>_xlfn.CONCAT('7D'!$B$9, "-", '7D'!$B$16, "-", '7D'!$U$7, "-", '7D'!$S$6, "-", '7D'!$N$5)</f>
        <v>Load received at sewage treatment works-Total load received-&gt;10 to &lt;=20mg/l-BOD5-Treatment works consents</v>
      </c>
    </row>
    <row r="3308" spans="1:15">
      <c r="A3308" t="s">
        <v>17341</v>
      </c>
      <c r="B3308" s="2602" t="str">
        <f>'7D'!$CF$16</f>
        <v>STWDB124</v>
      </c>
      <c r="D3308" t="str">
        <f>_xlfn.CONCAT('7D'!$B$9, "-", '7D'!$B$16, "-", '7D'!$V$7, "-", '7D'!$S$6, "-", '7D'!$N$5)</f>
        <v>Load received at sewage treatment works-Total load received-&gt;20mg/l-BOD5-Treatment works consents</v>
      </c>
      <c r="E3308" t="str">
        <f>'7D'!$C$16</f>
        <v>kg BOD5/day</v>
      </c>
      <c r="F3308" t="s">
        <v>17334</v>
      </c>
      <c r="G3308">
        <f>'7D'!$D$16</f>
        <v>0</v>
      </c>
      <c r="O3308" t="str">
        <f>_xlfn.CONCAT('7D'!$B$9, "-", '7D'!$B$16, "-", '7D'!$V$7, "-", '7D'!$S$6, "-", '7D'!$N$5)</f>
        <v>Load received at sewage treatment works-Total load received-&gt;20mg/l-BOD5-Treatment works consents</v>
      </c>
    </row>
    <row r="3309" spans="1:15">
      <c r="A3309" t="s">
        <v>17341</v>
      </c>
      <c r="B3309" s="2602" t="str">
        <f>'7D'!$CG$16</f>
        <v>STWDB125</v>
      </c>
      <c r="D3309" t="str">
        <f>_xlfn.CONCAT('7D'!$B$9, "-", '7D'!$B$16, "-", '7D'!$W$7, "-", '7D'!$S$6, "-", '7D'!$N$5)</f>
        <v>Load received at sewage treatment works-Total load received-No permit-BOD5-Treatment works consents</v>
      </c>
      <c r="E3309" t="str">
        <f>'7D'!$C$16</f>
        <v>kg BOD5/day</v>
      </c>
      <c r="F3309" t="s">
        <v>17334</v>
      </c>
      <c r="G3309">
        <f>'7D'!$D$16</f>
        <v>0</v>
      </c>
      <c r="O3309" t="str">
        <f>_xlfn.CONCAT('7D'!$B$9, "-", '7D'!$B$16, "-", '7D'!$W$7, "-", '7D'!$S$6, "-", '7D'!$N$5)</f>
        <v>Load received at sewage treatment works-Total load received-No permit-BOD5-Treatment works consents</v>
      </c>
    </row>
    <row r="3310" spans="1:15">
      <c r="A3310" t="s">
        <v>17341</v>
      </c>
      <c r="B3310" s="2602" t="str">
        <f>'7D'!$CH$16</f>
        <v>STWDB126</v>
      </c>
      <c r="D3310" t="str">
        <f>_xlfn.CONCAT('7D'!$B$9, "-", '7D'!$B$16, "-", '7D'!$X$7, "-", '7D'!$S$6, "-", '7D'!$N$5)</f>
        <v>Load received at sewage treatment works-Total load received-Total-BOD5-Treatment works consents</v>
      </c>
      <c r="E3310" t="str">
        <f>'7D'!$C$16</f>
        <v>kg BOD5/day</v>
      </c>
      <c r="F3310" t="s">
        <v>17334</v>
      </c>
      <c r="G3310">
        <f>'7D'!$D$16</f>
        <v>0</v>
      </c>
      <c r="O3310" t="str">
        <f>_xlfn.CONCAT('7D'!$B$9, "-", '7D'!$B$16, "-", '7D'!$X$7, "-", '7D'!$S$6, "-", '7D'!$N$5)</f>
        <v>Load received at sewage treatment works-Total load received-Total-BOD5-Treatment works consents</v>
      </c>
    </row>
    <row r="3311" spans="1:15">
      <c r="A3311" t="s">
        <v>17341</v>
      </c>
      <c r="B3311" s="2602" t="str">
        <f>'7D'!$CI$16</f>
        <v>STWDA121</v>
      </c>
      <c r="D3311" t="str">
        <f>_xlfn.CONCAT('7D'!$B$9, "-", '7D'!$B$16, "-", '7D'!$Y$7, "-", '7D'!$Y$6, "-", '7D'!$N$5)</f>
        <v>Load received at sewage treatment works-Total load received-&lt;=1mg/l-Ammonia-Treatment works consents</v>
      </c>
      <c r="E3311" t="str">
        <f>'7D'!$C$16</f>
        <v>kg BOD5/day</v>
      </c>
      <c r="F3311" t="s">
        <v>17334</v>
      </c>
      <c r="G3311">
        <f>'7D'!$D$16</f>
        <v>0</v>
      </c>
      <c r="O3311" t="str">
        <f>_xlfn.CONCAT('7D'!$B$9, "-", '7D'!$B$16, "-", '7D'!$Y$7, "-", '7D'!$Y$6, "-", '7D'!$N$5)</f>
        <v>Load received at sewage treatment works-Total load received-&lt;=1mg/l-Ammonia-Treatment works consents</v>
      </c>
    </row>
    <row r="3312" spans="1:15">
      <c r="A3312" t="s">
        <v>17341</v>
      </c>
      <c r="B3312" s="2602" t="str">
        <f>'7D'!$CJ$16</f>
        <v>STWDA122</v>
      </c>
      <c r="D3312" t="str">
        <f>_xlfn.CONCAT('7D'!$B$9, "-", '7D'!$B$16, "-", '7D'!$Z$7, "-", '7D'!$Y$6, "-", '7D'!$N$5)</f>
        <v>Load received at sewage treatment works-Total load received-&gt;1 to &lt;=3mg/l-Ammonia-Treatment works consents</v>
      </c>
      <c r="E3312" t="str">
        <f>'7D'!$C$16</f>
        <v>kg BOD5/day</v>
      </c>
      <c r="F3312" t="s">
        <v>17334</v>
      </c>
      <c r="G3312">
        <f>'7D'!$D$16</f>
        <v>0</v>
      </c>
      <c r="O3312" t="str">
        <f>_xlfn.CONCAT('7D'!$B$9, "-", '7D'!$B$16, "-", '7D'!$Z$7, "-", '7D'!$Y$6, "-", '7D'!$N$5)</f>
        <v>Load received at sewage treatment works-Total load received-&gt;1 to &lt;=3mg/l-Ammonia-Treatment works consents</v>
      </c>
    </row>
    <row r="3313" spans="1:15">
      <c r="A3313" t="s">
        <v>17341</v>
      </c>
      <c r="B3313" s="2602" t="str">
        <f>'7D'!$CK$16</f>
        <v>STWDA123</v>
      </c>
      <c r="D3313" t="str">
        <f>_xlfn.CONCAT('7D'!$B$9, "-", '7D'!$B$16, "-", '7D'!$AA$7, "-", '7D'!$Y$6, "-", '7D'!$N$5)</f>
        <v>Load received at sewage treatment works-Total load received-&gt;3 to &lt;=10mg/l-Ammonia-Treatment works consents</v>
      </c>
      <c r="E3313" t="str">
        <f>'7D'!$C$16</f>
        <v>kg BOD5/day</v>
      </c>
      <c r="F3313" t="s">
        <v>17334</v>
      </c>
      <c r="G3313">
        <f>'7D'!$D$16</f>
        <v>0</v>
      </c>
      <c r="O3313" t="str">
        <f>_xlfn.CONCAT('7D'!$B$9, "-", '7D'!$B$16, "-", '7D'!$AA$7, "-", '7D'!$Y$6, "-", '7D'!$N$5)</f>
        <v>Load received at sewage treatment works-Total load received-&gt;3 to &lt;=10mg/l-Ammonia-Treatment works consents</v>
      </c>
    </row>
    <row r="3314" spans="1:15">
      <c r="A3314" t="s">
        <v>17341</v>
      </c>
      <c r="B3314" s="2602" t="str">
        <f>'7D'!$CL$16</f>
        <v>STWDA124</v>
      </c>
      <c r="D3314" t="str">
        <f>_xlfn.CONCAT('7D'!$B$9, "-", '7D'!$B$16, "-", '7D'!$AB$7, "-", '7D'!$Y$6, "-", '7D'!$N$5)</f>
        <v>Load received at sewage treatment works-Total load received-&gt;10mg/l-Ammonia-Treatment works consents</v>
      </c>
      <c r="E3314" t="str">
        <f>'7D'!$C$16</f>
        <v>kg BOD5/day</v>
      </c>
      <c r="F3314" t="s">
        <v>17334</v>
      </c>
      <c r="G3314">
        <f>'7D'!$D$16</f>
        <v>0</v>
      </c>
      <c r="O3314" t="str">
        <f>_xlfn.CONCAT('7D'!$B$9, "-", '7D'!$B$16, "-", '7D'!$AB$7, "-", '7D'!$Y$6, "-", '7D'!$N$5)</f>
        <v>Load received at sewage treatment works-Total load received-&gt;10mg/l-Ammonia-Treatment works consents</v>
      </c>
    </row>
    <row r="3315" spans="1:15">
      <c r="A3315" t="s">
        <v>17341</v>
      </c>
      <c r="B3315" s="2602" t="str">
        <f>'7D'!$CM$16</f>
        <v>STWDA125</v>
      </c>
      <c r="D3315" t="str">
        <f>_xlfn.CONCAT('7D'!$B$9, "-", '7D'!$B$16, "-", '7D'!$AC$7, "-", '7D'!$Y$6, "-", '7D'!$N$5)</f>
        <v>Load received at sewage treatment works-Total load received-No permit-Ammonia-Treatment works consents</v>
      </c>
      <c r="E3315" t="str">
        <f>'7D'!$C$16</f>
        <v>kg BOD5/day</v>
      </c>
      <c r="F3315" t="s">
        <v>17334</v>
      </c>
      <c r="G3315">
        <f>'7D'!$D$16</f>
        <v>0</v>
      </c>
      <c r="O3315" t="str">
        <f>_xlfn.CONCAT('7D'!$B$9, "-", '7D'!$B$16, "-", '7D'!$AC$7, "-", '7D'!$Y$6, "-", '7D'!$N$5)</f>
        <v>Load received at sewage treatment works-Total load received-No permit-Ammonia-Treatment works consents</v>
      </c>
    </row>
    <row r="3316" spans="1:15">
      <c r="A3316" t="s">
        <v>17341</v>
      </c>
      <c r="B3316" s="2602" t="str">
        <f>'7D'!$CN$16</f>
        <v>STWDA126</v>
      </c>
      <c r="D3316" t="str">
        <f>_xlfn.CONCAT('7D'!$B$9, "-", '7D'!$B$16, "-", '7D'!$AD$7, "-", '7D'!$Y$6, "-", '7D'!$N$5)</f>
        <v>Load received at sewage treatment works-Total load received-Total-Ammonia-Treatment works consents</v>
      </c>
      <c r="E3316" t="str">
        <f>'7D'!$C$16</f>
        <v>kg BOD5/day</v>
      </c>
      <c r="F3316" t="s">
        <v>17334</v>
      </c>
      <c r="G3316">
        <f>'7D'!$D$16</f>
        <v>0</v>
      </c>
      <c r="O3316" t="str">
        <f>_xlfn.CONCAT('7D'!$B$9, "-", '7D'!$B$16, "-", '7D'!$AD$7, "-", '7D'!$Y$6, "-", '7D'!$N$5)</f>
        <v>Load received at sewage treatment works-Total load received-Total-Ammonia-Treatment works consents</v>
      </c>
    </row>
    <row r="3317" spans="1:15">
      <c r="A3317" t="s">
        <v>17341</v>
      </c>
      <c r="B3317" s="2602" t="str">
        <f>'7D'!$BV$17</f>
        <v>STWD130</v>
      </c>
      <c r="D3317" t="str">
        <f>_xlfn.CONCAT('7D'!$B$9, "-", '7D'!$B$17, "-", '7D'!$L$6, "-", '7D'!$L$6, "-", '7D'!$E$5)</f>
        <v>Load received at sewage treatment works-Load received from trade effluent customers at treatment works -Total-Total-Treatment categories</v>
      </c>
      <c r="E3317" t="str">
        <f>'7D'!$C$17</f>
        <v>kg BOD5/day</v>
      </c>
      <c r="F3317" t="s">
        <v>17334</v>
      </c>
      <c r="G3317">
        <f>'7D'!$D$17</f>
        <v>0</v>
      </c>
      <c r="O3317" t="str">
        <f>_xlfn.CONCAT('7D'!$B$9, "-", '7D'!$B$17, "-", '7D'!$L$6, "-", '7D'!$L$6, "-", '7D'!$E$5)</f>
        <v>Load received at sewage treatment works-Load received from trade effluent customers at treatment works -Total-Total-Treatment categories</v>
      </c>
    </row>
    <row r="3318" spans="1:15">
      <c r="A3318" t="s">
        <v>17341</v>
      </c>
      <c r="B3318" t="str">
        <f>'7D'!$BO$20</f>
        <v>STWC001</v>
      </c>
      <c r="D3318" t="str">
        <f>_xlfn.CONCAT('7D'!$B$19, "-", '7D'!$B$20, "-", '7D'!$E$6, "-", '7D'!$E$6, "-", '7D'!$E$5)</f>
        <v>Number of sewage treatment works-STWs in size band 1-Primary-Primary-Treatment categories</v>
      </c>
      <c r="E3318" t="str">
        <f>'7D'!$C$20</f>
        <v>nr</v>
      </c>
      <c r="F3318" t="s">
        <v>17334</v>
      </c>
      <c r="G3318">
        <f>'7D'!$D$20</f>
        <v>0</v>
      </c>
      <c r="O3318" t="str">
        <f>_xlfn.CONCAT('7D'!$B$19, "-", '7D'!$B$20, "-", '7D'!$E$6, "-", '7D'!$E$6, "-", '7D'!$E$5)</f>
        <v>Number of sewage treatment works-STWs in size band 1-Primary-Primary-Treatment categories</v>
      </c>
    </row>
    <row r="3319" spans="1:15">
      <c r="A3319" t="s">
        <v>17341</v>
      </c>
      <c r="B3319" t="str">
        <f>'7D'!$BP$20</f>
        <v>STWC002</v>
      </c>
      <c r="D3319" t="str">
        <f>_xlfn.CONCAT('7D'!$B$19, "-", '7D'!$B$20, "-", '7D'!$F$7, "-", '7D'!$F$6, "-", '7D'!$E$5)</f>
        <v>Number of sewage treatment works-STWs in size band 1-Activated Sludge-Secondary-Treatment categories</v>
      </c>
      <c r="E3319" t="str">
        <f>'7D'!$C$20</f>
        <v>nr</v>
      </c>
      <c r="F3319" t="s">
        <v>17334</v>
      </c>
      <c r="G3319">
        <f>'7D'!$D$20</f>
        <v>0</v>
      </c>
      <c r="O3319" t="str">
        <f>_xlfn.CONCAT('7D'!$B$19, "-", '7D'!$B$20, "-", '7D'!$F$7, "-", '7D'!$F$6, "-", '7D'!$E$5)</f>
        <v>Number of sewage treatment works-STWs in size band 1-Activated Sludge-Secondary-Treatment categories</v>
      </c>
    </row>
    <row r="3320" spans="1:15">
      <c r="A3320" t="s">
        <v>17341</v>
      </c>
      <c r="B3320" t="str">
        <f>'7D'!$BQ$20</f>
        <v>STWC003</v>
      </c>
      <c r="D3320" t="str">
        <f>_xlfn.CONCAT('7D'!$B$19, "-", '7D'!$B$20, "-", '7D'!$G$7, "-", '7D'!$F$6, "-", '7D'!$E$5)</f>
        <v>Number of sewage treatment works-STWs in size band 1-Biological-Secondary-Treatment categories</v>
      </c>
      <c r="E3320" t="str">
        <f>'7D'!$C$20</f>
        <v>nr</v>
      </c>
      <c r="F3320" t="s">
        <v>17334</v>
      </c>
      <c r="G3320">
        <f>'7D'!$D$20</f>
        <v>0</v>
      </c>
      <c r="O3320" t="str">
        <f>_xlfn.CONCAT('7D'!$B$19, "-", '7D'!$B$20, "-", '7D'!$G$7, "-", '7D'!$F$6, "-", '7D'!$E$5)</f>
        <v>Number of sewage treatment works-STWs in size band 1-Biological-Secondary-Treatment categories</v>
      </c>
    </row>
    <row r="3321" spans="1:15">
      <c r="A3321" t="s">
        <v>17341</v>
      </c>
      <c r="B3321" t="str">
        <f>'7D'!$BR$20</f>
        <v>STWC004</v>
      </c>
      <c r="D3321" t="str">
        <f>_xlfn.CONCAT('7D'!$B$19, "-", '7D'!$B$20, "-", '7D'!$H$7, "-", '7D'!$H$6, "-", '7D'!$E$5)</f>
        <v>Number of sewage treatment works-STWs in size band 1-A1-Tertiary-Treatment categories</v>
      </c>
      <c r="E3321" t="str">
        <f>'7D'!$C$20</f>
        <v>nr</v>
      </c>
      <c r="F3321" t="s">
        <v>17334</v>
      </c>
      <c r="G3321">
        <f>'7D'!$D$20</f>
        <v>0</v>
      </c>
      <c r="O3321" t="str">
        <f>_xlfn.CONCAT('7D'!$B$19, "-", '7D'!$B$20, "-", '7D'!$H$7, "-", '7D'!$H$6, "-", '7D'!$E$5)</f>
        <v>Number of sewage treatment works-STWs in size band 1-A1-Tertiary-Treatment categories</v>
      </c>
    </row>
    <row r="3322" spans="1:15">
      <c r="A3322" t="s">
        <v>17341</v>
      </c>
      <c r="B3322" t="str">
        <f>'7D'!$BS$20</f>
        <v>STWC005</v>
      </c>
      <c r="D3322" t="str">
        <f>_xlfn.CONCAT('7D'!$B$19, "-", '7D'!$B$20, "-", '7D'!$I$7, "-", '7D'!$H$6, "-", '7D'!$E$5)</f>
        <v>Number of sewage treatment works-STWs in size band 1-A2-Tertiary-Treatment categories</v>
      </c>
      <c r="E3322" t="str">
        <f>'7D'!$C$20</f>
        <v>nr</v>
      </c>
      <c r="F3322" t="s">
        <v>17334</v>
      </c>
      <c r="G3322">
        <f>'7D'!$D$20</f>
        <v>0</v>
      </c>
      <c r="O3322" t="str">
        <f>_xlfn.CONCAT('7D'!$B$19, "-", '7D'!$B$20, "-", '7D'!$I$7, "-", '7D'!$H$6, "-", '7D'!$E$5)</f>
        <v>Number of sewage treatment works-STWs in size band 1-A2-Tertiary-Treatment categories</v>
      </c>
    </row>
    <row r="3323" spans="1:15">
      <c r="A3323" t="s">
        <v>17341</v>
      </c>
      <c r="B3323" t="str">
        <f>'7D'!$BT$20</f>
        <v>STWC006</v>
      </c>
      <c r="D3323" t="str">
        <f>_xlfn.CONCAT('7D'!$B$19, "-", '7D'!$B$20, "-", '7D'!$J$7, "-", '7D'!$H$6, "-", '7D'!$E$5)</f>
        <v>Number of sewage treatment works-STWs in size band 1-B1-Tertiary-Treatment categories</v>
      </c>
      <c r="E3323" t="str">
        <f>'7D'!$C$20</f>
        <v>nr</v>
      </c>
      <c r="F3323" t="s">
        <v>17334</v>
      </c>
      <c r="G3323">
        <f>'7D'!$D$20</f>
        <v>0</v>
      </c>
      <c r="O3323" t="str">
        <f>_xlfn.CONCAT('7D'!$B$19, "-", '7D'!$B$20, "-", '7D'!$J$7, "-", '7D'!$H$6, "-", '7D'!$E$5)</f>
        <v>Number of sewage treatment works-STWs in size band 1-B1-Tertiary-Treatment categories</v>
      </c>
    </row>
    <row r="3324" spans="1:15">
      <c r="A3324" t="s">
        <v>17341</v>
      </c>
      <c r="B3324" t="str">
        <f>'7D'!$BU$20</f>
        <v>STWC007</v>
      </c>
      <c r="D3324" t="str">
        <f>_xlfn.CONCAT('7D'!$B$19, "-", '7D'!$B$20, "-", '7D'!$K$7, "-", '7D'!$H$6, "-", '7D'!$E$5)</f>
        <v>Number of sewage treatment works-STWs in size band 1-B2-Tertiary-Treatment categories</v>
      </c>
      <c r="E3324" t="str">
        <f>'7D'!$C$20</f>
        <v>nr</v>
      </c>
      <c r="F3324" t="s">
        <v>17334</v>
      </c>
      <c r="G3324">
        <f>'7D'!$D$20</f>
        <v>0</v>
      </c>
      <c r="O3324" t="str">
        <f>_xlfn.CONCAT('7D'!$B$19, "-", '7D'!$B$20, "-", '7D'!$K$7, "-", '7D'!$H$6, "-", '7D'!$E$5)</f>
        <v>Number of sewage treatment works-STWs in size band 1-B2-Tertiary-Treatment categories</v>
      </c>
    </row>
    <row r="3325" spans="1:15">
      <c r="A3325" t="s">
        <v>17341</v>
      </c>
      <c r="B3325" s="2602" t="str">
        <f>'7D'!$BV$20</f>
        <v>STWC108</v>
      </c>
      <c r="D3325" t="str">
        <f>_xlfn.CONCAT('7D'!$B$19, "-", '7D'!$B$20, "-", '7D'!$L$6, "-", '7D'!$L$6, "-", '7D'!$E$5)</f>
        <v>Number of sewage treatment works-STWs in size band 1-Total-Total-Treatment categories</v>
      </c>
      <c r="E3325" t="str">
        <f>'7D'!$C$20</f>
        <v>nr</v>
      </c>
      <c r="F3325" t="s">
        <v>17334</v>
      </c>
      <c r="G3325">
        <f>'7D'!$D$20</f>
        <v>0</v>
      </c>
      <c r="O3325" t="str">
        <f>_xlfn.CONCAT('7D'!$B$19, "-", '7D'!$B$20, "-", '7D'!$L$6, "-", '7D'!$L$6, "-", '7D'!$E$5)</f>
        <v>Number of sewage treatment works-STWs in size band 1-Total-Total-Treatment categories</v>
      </c>
    </row>
    <row r="3326" spans="1:15">
      <c r="A3326" t="s">
        <v>17341</v>
      </c>
      <c r="B3326" t="str">
        <f>'7D'!$BX$20</f>
        <v>STWCP001</v>
      </c>
      <c r="D3326" t="str">
        <f>_xlfn.CONCAT('7D'!$B$19, "-", '7D'!$B$20, "-", '7D'!$N$7, "-", '7D'!$N$6, "-", '7D'!$N$5)</f>
        <v>Number of sewage treatment works-STWs in size band 1-&lt;=0.5mg/l-Phosphorus-Treatment works consents</v>
      </c>
      <c r="E3326" t="str">
        <f>'7D'!$C$20</f>
        <v>nr</v>
      </c>
      <c r="F3326" t="s">
        <v>17334</v>
      </c>
      <c r="G3326">
        <f>'7D'!$D$20</f>
        <v>0</v>
      </c>
      <c r="O3326" t="str">
        <f>_xlfn.CONCAT('7D'!$B$19, "-", '7D'!$B$20, "-", '7D'!$N$7, "-", '7D'!$N$6, "-", '7D'!$N$5)</f>
        <v>Number of sewage treatment works-STWs in size band 1-&lt;=0.5mg/l-Phosphorus-Treatment works consents</v>
      </c>
    </row>
    <row r="3327" spans="1:15">
      <c r="A3327" t="s">
        <v>17341</v>
      </c>
      <c r="B3327" t="str">
        <f>'7D'!$BY$20</f>
        <v>STWCP002</v>
      </c>
      <c r="D3327" t="str">
        <f>_xlfn.CONCAT('7D'!$B$19, "-", '7D'!$B$20, "-", '7D'!$O$7, "-", '7D'!$N$6, "-", '7D'!$N$5)</f>
        <v>Number of sewage treatment works-STWs in size band 1-&gt;0.5 to &lt;=1mg/l-Phosphorus-Treatment works consents</v>
      </c>
      <c r="E3327" t="str">
        <f>'7D'!$C$20</f>
        <v>nr</v>
      </c>
      <c r="F3327" t="s">
        <v>17334</v>
      </c>
      <c r="G3327">
        <f>'7D'!$D$20</f>
        <v>0</v>
      </c>
      <c r="O3327" t="str">
        <f>_xlfn.CONCAT('7D'!$B$19, "-", '7D'!$B$20, "-", '7D'!$O$7, "-", '7D'!$N$6, "-", '7D'!$N$5)</f>
        <v>Number of sewage treatment works-STWs in size band 1-&gt;0.5 to &lt;=1mg/l-Phosphorus-Treatment works consents</v>
      </c>
    </row>
    <row r="3328" spans="1:15">
      <c r="A3328" t="s">
        <v>17341</v>
      </c>
      <c r="B3328" t="str">
        <f>'7D'!$BZ$20</f>
        <v>STWCP003</v>
      </c>
      <c r="D3328" t="str">
        <f>_xlfn.CONCAT('7D'!$B$19, "-", '7D'!$B$20, "-", '7D'!$P$7, "-", '7D'!$N$6, "-", '7D'!$N$5)</f>
        <v>Number of sewage treatment works-STWs in size band 1-&gt;1mg/l-Phosphorus-Treatment works consents</v>
      </c>
      <c r="E3328" t="str">
        <f>'7D'!$C$20</f>
        <v>nr</v>
      </c>
      <c r="F3328" t="s">
        <v>17334</v>
      </c>
      <c r="G3328">
        <f>'7D'!$D$20</f>
        <v>0</v>
      </c>
      <c r="O3328" t="str">
        <f>_xlfn.CONCAT('7D'!$B$19, "-", '7D'!$B$20, "-", '7D'!$P$7, "-", '7D'!$N$6, "-", '7D'!$N$5)</f>
        <v>Number of sewage treatment works-STWs in size band 1-&gt;1mg/l-Phosphorus-Treatment works consents</v>
      </c>
    </row>
    <row r="3329" spans="1:15">
      <c r="A3329" t="s">
        <v>17341</v>
      </c>
      <c r="B3329" t="str">
        <f>'7D'!$CA$20</f>
        <v>STWCP004</v>
      </c>
      <c r="D3329" t="str">
        <f>_xlfn.CONCAT('7D'!$B$19, "-", '7D'!$B$20, "-", '7D'!$Q$7, "-", '7D'!$N$6, "-", '7D'!$N$5)</f>
        <v>Number of sewage treatment works-STWs in size band 1-No permit-Phosphorus-Treatment works consents</v>
      </c>
      <c r="E3329" t="str">
        <f>'7D'!$C$20</f>
        <v>nr</v>
      </c>
      <c r="F3329" t="s">
        <v>17334</v>
      </c>
      <c r="G3329">
        <f>'7D'!$D$20</f>
        <v>0</v>
      </c>
      <c r="O3329" t="str">
        <f>_xlfn.CONCAT('7D'!$B$19, "-", '7D'!$B$20, "-", '7D'!$Q$7, "-", '7D'!$N$6, "-", '7D'!$N$5)</f>
        <v>Number of sewage treatment works-STWs in size band 1-No permit-Phosphorus-Treatment works consents</v>
      </c>
    </row>
    <row r="3330" spans="1:15">
      <c r="A3330" t="s">
        <v>17341</v>
      </c>
      <c r="B3330" s="2602" t="str">
        <f>'7D'!$CB$20</f>
        <v>STWCP005</v>
      </c>
      <c r="D3330" t="str">
        <f>_xlfn.CONCAT('7D'!$B$19, "-", '7D'!$B$20, "-", '7D'!$R$7, "-", '7D'!$N$6, "-", '7D'!$N$5)</f>
        <v>Number of sewage treatment works-STWs in size band 1-Total-Phosphorus-Treatment works consents</v>
      </c>
      <c r="E3330" t="str">
        <f>'7D'!$C$20</f>
        <v>nr</v>
      </c>
      <c r="F3330" t="s">
        <v>17334</v>
      </c>
      <c r="G3330">
        <f>'7D'!$D$20</f>
        <v>0</v>
      </c>
      <c r="O3330" t="str">
        <f>_xlfn.CONCAT('7D'!$B$19, "-", '7D'!$B$20, "-", '7D'!$R$7, "-", '7D'!$N$6, "-", '7D'!$N$5)</f>
        <v>Number of sewage treatment works-STWs in size band 1-Total-Phosphorus-Treatment works consents</v>
      </c>
    </row>
    <row r="3331" spans="1:15">
      <c r="A3331" t="s">
        <v>17341</v>
      </c>
      <c r="B3331" t="str">
        <f>'7D'!$CC$20</f>
        <v>STWCB001</v>
      </c>
      <c r="D3331" t="str">
        <f>_xlfn.CONCAT('7D'!$B$19, "-", '7D'!$B$20, "-", '7D'!$S$7, "-", '7D'!$S$6, "-", '7D'!$N$5)</f>
        <v>Number of sewage treatment works-STWs in size band 1-&lt;=7mg/l-BOD5-Treatment works consents</v>
      </c>
      <c r="E3331" t="str">
        <f>'7D'!$C$20</f>
        <v>nr</v>
      </c>
      <c r="F3331" t="s">
        <v>17334</v>
      </c>
      <c r="G3331">
        <f>'7D'!$D$20</f>
        <v>0</v>
      </c>
      <c r="O3331" t="str">
        <f>_xlfn.CONCAT('7D'!$B$19, "-", '7D'!$B$20, "-", '7D'!$S$7, "-", '7D'!$S$6, "-", '7D'!$N$5)</f>
        <v>Number of sewage treatment works-STWs in size band 1-&lt;=7mg/l-BOD5-Treatment works consents</v>
      </c>
    </row>
    <row r="3332" spans="1:15">
      <c r="A3332" t="s">
        <v>17341</v>
      </c>
      <c r="B3332" t="str">
        <f>'7D'!$CD$20</f>
        <v>STWCB002</v>
      </c>
      <c r="D3332" t="str">
        <f>_xlfn.CONCAT('7D'!$B$19, "-", '7D'!$B$20, "-", '7D'!$T$7, "-", '7D'!$S$6, "-", '7D'!$N$5)</f>
        <v>Number of sewage treatment works-STWs in size band 1-&gt;7 to &lt;=10mg/l-BOD5-Treatment works consents</v>
      </c>
      <c r="E3332" t="str">
        <f>'7D'!$C$20</f>
        <v>nr</v>
      </c>
      <c r="F3332" t="s">
        <v>17334</v>
      </c>
      <c r="G3332">
        <f>'7D'!$D$20</f>
        <v>0</v>
      </c>
      <c r="O3332" t="str">
        <f>_xlfn.CONCAT('7D'!$B$19, "-", '7D'!$B$20, "-", '7D'!$T$7, "-", '7D'!$S$6, "-", '7D'!$N$5)</f>
        <v>Number of sewage treatment works-STWs in size band 1-&gt;7 to &lt;=10mg/l-BOD5-Treatment works consents</v>
      </c>
    </row>
    <row r="3333" spans="1:15">
      <c r="A3333" t="s">
        <v>17341</v>
      </c>
      <c r="B3333" t="str">
        <f>'7D'!$CE$20</f>
        <v>STWCB003</v>
      </c>
      <c r="D3333" t="str">
        <f>_xlfn.CONCAT('7D'!$B$19, "-", '7D'!$B$20, "-", '7D'!$U$7, "-", '7D'!$S$6, "-", '7D'!$N$5)</f>
        <v>Number of sewage treatment works-STWs in size band 1-&gt;10 to &lt;=20mg/l-BOD5-Treatment works consents</v>
      </c>
      <c r="E3333" t="str">
        <f>'7D'!$C$20</f>
        <v>nr</v>
      </c>
      <c r="F3333" t="s">
        <v>17334</v>
      </c>
      <c r="G3333">
        <f>'7D'!$D$20</f>
        <v>0</v>
      </c>
      <c r="O3333" t="str">
        <f>_xlfn.CONCAT('7D'!$B$19, "-", '7D'!$B$20, "-", '7D'!$U$7, "-", '7D'!$S$6, "-", '7D'!$N$5)</f>
        <v>Number of sewage treatment works-STWs in size band 1-&gt;10 to &lt;=20mg/l-BOD5-Treatment works consents</v>
      </c>
    </row>
    <row r="3334" spans="1:15">
      <c r="A3334" t="s">
        <v>17341</v>
      </c>
      <c r="B3334" t="str">
        <f>'7D'!$CF$20</f>
        <v>STWCB004</v>
      </c>
      <c r="D3334" t="str">
        <f>_xlfn.CONCAT('7D'!$B$19, "-", '7D'!$B$20, "-", '7D'!$V$7, "-", '7D'!$S$6, "-", '7D'!$N$5)</f>
        <v>Number of sewage treatment works-STWs in size band 1-&gt;20mg/l-BOD5-Treatment works consents</v>
      </c>
      <c r="E3334" t="str">
        <f>'7D'!$C$20</f>
        <v>nr</v>
      </c>
      <c r="F3334" t="s">
        <v>17334</v>
      </c>
      <c r="G3334">
        <f>'7D'!$D$20</f>
        <v>0</v>
      </c>
      <c r="O3334" t="str">
        <f>_xlfn.CONCAT('7D'!$B$19, "-", '7D'!$B$20, "-", '7D'!$V$7, "-", '7D'!$S$6, "-", '7D'!$N$5)</f>
        <v>Number of sewage treatment works-STWs in size band 1-&gt;20mg/l-BOD5-Treatment works consents</v>
      </c>
    </row>
    <row r="3335" spans="1:15">
      <c r="A3335" t="s">
        <v>17341</v>
      </c>
      <c r="B3335" t="str">
        <f>'7D'!$CG$20</f>
        <v>STWCB005</v>
      </c>
      <c r="D3335" t="str">
        <f>_xlfn.CONCAT('7D'!$B$19, "-", '7D'!$B$20, "-", '7D'!$W$7, "-", '7D'!$S$6, "-", '7D'!$N$5)</f>
        <v>Number of sewage treatment works-STWs in size band 1-No permit-BOD5-Treatment works consents</v>
      </c>
      <c r="E3335" t="str">
        <f>'7D'!$C$20</f>
        <v>nr</v>
      </c>
      <c r="F3335" t="s">
        <v>17334</v>
      </c>
      <c r="G3335">
        <f>'7D'!$D$20</f>
        <v>0</v>
      </c>
      <c r="O3335" t="str">
        <f>_xlfn.CONCAT('7D'!$B$19, "-", '7D'!$B$20, "-", '7D'!$W$7, "-", '7D'!$S$6, "-", '7D'!$N$5)</f>
        <v>Number of sewage treatment works-STWs in size band 1-No permit-BOD5-Treatment works consents</v>
      </c>
    </row>
    <row r="3336" spans="1:15">
      <c r="A3336" t="s">
        <v>17341</v>
      </c>
      <c r="B3336" s="2602" t="str">
        <f>'7D'!$CH$20</f>
        <v>STWCB006</v>
      </c>
      <c r="D3336" t="str">
        <f>_xlfn.CONCAT('7D'!$B$19, "-", '7D'!$B$20, "-", '7D'!$X$7, "-", '7D'!$S$6, "-", '7D'!$N$5)</f>
        <v>Number of sewage treatment works-STWs in size band 1-Total-BOD5-Treatment works consents</v>
      </c>
      <c r="E3336" t="str">
        <f>'7D'!$C$20</f>
        <v>nr</v>
      </c>
      <c r="F3336" t="s">
        <v>17334</v>
      </c>
      <c r="G3336">
        <f>'7D'!$D$20</f>
        <v>0</v>
      </c>
      <c r="O3336" t="str">
        <f>_xlfn.CONCAT('7D'!$B$19, "-", '7D'!$B$20, "-", '7D'!$X$7, "-", '7D'!$S$6, "-", '7D'!$N$5)</f>
        <v>Number of sewage treatment works-STWs in size band 1-Total-BOD5-Treatment works consents</v>
      </c>
    </row>
    <row r="3337" spans="1:15">
      <c r="A3337" t="s">
        <v>17341</v>
      </c>
      <c r="B3337" t="str">
        <f>'7D'!$CI$20</f>
        <v>STWCA001</v>
      </c>
      <c r="D3337" t="str">
        <f>_xlfn.CONCAT('7D'!$B$19, "-", '7D'!$B$20, "-", '7D'!$Y$7, "-", '7D'!$Y$6, "-", '7D'!$N$5)</f>
        <v>Number of sewage treatment works-STWs in size band 1-&lt;=1mg/l-Ammonia-Treatment works consents</v>
      </c>
      <c r="E3337" t="str">
        <f>'7D'!$C$20</f>
        <v>nr</v>
      </c>
      <c r="F3337" t="s">
        <v>17334</v>
      </c>
      <c r="G3337">
        <f>'7D'!$D$20</f>
        <v>0</v>
      </c>
      <c r="O3337" t="str">
        <f>_xlfn.CONCAT('7D'!$B$19, "-", '7D'!$B$20, "-", '7D'!$Y$7, "-", '7D'!$Y$6, "-", '7D'!$N$5)</f>
        <v>Number of sewage treatment works-STWs in size band 1-&lt;=1mg/l-Ammonia-Treatment works consents</v>
      </c>
    </row>
    <row r="3338" spans="1:15">
      <c r="A3338" t="s">
        <v>17341</v>
      </c>
      <c r="B3338" t="str">
        <f>'7D'!$CJ$20</f>
        <v>STWCA002</v>
      </c>
      <c r="D3338" t="str">
        <f>_xlfn.CONCAT('7D'!$B$19, "-", '7D'!$B$20, "-", '7D'!$Z$7, "-", '7D'!$Y$6, "-", '7D'!$N$5)</f>
        <v>Number of sewage treatment works-STWs in size band 1-&gt;1 to &lt;=3mg/l-Ammonia-Treatment works consents</v>
      </c>
      <c r="E3338" t="str">
        <f>'7D'!$C$20</f>
        <v>nr</v>
      </c>
      <c r="F3338" t="s">
        <v>17334</v>
      </c>
      <c r="G3338">
        <f>'7D'!$D$20</f>
        <v>0</v>
      </c>
      <c r="O3338" t="str">
        <f>_xlfn.CONCAT('7D'!$B$19, "-", '7D'!$B$20, "-", '7D'!$Z$7, "-", '7D'!$Y$6, "-", '7D'!$N$5)</f>
        <v>Number of sewage treatment works-STWs in size band 1-&gt;1 to &lt;=3mg/l-Ammonia-Treatment works consents</v>
      </c>
    </row>
    <row r="3339" spans="1:15">
      <c r="A3339" t="s">
        <v>17341</v>
      </c>
      <c r="B3339" t="str">
        <f>'7D'!$CK$20</f>
        <v>STWCA003</v>
      </c>
      <c r="D3339" t="str">
        <f>_xlfn.CONCAT('7D'!$B$19, "-", '7D'!$B$20, "-", '7D'!$AA$7, "-", '7D'!$Y$6, "-", '7D'!$N$5)</f>
        <v>Number of sewage treatment works-STWs in size band 1-&gt;3 to &lt;=10mg/l-Ammonia-Treatment works consents</v>
      </c>
      <c r="E3339" t="str">
        <f>'7D'!$C$20</f>
        <v>nr</v>
      </c>
      <c r="F3339" t="s">
        <v>17334</v>
      </c>
      <c r="G3339">
        <f>'7D'!$D$20</f>
        <v>0</v>
      </c>
      <c r="O3339" t="str">
        <f>_xlfn.CONCAT('7D'!$B$19, "-", '7D'!$B$20, "-", '7D'!$AA$7, "-", '7D'!$Y$6, "-", '7D'!$N$5)</f>
        <v>Number of sewage treatment works-STWs in size band 1-&gt;3 to &lt;=10mg/l-Ammonia-Treatment works consents</v>
      </c>
    </row>
    <row r="3340" spans="1:15">
      <c r="A3340" t="s">
        <v>17341</v>
      </c>
      <c r="B3340" t="str">
        <f>'7D'!$CL$20</f>
        <v>STWCA004</v>
      </c>
      <c r="D3340" t="str">
        <f>_xlfn.CONCAT('7D'!$B$19, "-", '7D'!$B$20, "-", '7D'!$AB$7, "-", '7D'!$Y$6, "-", '7D'!$N$5)</f>
        <v>Number of sewage treatment works-STWs in size band 1-&gt;10mg/l-Ammonia-Treatment works consents</v>
      </c>
      <c r="E3340" t="str">
        <f>'7D'!$C$20</f>
        <v>nr</v>
      </c>
      <c r="F3340" t="s">
        <v>17334</v>
      </c>
      <c r="G3340">
        <f>'7D'!$D$20</f>
        <v>0</v>
      </c>
      <c r="O3340" t="str">
        <f>_xlfn.CONCAT('7D'!$B$19, "-", '7D'!$B$20, "-", '7D'!$AB$7, "-", '7D'!$Y$6, "-", '7D'!$N$5)</f>
        <v>Number of sewage treatment works-STWs in size band 1-&gt;10mg/l-Ammonia-Treatment works consents</v>
      </c>
    </row>
    <row r="3341" spans="1:15">
      <c r="A3341" t="s">
        <v>17341</v>
      </c>
      <c r="B3341" t="str">
        <f>'7D'!$CM$20</f>
        <v>STWCA005</v>
      </c>
      <c r="D3341" t="str">
        <f>_xlfn.CONCAT('7D'!$B$19, "-", '7D'!$B$20, "-", '7D'!$AC$7, "-", '7D'!$Y$6, "-", '7D'!$N$5)</f>
        <v>Number of sewage treatment works-STWs in size band 1-No permit-Ammonia-Treatment works consents</v>
      </c>
      <c r="E3341" t="str">
        <f>'7D'!$C$20</f>
        <v>nr</v>
      </c>
      <c r="F3341" t="s">
        <v>17334</v>
      </c>
      <c r="G3341">
        <f>'7D'!$D$20</f>
        <v>0</v>
      </c>
      <c r="O3341" t="str">
        <f>_xlfn.CONCAT('7D'!$B$19, "-", '7D'!$B$20, "-", '7D'!$AC$7, "-", '7D'!$Y$6, "-", '7D'!$N$5)</f>
        <v>Number of sewage treatment works-STWs in size band 1-No permit-Ammonia-Treatment works consents</v>
      </c>
    </row>
    <row r="3342" spans="1:15">
      <c r="A3342" t="s">
        <v>17341</v>
      </c>
      <c r="B3342" s="2602" t="str">
        <f>'7D'!$CN$20</f>
        <v>STWCA006</v>
      </c>
      <c r="D3342" t="str">
        <f>_xlfn.CONCAT('7D'!$B$19, "-", '7D'!$B$20, "-", '7D'!$AD$7, "-", '7D'!$Y$6, "-", '7D'!$N$5)</f>
        <v>Number of sewage treatment works-STWs in size band 1-Total-Ammonia-Treatment works consents</v>
      </c>
      <c r="E3342" t="str">
        <f>'7D'!$C$20</f>
        <v>nr</v>
      </c>
      <c r="F3342" t="s">
        <v>17334</v>
      </c>
      <c r="G3342">
        <f>'7D'!$D$20</f>
        <v>0</v>
      </c>
      <c r="O3342" t="str">
        <f>_xlfn.CONCAT('7D'!$B$19, "-", '7D'!$B$20, "-", '7D'!$AD$7, "-", '7D'!$Y$6, "-", '7D'!$N$5)</f>
        <v>Number of sewage treatment works-STWs in size band 1-Total-Ammonia-Treatment works consents</v>
      </c>
    </row>
    <row r="3343" spans="1:15">
      <c r="A3343" t="s">
        <v>17341</v>
      </c>
      <c r="B3343" t="str">
        <f>'7D'!$BO$21</f>
        <v>STWC015</v>
      </c>
      <c r="D3343" t="str">
        <f>_xlfn.CONCAT('7D'!$B$19, "-", '7D'!$B$21, "-", '7D'!$E$6, "-", '7D'!$E$6, "-", '7D'!$E$5)</f>
        <v>Number of sewage treatment works-STWs in size band 2-Primary-Primary-Treatment categories</v>
      </c>
      <c r="E3343" t="str">
        <f>'7D'!$C$21</f>
        <v>nr</v>
      </c>
      <c r="F3343" t="s">
        <v>17334</v>
      </c>
      <c r="G3343">
        <f>'7D'!$D$21</f>
        <v>0</v>
      </c>
      <c r="O3343" t="str">
        <f>_xlfn.CONCAT('7D'!$B$19, "-", '7D'!$B$21, "-", '7D'!$E$6, "-", '7D'!$E$6, "-", '7D'!$E$5)</f>
        <v>Number of sewage treatment works-STWs in size band 2-Primary-Primary-Treatment categories</v>
      </c>
    </row>
    <row r="3344" spans="1:15">
      <c r="A3344" t="s">
        <v>17341</v>
      </c>
      <c r="B3344" t="str">
        <f>'7D'!$BP$21</f>
        <v>STWC016</v>
      </c>
      <c r="D3344" t="str">
        <f>_xlfn.CONCAT('7D'!$B$19, "-", '7D'!$B$21, "-", '7D'!$F$7, "-", '7D'!$F$6, "-", '7D'!$E$5)</f>
        <v>Number of sewage treatment works-STWs in size band 2-Activated Sludge-Secondary-Treatment categories</v>
      </c>
      <c r="E3344" t="str">
        <f>'7D'!$C$21</f>
        <v>nr</v>
      </c>
      <c r="F3344" t="s">
        <v>17334</v>
      </c>
      <c r="G3344">
        <f>'7D'!$D$21</f>
        <v>0</v>
      </c>
      <c r="O3344" t="str">
        <f>_xlfn.CONCAT('7D'!$B$19, "-", '7D'!$B$21, "-", '7D'!$F$7, "-", '7D'!$F$6, "-", '7D'!$E$5)</f>
        <v>Number of sewage treatment works-STWs in size band 2-Activated Sludge-Secondary-Treatment categories</v>
      </c>
    </row>
    <row r="3345" spans="1:15">
      <c r="A3345" t="s">
        <v>17341</v>
      </c>
      <c r="B3345" t="str">
        <f>'7D'!$BQ$21</f>
        <v>STWC017</v>
      </c>
      <c r="D3345" t="str">
        <f>_xlfn.CONCAT('7D'!$B$19, "-", '7D'!$B$21, "-", '7D'!$G$7, "-", '7D'!$F$6, "-", '7D'!$E$5)</f>
        <v>Number of sewage treatment works-STWs in size band 2-Biological-Secondary-Treatment categories</v>
      </c>
      <c r="E3345" t="str">
        <f>'7D'!$C$21</f>
        <v>nr</v>
      </c>
      <c r="F3345" t="s">
        <v>17334</v>
      </c>
      <c r="G3345">
        <f>'7D'!$D$21</f>
        <v>0</v>
      </c>
      <c r="O3345" t="str">
        <f>_xlfn.CONCAT('7D'!$B$19, "-", '7D'!$B$21, "-", '7D'!$G$7, "-", '7D'!$F$6, "-", '7D'!$E$5)</f>
        <v>Number of sewage treatment works-STWs in size band 2-Biological-Secondary-Treatment categories</v>
      </c>
    </row>
    <row r="3346" spans="1:15">
      <c r="A3346" t="s">
        <v>17341</v>
      </c>
      <c r="B3346" t="str">
        <f>'7D'!$BR$21</f>
        <v>STWC018</v>
      </c>
      <c r="D3346" t="str">
        <f>_xlfn.CONCAT('7D'!$B$19, "-", '7D'!$B$21, "-", '7D'!$H$7, "-", '7D'!$H$6, "-", '7D'!$E$5)</f>
        <v>Number of sewage treatment works-STWs in size band 2-A1-Tertiary-Treatment categories</v>
      </c>
      <c r="E3346" t="str">
        <f>'7D'!$C$21</f>
        <v>nr</v>
      </c>
      <c r="F3346" t="s">
        <v>17334</v>
      </c>
      <c r="G3346">
        <f>'7D'!$D$21</f>
        <v>0</v>
      </c>
      <c r="O3346" t="str">
        <f>_xlfn.CONCAT('7D'!$B$19, "-", '7D'!$B$21, "-", '7D'!$H$7, "-", '7D'!$H$6, "-", '7D'!$E$5)</f>
        <v>Number of sewage treatment works-STWs in size band 2-A1-Tertiary-Treatment categories</v>
      </c>
    </row>
    <row r="3347" spans="1:15">
      <c r="A3347" t="s">
        <v>17341</v>
      </c>
      <c r="B3347" t="str">
        <f>'7D'!$BS$21</f>
        <v>STWC019</v>
      </c>
      <c r="D3347" t="str">
        <f>_xlfn.CONCAT('7D'!$B$19, "-", '7D'!$B$21, "-", '7D'!$I$7, "-", '7D'!$H$6, "-", '7D'!$E$5)</f>
        <v>Number of sewage treatment works-STWs in size band 2-A2-Tertiary-Treatment categories</v>
      </c>
      <c r="E3347" t="str">
        <f>'7D'!$C$21</f>
        <v>nr</v>
      </c>
      <c r="F3347" t="s">
        <v>17334</v>
      </c>
      <c r="G3347">
        <f>'7D'!$D$21</f>
        <v>0</v>
      </c>
      <c r="O3347" t="str">
        <f>_xlfn.CONCAT('7D'!$B$19, "-", '7D'!$B$21, "-", '7D'!$I$7, "-", '7D'!$H$6, "-", '7D'!$E$5)</f>
        <v>Number of sewage treatment works-STWs in size band 2-A2-Tertiary-Treatment categories</v>
      </c>
    </row>
    <row r="3348" spans="1:15">
      <c r="A3348" t="s">
        <v>17341</v>
      </c>
      <c r="B3348" t="str">
        <f>'7D'!$BT$21</f>
        <v>STWC020</v>
      </c>
      <c r="D3348" t="str">
        <f>_xlfn.CONCAT('7D'!$B$19, "-", '7D'!$B$21, "-", '7D'!$J$7, "-", '7D'!$H$6, "-", '7D'!$E$5)</f>
        <v>Number of sewage treatment works-STWs in size band 2-B1-Tertiary-Treatment categories</v>
      </c>
      <c r="E3348" t="str">
        <f>'7D'!$C$21</f>
        <v>nr</v>
      </c>
      <c r="F3348" t="s">
        <v>17334</v>
      </c>
      <c r="G3348">
        <f>'7D'!$D$21</f>
        <v>0</v>
      </c>
      <c r="O3348" t="str">
        <f>_xlfn.CONCAT('7D'!$B$19, "-", '7D'!$B$21, "-", '7D'!$J$7, "-", '7D'!$H$6, "-", '7D'!$E$5)</f>
        <v>Number of sewage treatment works-STWs in size band 2-B1-Tertiary-Treatment categories</v>
      </c>
    </row>
    <row r="3349" spans="1:15">
      <c r="A3349" t="s">
        <v>17341</v>
      </c>
      <c r="B3349" t="str">
        <f>'7D'!$BU$21</f>
        <v>STWC021</v>
      </c>
      <c r="D3349" t="str">
        <f>_xlfn.CONCAT('7D'!$B$19, "-", '7D'!$B$21, "-", '7D'!$K$7, "-", '7D'!$H$6, "-", '7D'!$E$5)</f>
        <v>Number of sewage treatment works-STWs in size band 2-B2-Tertiary-Treatment categories</v>
      </c>
      <c r="E3349" t="str">
        <f>'7D'!$C$21</f>
        <v>nr</v>
      </c>
      <c r="F3349" t="s">
        <v>17334</v>
      </c>
      <c r="G3349">
        <f>'7D'!$D$21</f>
        <v>0</v>
      </c>
      <c r="O3349" t="str">
        <f>_xlfn.CONCAT('7D'!$B$19, "-", '7D'!$B$21, "-", '7D'!$K$7, "-", '7D'!$H$6, "-", '7D'!$E$5)</f>
        <v>Number of sewage treatment works-STWs in size band 2-B2-Tertiary-Treatment categories</v>
      </c>
    </row>
    <row r="3350" spans="1:15">
      <c r="A3350" t="s">
        <v>17341</v>
      </c>
      <c r="B3350" s="2602" t="str">
        <f>'7D'!$BV$21</f>
        <v>STWC109</v>
      </c>
      <c r="D3350" t="str">
        <f>_xlfn.CONCAT('7D'!$B$19, "-", '7D'!$B$21, "-", '7D'!$L$6, "-", '7D'!$L$6, "-", '7D'!$E$5)</f>
        <v>Number of sewage treatment works-STWs in size band 2-Total-Total-Treatment categories</v>
      </c>
      <c r="E3350" t="str">
        <f>'7D'!$C$21</f>
        <v>nr</v>
      </c>
      <c r="F3350" t="s">
        <v>17334</v>
      </c>
      <c r="G3350">
        <f>'7D'!$D$21</f>
        <v>0</v>
      </c>
      <c r="O3350" t="str">
        <f>_xlfn.CONCAT('7D'!$B$19, "-", '7D'!$B$21, "-", '7D'!$L$6, "-", '7D'!$L$6, "-", '7D'!$E$5)</f>
        <v>Number of sewage treatment works-STWs in size band 2-Total-Total-Treatment categories</v>
      </c>
    </row>
    <row r="3351" spans="1:15">
      <c r="A3351" t="s">
        <v>17341</v>
      </c>
      <c r="B3351" t="str">
        <f>'7D'!$BX$21</f>
        <v>STWCP015</v>
      </c>
      <c r="D3351" t="str">
        <f>_xlfn.CONCAT('7D'!$B$19, "-", '7D'!$B$21, "-", '7D'!$N$7, "-", '7D'!$N$6, "-", '7D'!$N$5)</f>
        <v>Number of sewage treatment works-STWs in size band 2-&lt;=0.5mg/l-Phosphorus-Treatment works consents</v>
      </c>
      <c r="E3351" t="str">
        <f>'7D'!$C$21</f>
        <v>nr</v>
      </c>
      <c r="F3351" t="s">
        <v>17334</v>
      </c>
      <c r="G3351">
        <f>'7D'!$D$21</f>
        <v>0</v>
      </c>
      <c r="O3351" t="str">
        <f>_xlfn.CONCAT('7D'!$B$19, "-", '7D'!$B$21, "-", '7D'!$N$7, "-", '7D'!$N$6, "-", '7D'!$N$5)</f>
        <v>Number of sewage treatment works-STWs in size band 2-&lt;=0.5mg/l-Phosphorus-Treatment works consents</v>
      </c>
    </row>
    <row r="3352" spans="1:15">
      <c r="A3352" t="s">
        <v>17341</v>
      </c>
      <c r="B3352" t="str">
        <f>'7D'!$BY$21</f>
        <v>STWCP016</v>
      </c>
      <c r="D3352" t="str">
        <f>_xlfn.CONCAT('7D'!$B$19, "-", '7D'!$B$21, "-", '7D'!$O$7, "-", '7D'!$N$6, "-", '7D'!$N$5)</f>
        <v>Number of sewage treatment works-STWs in size band 2-&gt;0.5 to &lt;=1mg/l-Phosphorus-Treatment works consents</v>
      </c>
      <c r="E3352" t="str">
        <f>'7D'!$C$21</f>
        <v>nr</v>
      </c>
      <c r="F3352" t="s">
        <v>17334</v>
      </c>
      <c r="G3352">
        <f>'7D'!$D$21</f>
        <v>0</v>
      </c>
      <c r="O3352" t="str">
        <f>_xlfn.CONCAT('7D'!$B$19, "-", '7D'!$B$21, "-", '7D'!$O$7, "-", '7D'!$N$6, "-", '7D'!$N$5)</f>
        <v>Number of sewage treatment works-STWs in size band 2-&gt;0.5 to &lt;=1mg/l-Phosphorus-Treatment works consents</v>
      </c>
    </row>
    <row r="3353" spans="1:15">
      <c r="A3353" t="s">
        <v>17341</v>
      </c>
      <c r="B3353" t="str">
        <f>'7D'!$BZ$21</f>
        <v>STWCP017</v>
      </c>
      <c r="D3353" t="str">
        <f>_xlfn.CONCAT('7D'!$B$19, "-", '7D'!$B$21, "-", '7D'!$P$7, "-", '7D'!$N$6, "-", '7D'!$N$5)</f>
        <v>Number of sewage treatment works-STWs in size band 2-&gt;1mg/l-Phosphorus-Treatment works consents</v>
      </c>
      <c r="E3353" t="str">
        <f>'7D'!$C$21</f>
        <v>nr</v>
      </c>
      <c r="F3353" t="s">
        <v>17334</v>
      </c>
      <c r="G3353">
        <f>'7D'!$D$21</f>
        <v>0</v>
      </c>
      <c r="O3353" t="str">
        <f>_xlfn.CONCAT('7D'!$B$19, "-", '7D'!$B$21, "-", '7D'!$P$7, "-", '7D'!$N$6, "-", '7D'!$N$5)</f>
        <v>Number of sewage treatment works-STWs in size band 2-&gt;1mg/l-Phosphorus-Treatment works consents</v>
      </c>
    </row>
    <row r="3354" spans="1:15">
      <c r="A3354" t="s">
        <v>17341</v>
      </c>
      <c r="B3354" t="str">
        <f>'7D'!$CA$21</f>
        <v>STWCP018</v>
      </c>
      <c r="D3354" t="str">
        <f>_xlfn.CONCAT('7D'!$B$19, "-", '7D'!$B$21, "-", '7D'!$Q$7, "-", '7D'!$N$6, "-", '7D'!$N$5)</f>
        <v>Number of sewage treatment works-STWs in size band 2-No permit-Phosphorus-Treatment works consents</v>
      </c>
      <c r="E3354" t="str">
        <f>'7D'!$C$21</f>
        <v>nr</v>
      </c>
      <c r="F3354" t="s">
        <v>17334</v>
      </c>
      <c r="G3354">
        <f>'7D'!$D$21</f>
        <v>0</v>
      </c>
      <c r="O3354" t="str">
        <f>_xlfn.CONCAT('7D'!$B$19, "-", '7D'!$B$21, "-", '7D'!$Q$7, "-", '7D'!$N$6, "-", '7D'!$N$5)</f>
        <v>Number of sewage treatment works-STWs in size band 2-No permit-Phosphorus-Treatment works consents</v>
      </c>
    </row>
    <row r="3355" spans="1:15">
      <c r="A3355" t="s">
        <v>17341</v>
      </c>
      <c r="B3355" s="2602" t="str">
        <f>'7D'!$CB$21</f>
        <v>STWCP019</v>
      </c>
      <c r="D3355" t="str">
        <f>_xlfn.CONCAT('7D'!$B$19, "-", '7D'!$B$21, "-", '7D'!$R$7, "-", '7D'!$N$6, "-", '7D'!$N$5)</f>
        <v>Number of sewage treatment works-STWs in size band 2-Total-Phosphorus-Treatment works consents</v>
      </c>
      <c r="E3355" t="str">
        <f>'7D'!$C$21</f>
        <v>nr</v>
      </c>
      <c r="F3355" t="s">
        <v>17334</v>
      </c>
      <c r="G3355">
        <f>'7D'!$D$21</f>
        <v>0</v>
      </c>
      <c r="O3355" t="str">
        <f>_xlfn.CONCAT('7D'!$B$19, "-", '7D'!$B$21, "-", '7D'!$R$7, "-", '7D'!$N$6, "-", '7D'!$N$5)</f>
        <v>Number of sewage treatment works-STWs in size band 2-Total-Phosphorus-Treatment works consents</v>
      </c>
    </row>
    <row r="3356" spans="1:15">
      <c r="A3356" t="s">
        <v>17341</v>
      </c>
      <c r="B3356" t="str">
        <f>'7D'!$CC$21</f>
        <v>STWCB015</v>
      </c>
      <c r="D3356" t="str">
        <f>_xlfn.CONCAT('7D'!$B$19, "-", '7D'!$B$21, "-", '7D'!$S$7, "-", '7D'!$S$6, "-", '7D'!$N$5)</f>
        <v>Number of sewage treatment works-STWs in size band 2-&lt;=7mg/l-BOD5-Treatment works consents</v>
      </c>
      <c r="E3356" t="str">
        <f>'7D'!$C$21</f>
        <v>nr</v>
      </c>
      <c r="F3356" t="s">
        <v>17334</v>
      </c>
      <c r="G3356">
        <f>'7D'!$D$21</f>
        <v>0</v>
      </c>
      <c r="O3356" t="str">
        <f>_xlfn.CONCAT('7D'!$B$19, "-", '7D'!$B$21, "-", '7D'!$S$7, "-", '7D'!$S$6, "-", '7D'!$N$5)</f>
        <v>Number of sewage treatment works-STWs in size band 2-&lt;=7mg/l-BOD5-Treatment works consents</v>
      </c>
    </row>
    <row r="3357" spans="1:15">
      <c r="A3357" t="s">
        <v>17341</v>
      </c>
      <c r="B3357" t="str">
        <f>'7D'!$CD$21</f>
        <v>STWCB016</v>
      </c>
      <c r="D3357" t="str">
        <f>_xlfn.CONCAT('7D'!$B$19, "-", '7D'!$B$21, "-", '7D'!$T$7, "-", '7D'!$S$6, "-", '7D'!$N$5)</f>
        <v>Number of sewage treatment works-STWs in size band 2-&gt;7 to &lt;=10mg/l-BOD5-Treatment works consents</v>
      </c>
      <c r="E3357" t="str">
        <f>'7D'!$C$21</f>
        <v>nr</v>
      </c>
      <c r="F3357" t="s">
        <v>17334</v>
      </c>
      <c r="G3357">
        <f>'7D'!$D$21</f>
        <v>0</v>
      </c>
      <c r="O3357" t="str">
        <f>_xlfn.CONCAT('7D'!$B$19, "-", '7D'!$B$21, "-", '7D'!$T$7, "-", '7D'!$S$6, "-", '7D'!$N$5)</f>
        <v>Number of sewage treatment works-STWs in size band 2-&gt;7 to &lt;=10mg/l-BOD5-Treatment works consents</v>
      </c>
    </row>
    <row r="3358" spans="1:15">
      <c r="A3358" t="s">
        <v>17341</v>
      </c>
      <c r="B3358" t="str">
        <f>'7D'!$CE$21</f>
        <v>STWCB017</v>
      </c>
      <c r="D3358" t="str">
        <f>_xlfn.CONCAT('7D'!$B$19, "-", '7D'!$B$21, "-", '7D'!$U$7, "-", '7D'!$S$6, "-", '7D'!$N$5)</f>
        <v>Number of sewage treatment works-STWs in size band 2-&gt;10 to &lt;=20mg/l-BOD5-Treatment works consents</v>
      </c>
      <c r="E3358" t="str">
        <f>'7D'!$C$21</f>
        <v>nr</v>
      </c>
      <c r="F3358" t="s">
        <v>17334</v>
      </c>
      <c r="G3358">
        <f>'7D'!$D$21</f>
        <v>0</v>
      </c>
      <c r="O3358" t="str">
        <f>_xlfn.CONCAT('7D'!$B$19, "-", '7D'!$B$21, "-", '7D'!$U$7, "-", '7D'!$S$6, "-", '7D'!$N$5)</f>
        <v>Number of sewage treatment works-STWs in size band 2-&gt;10 to &lt;=20mg/l-BOD5-Treatment works consents</v>
      </c>
    </row>
    <row r="3359" spans="1:15">
      <c r="A3359" t="s">
        <v>17341</v>
      </c>
      <c r="B3359" t="str">
        <f>'7D'!$CF$21</f>
        <v>STWCB018</v>
      </c>
      <c r="D3359" t="str">
        <f>_xlfn.CONCAT('7D'!$B$19, "-", '7D'!$B$21, "-", '7D'!$V$7, "-", '7D'!$S$6, "-", '7D'!$N$5)</f>
        <v>Number of sewage treatment works-STWs in size band 2-&gt;20mg/l-BOD5-Treatment works consents</v>
      </c>
      <c r="E3359" t="str">
        <f>'7D'!$C$21</f>
        <v>nr</v>
      </c>
      <c r="F3359" t="s">
        <v>17334</v>
      </c>
      <c r="G3359">
        <f>'7D'!$D$21</f>
        <v>0</v>
      </c>
      <c r="O3359" t="str">
        <f>_xlfn.CONCAT('7D'!$B$19, "-", '7D'!$B$21, "-", '7D'!$V$7, "-", '7D'!$S$6, "-", '7D'!$N$5)</f>
        <v>Number of sewage treatment works-STWs in size band 2-&gt;20mg/l-BOD5-Treatment works consents</v>
      </c>
    </row>
    <row r="3360" spans="1:15">
      <c r="A3360" t="s">
        <v>17341</v>
      </c>
      <c r="B3360" t="str">
        <f>'7D'!$CG$21</f>
        <v>STWCB019</v>
      </c>
      <c r="D3360" t="str">
        <f>_xlfn.CONCAT('7D'!$B$19, "-", '7D'!$B$21, "-", '7D'!$W$7, "-", '7D'!$S$6, "-", '7D'!$N$5)</f>
        <v>Number of sewage treatment works-STWs in size band 2-No permit-BOD5-Treatment works consents</v>
      </c>
      <c r="E3360" t="str">
        <f>'7D'!$C$21</f>
        <v>nr</v>
      </c>
      <c r="F3360" t="s">
        <v>17334</v>
      </c>
      <c r="G3360">
        <f>'7D'!$D$21</f>
        <v>0</v>
      </c>
      <c r="O3360" t="str">
        <f>_xlfn.CONCAT('7D'!$B$19, "-", '7D'!$B$21, "-", '7D'!$W$7, "-", '7D'!$S$6, "-", '7D'!$N$5)</f>
        <v>Number of sewage treatment works-STWs in size band 2-No permit-BOD5-Treatment works consents</v>
      </c>
    </row>
    <row r="3361" spans="1:15">
      <c r="A3361" t="s">
        <v>17341</v>
      </c>
      <c r="B3361" s="2602" t="str">
        <f>'7D'!$CH$21</f>
        <v>STWCB020</v>
      </c>
      <c r="D3361" t="str">
        <f>_xlfn.CONCAT('7D'!$B$19, "-", '7D'!$B$21, "-", '7D'!$X$7, "-", '7D'!$S$6, "-", '7D'!$N$5)</f>
        <v>Number of sewage treatment works-STWs in size band 2-Total-BOD5-Treatment works consents</v>
      </c>
      <c r="E3361" t="str">
        <f>'7D'!$C$21</f>
        <v>nr</v>
      </c>
      <c r="F3361" t="s">
        <v>17334</v>
      </c>
      <c r="G3361">
        <f>'7D'!$D$21</f>
        <v>0</v>
      </c>
      <c r="O3361" t="str">
        <f>_xlfn.CONCAT('7D'!$B$19, "-", '7D'!$B$21, "-", '7D'!$X$7, "-", '7D'!$S$6, "-", '7D'!$N$5)</f>
        <v>Number of sewage treatment works-STWs in size band 2-Total-BOD5-Treatment works consents</v>
      </c>
    </row>
    <row r="3362" spans="1:15">
      <c r="A3362" t="s">
        <v>17341</v>
      </c>
      <c r="B3362" t="str">
        <f>'7D'!$CI$21</f>
        <v>STWCA015</v>
      </c>
      <c r="D3362" t="str">
        <f>_xlfn.CONCAT('7D'!$B$19, "-", '7D'!$B$21, "-", '7D'!$Y$7, "-", '7D'!$Y$6, "-", '7D'!$N$5)</f>
        <v>Number of sewage treatment works-STWs in size band 2-&lt;=1mg/l-Ammonia-Treatment works consents</v>
      </c>
      <c r="E3362" t="str">
        <f>'7D'!$C$21</f>
        <v>nr</v>
      </c>
      <c r="F3362" t="s">
        <v>17334</v>
      </c>
      <c r="G3362">
        <f>'7D'!$D$21</f>
        <v>0</v>
      </c>
      <c r="O3362" t="str">
        <f>_xlfn.CONCAT('7D'!$B$19, "-", '7D'!$B$21, "-", '7D'!$Y$7, "-", '7D'!$Y$6, "-", '7D'!$N$5)</f>
        <v>Number of sewage treatment works-STWs in size band 2-&lt;=1mg/l-Ammonia-Treatment works consents</v>
      </c>
    </row>
    <row r="3363" spans="1:15">
      <c r="A3363" t="s">
        <v>17341</v>
      </c>
      <c r="B3363" t="str">
        <f>'7D'!$CJ$21</f>
        <v>STWCA016</v>
      </c>
      <c r="D3363" t="str">
        <f>_xlfn.CONCAT('7D'!$B$19, "-", '7D'!$B$21, "-", '7D'!$Z$7, "-", '7D'!$Y$6, "-", '7D'!$N$5)</f>
        <v>Number of sewage treatment works-STWs in size band 2-&gt;1 to &lt;=3mg/l-Ammonia-Treatment works consents</v>
      </c>
      <c r="E3363" t="str">
        <f>'7D'!$C$21</f>
        <v>nr</v>
      </c>
      <c r="F3363" t="s">
        <v>17334</v>
      </c>
      <c r="G3363">
        <f>'7D'!$D$21</f>
        <v>0</v>
      </c>
      <c r="O3363" t="str">
        <f>_xlfn.CONCAT('7D'!$B$19, "-", '7D'!$B$21, "-", '7D'!$Z$7, "-", '7D'!$Y$6, "-", '7D'!$N$5)</f>
        <v>Number of sewage treatment works-STWs in size band 2-&gt;1 to &lt;=3mg/l-Ammonia-Treatment works consents</v>
      </c>
    </row>
    <row r="3364" spans="1:15">
      <c r="A3364" t="s">
        <v>17341</v>
      </c>
      <c r="B3364" t="str">
        <f>'7D'!$CK$21</f>
        <v>STWCA017</v>
      </c>
      <c r="D3364" t="str">
        <f>_xlfn.CONCAT('7D'!$B$19, "-", '7D'!$B$21, "-", '7D'!$AA$7, "-", '7D'!$Y$6, "-", '7D'!$N$5)</f>
        <v>Number of sewage treatment works-STWs in size band 2-&gt;3 to &lt;=10mg/l-Ammonia-Treatment works consents</v>
      </c>
      <c r="E3364" t="str">
        <f>'7D'!$C$21</f>
        <v>nr</v>
      </c>
      <c r="F3364" t="s">
        <v>17334</v>
      </c>
      <c r="G3364">
        <f>'7D'!$D$21</f>
        <v>0</v>
      </c>
      <c r="O3364" t="str">
        <f>_xlfn.CONCAT('7D'!$B$19, "-", '7D'!$B$21, "-", '7D'!$AA$7, "-", '7D'!$Y$6, "-", '7D'!$N$5)</f>
        <v>Number of sewage treatment works-STWs in size band 2-&gt;3 to &lt;=10mg/l-Ammonia-Treatment works consents</v>
      </c>
    </row>
    <row r="3365" spans="1:15">
      <c r="A3365" t="s">
        <v>17341</v>
      </c>
      <c r="B3365" t="str">
        <f>'7D'!$CL$21</f>
        <v>STWCA018</v>
      </c>
      <c r="D3365" t="str">
        <f>_xlfn.CONCAT('7D'!$B$19, "-", '7D'!$B$21, "-", '7D'!$AB$7, "-", '7D'!$Y$6, "-", '7D'!$N$5)</f>
        <v>Number of sewage treatment works-STWs in size band 2-&gt;10mg/l-Ammonia-Treatment works consents</v>
      </c>
      <c r="E3365" t="str">
        <f>'7D'!$C$21</f>
        <v>nr</v>
      </c>
      <c r="F3365" t="s">
        <v>17334</v>
      </c>
      <c r="G3365">
        <f>'7D'!$D$21</f>
        <v>0</v>
      </c>
      <c r="O3365" t="str">
        <f>_xlfn.CONCAT('7D'!$B$19, "-", '7D'!$B$21, "-", '7D'!$AB$7, "-", '7D'!$Y$6, "-", '7D'!$N$5)</f>
        <v>Number of sewage treatment works-STWs in size band 2-&gt;10mg/l-Ammonia-Treatment works consents</v>
      </c>
    </row>
    <row r="3366" spans="1:15">
      <c r="A3366" t="s">
        <v>17341</v>
      </c>
      <c r="B3366" t="str">
        <f>'7D'!$CM$21</f>
        <v>STWCA019</v>
      </c>
      <c r="D3366" t="str">
        <f>_xlfn.CONCAT('7D'!$B$19, "-", '7D'!$B$21, "-", '7D'!$AC$7, "-", '7D'!$Y$6, "-", '7D'!$N$5)</f>
        <v>Number of sewage treatment works-STWs in size band 2-No permit-Ammonia-Treatment works consents</v>
      </c>
      <c r="E3366" t="str">
        <f>'7D'!$C$21</f>
        <v>nr</v>
      </c>
      <c r="F3366" t="s">
        <v>17334</v>
      </c>
      <c r="G3366">
        <f>'7D'!$D$21</f>
        <v>0</v>
      </c>
      <c r="O3366" t="str">
        <f>_xlfn.CONCAT('7D'!$B$19, "-", '7D'!$B$21, "-", '7D'!$AC$7, "-", '7D'!$Y$6, "-", '7D'!$N$5)</f>
        <v>Number of sewage treatment works-STWs in size band 2-No permit-Ammonia-Treatment works consents</v>
      </c>
    </row>
    <row r="3367" spans="1:15">
      <c r="A3367" t="s">
        <v>17341</v>
      </c>
      <c r="B3367" s="2602" t="str">
        <f>'7D'!$CN$21</f>
        <v>STWCA020</v>
      </c>
      <c r="D3367" t="str">
        <f>_xlfn.CONCAT('7D'!$B$19, "-", '7D'!$B$21, "-", '7D'!$AD$7, "-", '7D'!$Y$6, "-", '7D'!$N$5)</f>
        <v>Number of sewage treatment works-STWs in size band 2-Total-Ammonia-Treatment works consents</v>
      </c>
      <c r="E3367" t="str">
        <f>'7D'!$C$21</f>
        <v>nr</v>
      </c>
      <c r="F3367" t="s">
        <v>17334</v>
      </c>
      <c r="G3367">
        <f>'7D'!$D$21</f>
        <v>0</v>
      </c>
      <c r="O3367" t="str">
        <f>_xlfn.CONCAT('7D'!$B$19, "-", '7D'!$B$21, "-", '7D'!$AD$7, "-", '7D'!$Y$6, "-", '7D'!$N$5)</f>
        <v>Number of sewage treatment works-STWs in size band 2-Total-Ammonia-Treatment works consents</v>
      </c>
    </row>
    <row r="3368" spans="1:15">
      <c r="A3368" t="s">
        <v>17341</v>
      </c>
      <c r="B3368" t="str">
        <f>'7D'!$BO$22</f>
        <v>STWC029</v>
      </c>
      <c r="D3368" t="str">
        <f>_xlfn.CONCAT('7D'!$B$19, "-", '7D'!$B$22, "-", '7D'!$E$6, "-", '7D'!$E$6, "-", '7D'!$E$5)</f>
        <v>Number of sewage treatment works-STWs in size band 3-Primary-Primary-Treatment categories</v>
      </c>
      <c r="E3368" t="str">
        <f>'7D'!$C$22</f>
        <v>nr</v>
      </c>
      <c r="F3368" t="s">
        <v>17334</v>
      </c>
      <c r="G3368">
        <f>'7D'!$D$22</f>
        <v>0</v>
      </c>
      <c r="O3368" t="str">
        <f>_xlfn.CONCAT('7D'!$B$19, "-", '7D'!$B$22, "-", '7D'!$E$6, "-", '7D'!$E$6, "-", '7D'!$E$5)</f>
        <v>Number of sewage treatment works-STWs in size band 3-Primary-Primary-Treatment categories</v>
      </c>
    </row>
    <row r="3369" spans="1:15">
      <c r="A3369" t="s">
        <v>17341</v>
      </c>
      <c r="B3369" t="str">
        <f>'7D'!$BP$22</f>
        <v>STWC030</v>
      </c>
      <c r="D3369" t="str">
        <f>_xlfn.CONCAT('7D'!$B$19, "-", '7D'!$B$22, "-", '7D'!$F$7, "-", '7D'!$F$6, "-", '7D'!$E$5)</f>
        <v>Number of sewage treatment works-STWs in size band 3-Activated Sludge-Secondary-Treatment categories</v>
      </c>
      <c r="E3369" t="str">
        <f>'7D'!$C$22</f>
        <v>nr</v>
      </c>
      <c r="F3369" t="s">
        <v>17334</v>
      </c>
      <c r="G3369">
        <f>'7D'!$D$22</f>
        <v>0</v>
      </c>
      <c r="O3369" t="str">
        <f>_xlfn.CONCAT('7D'!$B$19, "-", '7D'!$B$22, "-", '7D'!$F$7, "-", '7D'!$F$6, "-", '7D'!$E$5)</f>
        <v>Number of sewage treatment works-STWs in size band 3-Activated Sludge-Secondary-Treatment categories</v>
      </c>
    </row>
    <row r="3370" spans="1:15">
      <c r="A3370" t="s">
        <v>17341</v>
      </c>
      <c r="B3370" t="str">
        <f>'7D'!$BQ$22</f>
        <v>STWC031</v>
      </c>
      <c r="D3370" t="str">
        <f>_xlfn.CONCAT('7D'!$B$19, "-", '7D'!$B$22, "-", '7D'!$G$7, "-", '7D'!$F$6, "-", '7D'!$E$5)</f>
        <v>Number of sewage treatment works-STWs in size band 3-Biological-Secondary-Treatment categories</v>
      </c>
      <c r="E3370" t="str">
        <f>'7D'!$C$22</f>
        <v>nr</v>
      </c>
      <c r="F3370" t="s">
        <v>17334</v>
      </c>
      <c r="G3370">
        <f>'7D'!$D$22</f>
        <v>0</v>
      </c>
      <c r="O3370" t="str">
        <f>_xlfn.CONCAT('7D'!$B$19, "-", '7D'!$B$22, "-", '7D'!$G$7, "-", '7D'!$F$6, "-", '7D'!$E$5)</f>
        <v>Number of sewage treatment works-STWs in size band 3-Biological-Secondary-Treatment categories</v>
      </c>
    </row>
    <row r="3371" spans="1:15">
      <c r="A3371" t="s">
        <v>17341</v>
      </c>
      <c r="B3371" t="str">
        <f>'7D'!$BR$22</f>
        <v>STWC032</v>
      </c>
      <c r="D3371" t="str">
        <f>_xlfn.CONCAT('7D'!$B$19, "-", '7D'!$B$22, "-", '7D'!$H$7, "-", '7D'!$H$6, "-", '7D'!$E$5)</f>
        <v>Number of sewage treatment works-STWs in size band 3-A1-Tertiary-Treatment categories</v>
      </c>
      <c r="E3371" t="str">
        <f>'7D'!$C$22</f>
        <v>nr</v>
      </c>
      <c r="F3371" t="s">
        <v>17334</v>
      </c>
      <c r="G3371">
        <f>'7D'!$D$22</f>
        <v>0</v>
      </c>
      <c r="O3371" t="str">
        <f>_xlfn.CONCAT('7D'!$B$19, "-", '7D'!$B$22, "-", '7D'!$H$7, "-", '7D'!$H$6, "-", '7D'!$E$5)</f>
        <v>Number of sewage treatment works-STWs in size band 3-A1-Tertiary-Treatment categories</v>
      </c>
    </row>
    <row r="3372" spans="1:15">
      <c r="A3372" t="s">
        <v>17341</v>
      </c>
      <c r="B3372" t="str">
        <f>'7D'!$BS$22</f>
        <v>STWC033</v>
      </c>
      <c r="D3372" t="str">
        <f>_xlfn.CONCAT('7D'!$B$19, "-", '7D'!$B$22, "-", '7D'!$I$7, "-", '7D'!$H$6, "-", '7D'!$E$5)</f>
        <v>Number of sewage treatment works-STWs in size band 3-A2-Tertiary-Treatment categories</v>
      </c>
      <c r="E3372" t="str">
        <f>'7D'!$C$22</f>
        <v>nr</v>
      </c>
      <c r="F3372" t="s">
        <v>17334</v>
      </c>
      <c r="G3372">
        <f>'7D'!$D$22</f>
        <v>0</v>
      </c>
      <c r="O3372" t="str">
        <f>_xlfn.CONCAT('7D'!$B$19, "-", '7D'!$B$22, "-", '7D'!$I$7, "-", '7D'!$H$6, "-", '7D'!$E$5)</f>
        <v>Number of sewage treatment works-STWs in size band 3-A2-Tertiary-Treatment categories</v>
      </c>
    </row>
    <row r="3373" spans="1:15">
      <c r="A3373" t="s">
        <v>17341</v>
      </c>
      <c r="B3373" t="str">
        <f>'7D'!$BT$22</f>
        <v>STWC034</v>
      </c>
      <c r="D3373" t="str">
        <f>_xlfn.CONCAT('7D'!$B$19, "-", '7D'!$B$22, "-", '7D'!$J$7, "-", '7D'!$H$6, "-", '7D'!$E$5)</f>
        <v>Number of sewage treatment works-STWs in size band 3-B1-Tertiary-Treatment categories</v>
      </c>
      <c r="E3373" t="str">
        <f>'7D'!$C$22</f>
        <v>nr</v>
      </c>
      <c r="F3373" t="s">
        <v>17334</v>
      </c>
      <c r="G3373">
        <f>'7D'!$D$22</f>
        <v>0</v>
      </c>
      <c r="O3373" t="str">
        <f>_xlfn.CONCAT('7D'!$B$19, "-", '7D'!$B$22, "-", '7D'!$J$7, "-", '7D'!$H$6, "-", '7D'!$E$5)</f>
        <v>Number of sewage treatment works-STWs in size band 3-B1-Tertiary-Treatment categories</v>
      </c>
    </row>
    <row r="3374" spans="1:15">
      <c r="A3374" t="s">
        <v>17341</v>
      </c>
      <c r="B3374" t="str">
        <f>'7D'!$BU$22</f>
        <v>STWC035</v>
      </c>
      <c r="D3374" t="str">
        <f>_xlfn.CONCAT('7D'!$B$19, "-", '7D'!$B$22, "-", '7D'!$K$7, "-", '7D'!$H$6, "-", '7D'!$E$5)</f>
        <v>Number of sewage treatment works-STWs in size band 3-B2-Tertiary-Treatment categories</v>
      </c>
      <c r="E3374" t="str">
        <f>'7D'!$C$22</f>
        <v>nr</v>
      </c>
      <c r="F3374" t="s">
        <v>17334</v>
      </c>
      <c r="G3374">
        <f>'7D'!$D$22</f>
        <v>0</v>
      </c>
      <c r="O3374" t="str">
        <f>_xlfn.CONCAT('7D'!$B$19, "-", '7D'!$B$22, "-", '7D'!$K$7, "-", '7D'!$H$6, "-", '7D'!$E$5)</f>
        <v>Number of sewage treatment works-STWs in size band 3-B2-Tertiary-Treatment categories</v>
      </c>
    </row>
    <row r="3375" spans="1:15">
      <c r="A3375" t="s">
        <v>17341</v>
      </c>
      <c r="B3375" s="2602" t="str">
        <f>'7D'!$BV$22</f>
        <v>STWC110</v>
      </c>
      <c r="D3375" t="str">
        <f>_xlfn.CONCAT('7D'!$B$19, "-", '7D'!$B$22, "-", '7D'!$L$6, "-", '7D'!$L$6, "-", '7D'!$E$5)</f>
        <v>Number of sewage treatment works-STWs in size band 3-Total-Total-Treatment categories</v>
      </c>
      <c r="E3375" t="str">
        <f>'7D'!$C$22</f>
        <v>nr</v>
      </c>
      <c r="F3375" t="s">
        <v>17334</v>
      </c>
      <c r="G3375">
        <f>'7D'!$D$22</f>
        <v>0</v>
      </c>
      <c r="O3375" t="str">
        <f>_xlfn.CONCAT('7D'!$B$19, "-", '7D'!$B$22, "-", '7D'!$L$6, "-", '7D'!$L$6, "-", '7D'!$E$5)</f>
        <v>Number of sewage treatment works-STWs in size band 3-Total-Total-Treatment categories</v>
      </c>
    </row>
    <row r="3376" spans="1:15">
      <c r="A3376" t="s">
        <v>17341</v>
      </c>
      <c r="B3376" t="str">
        <f>'7D'!$BX$22</f>
        <v>STWCP029</v>
      </c>
      <c r="D3376" t="str">
        <f>_xlfn.CONCAT('7D'!$B$19, "-", '7D'!$B$22, "-", '7D'!$N$7, "-", '7D'!$N$6, "-", '7D'!$N$5)</f>
        <v>Number of sewage treatment works-STWs in size band 3-&lt;=0.5mg/l-Phosphorus-Treatment works consents</v>
      </c>
      <c r="E3376" t="str">
        <f>'7D'!$C$22</f>
        <v>nr</v>
      </c>
      <c r="F3376" t="s">
        <v>17334</v>
      </c>
      <c r="G3376">
        <f>'7D'!$D$22</f>
        <v>0</v>
      </c>
      <c r="O3376" t="str">
        <f>_xlfn.CONCAT('7D'!$B$19, "-", '7D'!$B$22, "-", '7D'!$N$7, "-", '7D'!$N$6, "-", '7D'!$N$5)</f>
        <v>Number of sewage treatment works-STWs in size band 3-&lt;=0.5mg/l-Phosphorus-Treatment works consents</v>
      </c>
    </row>
    <row r="3377" spans="1:15">
      <c r="A3377" t="s">
        <v>17341</v>
      </c>
      <c r="B3377" t="str">
        <f>'7D'!$BY$22</f>
        <v>STWCP030</v>
      </c>
      <c r="D3377" t="str">
        <f>_xlfn.CONCAT('7D'!$B$19, "-", '7D'!$B$22, "-", '7D'!$O$7, "-", '7D'!$N$6, "-", '7D'!$N$5)</f>
        <v>Number of sewage treatment works-STWs in size band 3-&gt;0.5 to &lt;=1mg/l-Phosphorus-Treatment works consents</v>
      </c>
      <c r="E3377" t="str">
        <f>'7D'!$C$22</f>
        <v>nr</v>
      </c>
      <c r="F3377" t="s">
        <v>17334</v>
      </c>
      <c r="G3377">
        <f>'7D'!$D$22</f>
        <v>0</v>
      </c>
      <c r="O3377" t="str">
        <f>_xlfn.CONCAT('7D'!$B$19, "-", '7D'!$B$22, "-", '7D'!$O$7, "-", '7D'!$N$6, "-", '7D'!$N$5)</f>
        <v>Number of sewage treatment works-STWs in size band 3-&gt;0.5 to &lt;=1mg/l-Phosphorus-Treatment works consents</v>
      </c>
    </row>
    <row r="3378" spans="1:15">
      <c r="A3378" t="s">
        <v>17341</v>
      </c>
      <c r="B3378" t="str">
        <f>'7D'!$BZ$22</f>
        <v>STWCP031</v>
      </c>
      <c r="D3378" t="str">
        <f>_xlfn.CONCAT('7D'!$B$19, "-", '7D'!$B$22, "-", '7D'!$P$7, "-", '7D'!$N$6, "-", '7D'!$N$5)</f>
        <v>Number of sewage treatment works-STWs in size band 3-&gt;1mg/l-Phosphorus-Treatment works consents</v>
      </c>
      <c r="E3378" t="str">
        <f>'7D'!$C$22</f>
        <v>nr</v>
      </c>
      <c r="F3378" t="s">
        <v>17334</v>
      </c>
      <c r="G3378">
        <f>'7D'!$D$22</f>
        <v>0</v>
      </c>
      <c r="O3378" t="str">
        <f>_xlfn.CONCAT('7D'!$B$19, "-", '7D'!$B$22, "-", '7D'!$P$7, "-", '7D'!$N$6, "-", '7D'!$N$5)</f>
        <v>Number of sewage treatment works-STWs in size band 3-&gt;1mg/l-Phosphorus-Treatment works consents</v>
      </c>
    </row>
    <row r="3379" spans="1:15">
      <c r="A3379" t="s">
        <v>17341</v>
      </c>
      <c r="B3379" t="str">
        <f>'7D'!$CA$22</f>
        <v>STWCP032</v>
      </c>
      <c r="D3379" t="str">
        <f>_xlfn.CONCAT('7D'!$B$19, "-", '7D'!$B$22, "-", '7D'!$Q$7, "-", '7D'!$N$6, "-", '7D'!$N$5)</f>
        <v>Number of sewage treatment works-STWs in size band 3-No permit-Phosphorus-Treatment works consents</v>
      </c>
      <c r="E3379" t="str">
        <f>'7D'!$C$22</f>
        <v>nr</v>
      </c>
      <c r="F3379" t="s">
        <v>17334</v>
      </c>
      <c r="G3379">
        <f>'7D'!$D$22</f>
        <v>0</v>
      </c>
      <c r="O3379" t="str">
        <f>_xlfn.CONCAT('7D'!$B$19, "-", '7D'!$B$22, "-", '7D'!$Q$7, "-", '7D'!$N$6, "-", '7D'!$N$5)</f>
        <v>Number of sewage treatment works-STWs in size band 3-No permit-Phosphorus-Treatment works consents</v>
      </c>
    </row>
    <row r="3380" spans="1:15">
      <c r="A3380" t="s">
        <v>17341</v>
      </c>
      <c r="B3380" s="2602" t="str">
        <f>'7D'!$CB$22</f>
        <v>STWCP033</v>
      </c>
      <c r="D3380" t="str">
        <f>_xlfn.CONCAT('7D'!$B$19, "-", '7D'!$B$22, "-", '7D'!$R$7, "-", '7D'!$N$6, "-", '7D'!$N$5)</f>
        <v>Number of sewage treatment works-STWs in size band 3-Total-Phosphorus-Treatment works consents</v>
      </c>
      <c r="E3380" t="str">
        <f>'7D'!$C$22</f>
        <v>nr</v>
      </c>
      <c r="F3380" t="s">
        <v>17334</v>
      </c>
      <c r="G3380">
        <f>'7D'!$D$22</f>
        <v>0</v>
      </c>
      <c r="O3380" t="str">
        <f>_xlfn.CONCAT('7D'!$B$19, "-", '7D'!$B$22, "-", '7D'!$R$7, "-", '7D'!$N$6, "-", '7D'!$N$5)</f>
        <v>Number of sewage treatment works-STWs in size band 3-Total-Phosphorus-Treatment works consents</v>
      </c>
    </row>
    <row r="3381" spans="1:15">
      <c r="A3381" t="s">
        <v>17341</v>
      </c>
      <c r="B3381" t="str">
        <f>'7D'!$CC$22</f>
        <v>STWCB029</v>
      </c>
      <c r="D3381" t="str">
        <f>_xlfn.CONCAT('7D'!$B$19, "-", '7D'!$B$22, "-", '7D'!$S$7, "-", '7D'!$S$6, "-", '7D'!$N$5)</f>
        <v>Number of sewage treatment works-STWs in size band 3-&lt;=7mg/l-BOD5-Treatment works consents</v>
      </c>
      <c r="E3381" t="str">
        <f>'7D'!$C$22</f>
        <v>nr</v>
      </c>
      <c r="F3381" t="s">
        <v>17334</v>
      </c>
      <c r="G3381">
        <f>'7D'!$D$22</f>
        <v>0</v>
      </c>
      <c r="O3381" t="str">
        <f>_xlfn.CONCAT('7D'!$B$19, "-", '7D'!$B$22, "-", '7D'!$S$7, "-", '7D'!$S$6, "-", '7D'!$N$5)</f>
        <v>Number of sewage treatment works-STWs in size band 3-&lt;=7mg/l-BOD5-Treatment works consents</v>
      </c>
    </row>
    <row r="3382" spans="1:15">
      <c r="A3382" t="s">
        <v>17341</v>
      </c>
      <c r="B3382" t="str">
        <f>'7D'!$CD$22</f>
        <v>STWCB030</v>
      </c>
      <c r="D3382" t="str">
        <f>_xlfn.CONCAT('7D'!$B$19, "-", '7D'!$B$22, "-", '7D'!$T$7, "-", '7D'!$S$6, "-", '7D'!$N$5)</f>
        <v>Number of sewage treatment works-STWs in size band 3-&gt;7 to &lt;=10mg/l-BOD5-Treatment works consents</v>
      </c>
      <c r="E3382" t="str">
        <f>'7D'!$C$22</f>
        <v>nr</v>
      </c>
      <c r="F3382" t="s">
        <v>17334</v>
      </c>
      <c r="G3382">
        <f>'7D'!$D$22</f>
        <v>0</v>
      </c>
      <c r="O3382" t="str">
        <f>_xlfn.CONCAT('7D'!$B$19, "-", '7D'!$B$22, "-", '7D'!$T$7, "-", '7D'!$S$6, "-", '7D'!$N$5)</f>
        <v>Number of sewage treatment works-STWs in size band 3-&gt;7 to &lt;=10mg/l-BOD5-Treatment works consents</v>
      </c>
    </row>
    <row r="3383" spans="1:15">
      <c r="A3383" t="s">
        <v>17341</v>
      </c>
      <c r="B3383" t="str">
        <f>'7D'!$CE$22</f>
        <v>STWCB031</v>
      </c>
      <c r="D3383" t="str">
        <f>_xlfn.CONCAT('7D'!$B$19, "-", '7D'!$B$22, "-", '7D'!$U$7, "-", '7D'!$S$6, "-", '7D'!$N$5)</f>
        <v>Number of sewage treatment works-STWs in size band 3-&gt;10 to &lt;=20mg/l-BOD5-Treatment works consents</v>
      </c>
      <c r="E3383" t="str">
        <f>'7D'!$C$22</f>
        <v>nr</v>
      </c>
      <c r="F3383" t="s">
        <v>17334</v>
      </c>
      <c r="G3383">
        <f>'7D'!$D$22</f>
        <v>0</v>
      </c>
      <c r="O3383" t="str">
        <f>_xlfn.CONCAT('7D'!$B$19, "-", '7D'!$B$22, "-", '7D'!$U$7, "-", '7D'!$S$6, "-", '7D'!$N$5)</f>
        <v>Number of sewage treatment works-STWs in size band 3-&gt;10 to &lt;=20mg/l-BOD5-Treatment works consents</v>
      </c>
    </row>
    <row r="3384" spans="1:15">
      <c r="A3384" t="s">
        <v>17341</v>
      </c>
      <c r="B3384" t="str">
        <f>'7D'!$CF$22</f>
        <v>STWCB032</v>
      </c>
      <c r="D3384" t="str">
        <f>_xlfn.CONCAT('7D'!$B$19, "-", '7D'!$B$22, "-", '7D'!$V$7, "-", '7D'!$S$6, "-", '7D'!$N$5)</f>
        <v>Number of sewage treatment works-STWs in size band 3-&gt;20mg/l-BOD5-Treatment works consents</v>
      </c>
      <c r="E3384" t="str">
        <f>'7D'!$C$22</f>
        <v>nr</v>
      </c>
      <c r="F3384" t="s">
        <v>17334</v>
      </c>
      <c r="G3384">
        <f>'7D'!$D$22</f>
        <v>0</v>
      </c>
      <c r="O3384" t="str">
        <f>_xlfn.CONCAT('7D'!$B$19, "-", '7D'!$B$22, "-", '7D'!$V$7, "-", '7D'!$S$6, "-", '7D'!$N$5)</f>
        <v>Number of sewage treatment works-STWs in size band 3-&gt;20mg/l-BOD5-Treatment works consents</v>
      </c>
    </row>
    <row r="3385" spans="1:15">
      <c r="A3385" t="s">
        <v>17341</v>
      </c>
      <c r="B3385" t="str">
        <f>'7D'!$CG$22</f>
        <v>STWCB033</v>
      </c>
      <c r="D3385" t="str">
        <f>_xlfn.CONCAT('7D'!$B$19, "-", '7D'!$B$22, "-", '7D'!$W$7, "-", '7D'!$S$6, "-", '7D'!$N$5)</f>
        <v>Number of sewage treatment works-STWs in size band 3-No permit-BOD5-Treatment works consents</v>
      </c>
      <c r="E3385" t="str">
        <f>'7D'!$C$22</f>
        <v>nr</v>
      </c>
      <c r="F3385" t="s">
        <v>17334</v>
      </c>
      <c r="G3385">
        <f>'7D'!$D$22</f>
        <v>0</v>
      </c>
      <c r="O3385" t="str">
        <f>_xlfn.CONCAT('7D'!$B$19, "-", '7D'!$B$22, "-", '7D'!$W$7, "-", '7D'!$S$6, "-", '7D'!$N$5)</f>
        <v>Number of sewage treatment works-STWs in size band 3-No permit-BOD5-Treatment works consents</v>
      </c>
    </row>
    <row r="3386" spans="1:15">
      <c r="A3386" t="s">
        <v>17341</v>
      </c>
      <c r="B3386" s="2602" t="str">
        <f>'7D'!$CH$22</f>
        <v>STWCB034</v>
      </c>
      <c r="D3386" t="str">
        <f>_xlfn.CONCAT('7D'!$B$19, "-", '7D'!$B$22, "-", '7D'!$X$7, "-", '7D'!$S$6, "-", '7D'!$N$5)</f>
        <v>Number of sewage treatment works-STWs in size band 3-Total-BOD5-Treatment works consents</v>
      </c>
      <c r="E3386" t="str">
        <f>'7D'!$C$22</f>
        <v>nr</v>
      </c>
      <c r="F3386" t="s">
        <v>17334</v>
      </c>
      <c r="G3386">
        <f>'7D'!$D$22</f>
        <v>0</v>
      </c>
      <c r="O3386" t="str">
        <f>_xlfn.CONCAT('7D'!$B$19, "-", '7D'!$B$22, "-", '7D'!$X$7, "-", '7D'!$S$6, "-", '7D'!$N$5)</f>
        <v>Number of sewage treatment works-STWs in size band 3-Total-BOD5-Treatment works consents</v>
      </c>
    </row>
    <row r="3387" spans="1:15">
      <c r="A3387" t="s">
        <v>17341</v>
      </c>
      <c r="B3387" t="str">
        <f>'7D'!$CI$22</f>
        <v>STWCA029</v>
      </c>
      <c r="D3387" t="str">
        <f>_xlfn.CONCAT('7D'!$B$19, "-", '7D'!$B$22, "-", '7D'!$Y$7, "-", '7D'!$Y$6, "-", '7D'!$N$5)</f>
        <v>Number of sewage treatment works-STWs in size band 3-&lt;=1mg/l-Ammonia-Treatment works consents</v>
      </c>
      <c r="E3387" t="str">
        <f>'7D'!$C$22</f>
        <v>nr</v>
      </c>
      <c r="F3387" t="s">
        <v>17334</v>
      </c>
      <c r="G3387">
        <f>'7D'!$D$22</f>
        <v>0</v>
      </c>
      <c r="O3387" t="str">
        <f>_xlfn.CONCAT('7D'!$B$19, "-", '7D'!$B$22, "-", '7D'!$Y$7, "-", '7D'!$Y$6, "-", '7D'!$N$5)</f>
        <v>Number of sewage treatment works-STWs in size band 3-&lt;=1mg/l-Ammonia-Treatment works consents</v>
      </c>
    </row>
    <row r="3388" spans="1:15">
      <c r="A3388" t="s">
        <v>17341</v>
      </c>
      <c r="B3388" t="str">
        <f>'7D'!$CJ$22</f>
        <v>STWCA030</v>
      </c>
      <c r="D3388" t="str">
        <f>_xlfn.CONCAT('7D'!$B$19, "-", '7D'!$B$22, "-", '7D'!$Z$7, "-", '7D'!$Y$6, "-", '7D'!$N$5)</f>
        <v>Number of sewage treatment works-STWs in size band 3-&gt;1 to &lt;=3mg/l-Ammonia-Treatment works consents</v>
      </c>
      <c r="E3388" t="str">
        <f>'7D'!$C$22</f>
        <v>nr</v>
      </c>
      <c r="F3388" t="s">
        <v>17334</v>
      </c>
      <c r="G3388">
        <f>'7D'!$D$22</f>
        <v>0</v>
      </c>
      <c r="O3388" t="str">
        <f>_xlfn.CONCAT('7D'!$B$19, "-", '7D'!$B$22, "-", '7D'!$Z$7, "-", '7D'!$Y$6, "-", '7D'!$N$5)</f>
        <v>Number of sewage treatment works-STWs in size band 3-&gt;1 to &lt;=3mg/l-Ammonia-Treatment works consents</v>
      </c>
    </row>
    <row r="3389" spans="1:15">
      <c r="A3389" t="s">
        <v>17341</v>
      </c>
      <c r="B3389" t="str">
        <f>'7D'!$CK$22</f>
        <v>STWCA031</v>
      </c>
      <c r="D3389" t="str">
        <f>_xlfn.CONCAT('7D'!$B$19, "-", '7D'!$B$22, "-", '7D'!$AA$7, "-", '7D'!$Y$6, "-", '7D'!$N$5)</f>
        <v>Number of sewage treatment works-STWs in size band 3-&gt;3 to &lt;=10mg/l-Ammonia-Treatment works consents</v>
      </c>
      <c r="E3389" t="str">
        <f>'7D'!$C$22</f>
        <v>nr</v>
      </c>
      <c r="F3389" t="s">
        <v>17334</v>
      </c>
      <c r="G3389">
        <f>'7D'!$D$22</f>
        <v>0</v>
      </c>
      <c r="O3389" t="str">
        <f>_xlfn.CONCAT('7D'!$B$19, "-", '7D'!$B$22, "-", '7D'!$AA$7, "-", '7D'!$Y$6, "-", '7D'!$N$5)</f>
        <v>Number of sewage treatment works-STWs in size band 3-&gt;3 to &lt;=10mg/l-Ammonia-Treatment works consents</v>
      </c>
    </row>
    <row r="3390" spans="1:15">
      <c r="A3390" t="s">
        <v>17341</v>
      </c>
      <c r="B3390" t="str">
        <f>'7D'!$CL$22</f>
        <v>STWCA032</v>
      </c>
      <c r="D3390" t="str">
        <f>_xlfn.CONCAT('7D'!$B$19, "-", '7D'!$B$22, "-", '7D'!$AB$7, "-", '7D'!$Y$6, "-", '7D'!$N$5)</f>
        <v>Number of sewage treatment works-STWs in size band 3-&gt;10mg/l-Ammonia-Treatment works consents</v>
      </c>
      <c r="E3390" t="str">
        <f>'7D'!$C$22</f>
        <v>nr</v>
      </c>
      <c r="F3390" t="s">
        <v>17334</v>
      </c>
      <c r="G3390">
        <f>'7D'!$D$22</f>
        <v>0</v>
      </c>
      <c r="O3390" t="str">
        <f>_xlfn.CONCAT('7D'!$B$19, "-", '7D'!$B$22, "-", '7D'!$AB$7, "-", '7D'!$Y$6, "-", '7D'!$N$5)</f>
        <v>Number of sewage treatment works-STWs in size band 3-&gt;10mg/l-Ammonia-Treatment works consents</v>
      </c>
    </row>
    <row r="3391" spans="1:15">
      <c r="A3391" t="s">
        <v>17341</v>
      </c>
      <c r="B3391" t="str">
        <f>'7D'!$CM$22</f>
        <v>STWCA033</v>
      </c>
      <c r="D3391" t="str">
        <f>_xlfn.CONCAT('7D'!$B$19, "-", '7D'!$B$22, "-", '7D'!$AC$7, "-", '7D'!$Y$6, "-", '7D'!$N$5)</f>
        <v>Number of sewage treatment works-STWs in size band 3-No permit-Ammonia-Treatment works consents</v>
      </c>
      <c r="E3391" t="str">
        <f>'7D'!$C$22</f>
        <v>nr</v>
      </c>
      <c r="F3391" t="s">
        <v>17334</v>
      </c>
      <c r="G3391">
        <f>'7D'!$D$22</f>
        <v>0</v>
      </c>
      <c r="O3391" t="str">
        <f>_xlfn.CONCAT('7D'!$B$19, "-", '7D'!$B$22, "-", '7D'!$AC$7, "-", '7D'!$Y$6, "-", '7D'!$N$5)</f>
        <v>Number of sewage treatment works-STWs in size band 3-No permit-Ammonia-Treatment works consents</v>
      </c>
    </row>
    <row r="3392" spans="1:15">
      <c r="A3392" t="s">
        <v>17341</v>
      </c>
      <c r="B3392" s="2602" t="str">
        <f>'7D'!$CN$22</f>
        <v>STWCA034</v>
      </c>
      <c r="D3392" t="str">
        <f>_xlfn.CONCAT('7D'!$B$19, "-", '7D'!$B$22, "-", '7D'!$AD$7, "-", '7D'!$Y$6, "-", '7D'!$N$5)</f>
        <v>Number of sewage treatment works-STWs in size band 3-Total-Ammonia-Treatment works consents</v>
      </c>
      <c r="E3392" t="str">
        <f>'7D'!$C$22</f>
        <v>nr</v>
      </c>
      <c r="F3392" t="s">
        <v>17334</v>
      </c>
      <c r="G3392">
        <f>'7D'!$D$22</f>
        <v>0</v>
      </c>
      <c r="O3392" t="str">
        <f>_xlfn.CONCAT('7D'!$B$19, "-", '7D'!$B$22, "-", '7D'!$AD$7, "-", '7D'!$Y$6, "-", '7D'!$N$5)</f>
        <v>Number of sewage treatment works-STWs in size band 3-Total-Ammonia-Treatment works consents</v>
      </c>
    </row>
    <row r="3393" spans="1:15">
      <c r="A3393" t="s">
        <v>17341</v>
      </c>
      <c r="B3393" t="str">
        <f>'7D'!$BO$23</f>
        <v>STWC043</v>
      </c>
      <c r="D3393" t="str">
        <f>_xlfn.CONCAT('7D'!$B$19, "-", '7D'!$B$23, "-", '7D'!$E$6, "-", '7D'!$E$6, "-", '7D'!$E$5)</f>
        <v>Number of sewage treatment works-STWs in size band 4-Primary-Primary-Treatment categories</v>
      </c>
      <c r="E3393" t="str">
        <f>'7D'!$C$23</f>
        <v>nr</v>
      </c>
      <c r="F3393" t="s">
        <v>17334</v>
      </c>
      <c r="G3393">
        <f>'7D'!$D$23</f>
        <v>0</v>
      </c>
      <c r="O3393" t="str">
        <f>_xlfn.CONCAT('7D'!$B$19, "-", '7D'!$B$23, "-", '7D'!$E$6, "-", '7D'!$E$6, "-", '7D'!$E$5)</f>
        <v>Number of sewage treatment works-STWs in size band 4-Primary-Primary-Treatment categories</v>
      </c>
    </row>
    <row r="3394" spans="1:15">
      <c r="A3394" t="s">
        <v>17341</v>
      </c>
      <c r="B3394" t="str">
        <f>'7D'!$BP$23</f>
        <v>STWC044</v>
      </c>
      <c r="D3394" t="str">
        <f>_xlfn.CONCAT('7D'!$B$19, "-", '7D'!$B$23, "-", '7D'!$F$7, "-", '7D'!$F$6, "-", '7D'!$E$5)</f>
        <v>Number of sewage treatment works-STWs in size band 4-Activated Sludge-Secondary-Treatment categories</v>
      </c>
      <c r="E3394" t="str">
        <f>'7D'!$C$23</f>
        <v>nr</v>
      </c>
      <c r="F3394" t="s">
        <v>17334</v>
      </c>
      <c r="G3394">
        <f>'7D'!$D$23</f>
        <v>0</v>
      </c>
      <c r="O3394" t="str">
        <f>_xlfn.CONCAT('7D'!$B$19, "-", '7D'!$B$23, "-", '7D'!$F$7, "-", '7D'!$F$6, "-", '7D'!$E$5)</f>
        <v>Number of sewage treatment works-STWs in size band 4-Activated Sludge-Secondary-Treatment categories</v>
      </c>
    </row>
    <row r="3395" spans="1:15">
      <c r="A3395" t="s">
        <v>17341</v>
      </c>
      <c r="B3395" t="str">
        <f>'7D'!$BQ$23</f>
        <v>STWC045</v>
      </c>
      <c r="D3395" t="str">
        <f>_xlfn.CONCAT('7D'!$B$19, "-", '7D'!$B$23, "-", '7D'!$G$7, "-", '7D'!$F$6, "-", '7D'!$E$5)</f>
        <v>Number of sewage treatment works-STWs in size band 4-Biological-Secondary-Treatment categories</v>
      </c>
      <c r="E3395" t="str">
        <f>'7D'!$C$23</f>
        <v>nr</v>
      </c>
      <c r="F3395" t="s">
        <v>17334</v>
      </c>
      <c r="G3395">
        <f>'7D'!$D$23</f>
        <v>0</v>
      </c>
      <c r="O3395" t="str">
        <f>_xlfn.CONCAT('7D'!$B$19, "-", '7D'!$B$23, "-", '7D'!$G$7, "-", '7D'!$F$6, "-", '7D'!$E$5)</f>
        <v>Number of sewage treatment works-STWs in size band 4-Biological-Secondary-Treatment categories</v>
      </c>
    </row>
    <row r="3396" spans="1:15">
      <c r="A3396" t="s">
        <v>17341</v>
      </c>
      <c r="B3396" t="str">
        <f>'7D'!$BR$23</f>
        <v>STWC046</v>
      </c>
      <c r="D3396" t="str">
        <f>_xlfn.CONCAT('7D'!$B$19, "-", '7D'!$B$23, "-", '7D'!$H$7, "-", '7D'!$H$6, "-", '7D'!$E$5)</f>
        <v>Number of sewage treatment works-STWs in size band 4-A1-Tertiary-Treatment categories</v>
      </c>
      <c r="E3396" t="str">
        <f>'7D'!$C$23</f>
        <v>nr</v>
      </c>
      <c r="F3396" t="s">
        <v>17334</v>
      </c>
      <c r="G3396">
        <f>'7D'!$D$23</f>
        <v>0</v>
      </c>
      <c r="O3396" t="str">
        <f>_xlfn.CONCAT('7D'!$B$19, "-", '7D'!$B$23, "-", '7D'!$H$7, "-", '7D'!$H$6, "-", '7D'!$E$5)</f>
        <v>Number of sewage treatment works-STWs in size band 4-A1-Tertiary-Treatment categories</v>
      </c>
    </row>
    <row r="3397" spans="1:15">
      <c r="A3397" t="s">
        <v>17341</v>
      </c>
      <c r="B3397" t="str">
        <f>'7D'!$BS$23</f>
        <v>STWC047</v>
      </c>
      <c r="D3397" t="str">
        <f>_xlfn.CONCAT('7D'!$B$19, "-", '7D'!$B$23, "-", '7D'!$I$7, "-", '7D'!$H$6, "-", '7D'!$E$5)</f>
        <v>Number of sewage treatment works-STWs in size band 4-A2-Tertiary-Treatment categories</v>
      </c>
      <c r="E3397" t="str">
        <f>'7D'!$C$23</f>
        <v>nr</v>
      </c>
      <c r="F3397" t="s">
        <v>17334</v>
      </c>
      <c r="G3397">
        <f>'7D'!$D$23</f>
        <v>0</v>
      </c>
      <c r="O3397" t="str">
        <f>_xlfn.CONCAT('7D'!$B$19, "-", '7D'!$B$23, "-", '7D'!$I$7, "-", '7D'!$H$6, "-", '7D'!$E$5)</f>
        <v>Number of sewage treatment works-STWs in size band 4-A2-Tertiary-Treatment categories</v>
      </c>
    </row>
    <row r="3398" spans="1:15">
      <c r="A3398" t="s">
        <v>17341</v>
      </c>
      <c r="B3398" t="str">
        <f>'7D'!$BT$23</f>
        <v>STWC048</v>
      </c>
      <c r="D3398" t="str">
        <f>_xlfn.CONCAT('7D'!$B$19, "-", '7D'!$B$23, "-", '7D'!$J$7, "-", '7D'!$H$6, "-", '7D'!$E$5)</f>
        <v>Number of sewage treatment works-STWs in size band 4-B1-Tertiary-Treatment categories</v>
      </c>
      <c r="E3398" t="str">
        <f>'7D'!$C$23</f>
        <v>nr</v>
      </c>
      <c r="F3398" t="s">
        <v>17334</v>
      </c>
      <c r="G3398">
        <f>'7D'!$D$23</f>
        <v>0</v>
      </c>
      <c r="O3398" t="str">
        <f>_xlfn.CONCAT('7D'!$B$19, "-", '7D'!$B$23, "-", '7D'!$J$7, "-", '7D'!$H$6, "-", '7D'!$E$5)</f>
        <v>Number of sewage treatment works-STWs in size band 4-B1-Tertiary-Treatment categories</v>
      </c>
    </row>
    <row r="3399" spans="1:15">
      <c r="A3399" t="s">
        <v>17341</v>
      </c>
      <c r="B3399" t="str">
        <f>'7D'!$BU$23</f>
        <v>STWC049</v>
      </c>
      <c r="D3399" t="str">
        <f>_xlfn.CONCAT('7D'!$B$19, "-", '7D'!$B$23, "-", '7D'!$K$7, "-", '7D'!$H$6, "-", '7D'!$E$5)</f>
        <v>Number of sewage treatment works-STWs in size band 4-B2-Tertiary-Treatment categories</v>
      </c>
      <c r="E3399" t="str">
        <f>'7D'!$C$23</f>
        <v>nr</v>
      </c>
      <c r="F3399" t="s">
        <v>17334</v>
      </c>
      <c r="G3399">
        <f>'7D'!$D$23</f>
        <v>0</v>
      </c>
      <c r="O3399" t="str">
        <f>_xlfn.CONCAT('7D'!$B$19, "-", '7D'!$B$23, "-", '7D'!$K$7, "-", '7D'!$H$6, "-", '7D'!$E$5)</f>
        <v>Number of sewage treatment works-STWs in size band 4-B2-Tertiary-Treatment categories</v>
      </c>
    </row>
    <row r="3400" spans="1:15">
      <c r="A3400" t="s">
        <v>17341</v>
      </c>
      <c r="B3400" s="2602" t="str">
        <f>'7D'!$BV$23</f>
        <v>STWC111</v>
      </c>
      <c r="D3400" t="str">
        <f>_xlfn.CONCAT('7D'!$B$19, "-", '7D'!$B$23, "-", '7D'!$L$6, "-", '7D'!$L$6, "-", '7D'!$E$5)</f>
        <v>Number of sewage treatment works-STWs in size band 4-Total-Total-Treatment categories</v>
      </c>
      <c r="E3400" t="str">
        <f>'7D'!$C$23</f>
        <v>nr</v>
      </c>
      <c r="F3400" t="s">
        <v>17334</v>
      </c>
      <c r="G3400">
        <f>'7D'!$D$23</f>
        <v>0</v>
      </c>
      <c r="O3400" t="str">
        <f>_xlfn.CONCAT('7D'!$B$19, "-", '7D'!$B$23, "-", '7D'!$L$6, "-", '7D'!$L$6, "-", '7D'!$E$5)</f>
        <v>Number of sewage treatment works-STWs in size band 4-Total-Total-Treatment categories</v>
      </c>
    </row>
    <row r="3401" spans="1:15">
      <c r="A3401" t="s">
        <v>17341</v>
      </c>
      <c r="B3401" t="str">
        <f>'7D'!$BX$23</f>
        <v>STWCP043</v>
      </c>
      <c r="D3401" t="str">
        <f>_xlfn.CONCAT('7D'!$B$19, "-", '7D'!$B$23, "-", '7D'!$N$7, "-", '7D'!$N$6, "-", '7D'!$N$5)</f>
        <v>Number of sewage treatment works-STWs in size band 4-&lt;=0.5mg/l-Phosphorus-Treatment works consents</v>
      </c>
      <c r="E3401" t="str">
        <f>'7D'!$C$23</f>
        <v>nr</v>
      </c>
      <c r="F3401" t="s">
        <v>17334</v>
      </c>
      <c r="G3401">
        <f>'7D'!$D$23</f>
        <v>0</v>
      </c>
      <c r="O3401" t="str">
        <f>_xlfn.CONCAT('7D'!$B$19, "-", '7D'!$B$23, "-", '7D'!$N$7, "-", '7D'!$N$6, "-", '7D'!$N$5)</f>
        <v>Number of sewage treatment works-STWs in size band 4-&lt;=0.5mg/l-Phosphorus-Treatment works consents</v>
      </c>
    </row>
    <row r="3402" spans="1:15">
      <c r="A3402" t="s">
        <v>17341</v>
      </c>
      <c r="B3402" t="str">
        <f>'7D'!$BY$23</f>
        <v>STWCP044</v>
      </c>
      <c r="D3402" t="str">
        <f>_xlfn.CONCAT('7D'!$B$19, "-", '7D'!$B$23, "-", '7D'!$O$7, "-", '7D'!$N$6, "-", '7D'!$N$5)</f>
        <v>Number of sewage treatment works-STWs in size band 4-&gt;0.5 to &lt;=1mg/l-Phosphorus-Treatment works consents</v>
      </c>
      <c r="E3402" t="str">
        <f>'7D'!$C$23</f>
        <v>nr</v>
      </c>
      <c r="F3402" t="s">
        <v>17334</v>
      </c>
      <c r="G3402">
        <f>'7D'!$D$23</f>
        <v>0</v>
      </c>
      <c r="O3402" t="str">
        <f>_xlfn.CONCAT('7D'!$B$19, "-", '7D'!$B$23, "-", '7D'!$O$7, "-", '7D'!$N$6, "-", '7D'!$N$5)</f>
        <v>Number of sewage treatment works-STWs in size band 4-&gt;0.5 to &lt;=1mg/l-Phosphorus-Treatment works consents</v>
      </c>
    </row>
    <row r="3403" spans="1:15">
      <c r="A3403" t="s">
        <v>17341</v>
      </c>
      <c r="B3403" t="str">
        <f>'7D'!$BZ$23</f>
        <v>STWCP045</v>
      </c>
      <c r="D3403" t="str">
        <f>_xlfn.CONCAT('7D'!$B$19, "-", '7D'!$B$23, "-", '7D'!$P$7, "-", '7D'!$N$6, "-", '7D'!$N$5)</f>
        <v>Number of sewage treatment works-STWs in size band 4-&gt;1mg/l-Phosphorus-Treatment works consents</v>
      </c>
      <c r="E3403" t="str">
        <f>'7D'!$C$23</f>
        <v>nr</v>
      </c>
      <c r="F3403" t="s">
        <v>17334</v>
      </c>
      <c r="G3403">
        <f>'7D'!$D$23</f>
        <v>0</v>
      </c>
      <c r="O3403" t="str">
        <f>_xlfn.CONCAT('7D'!$B$19, "-", '7D'!$B$23, "-", '7D'!$P$7, "-", '7D'!$N$6, "-", '7D'!$N$5)</f>
        <v>Number of sewage treatment works-STWs in size band 4-&gt;1mg/l-Phosphorus-Treatment works consents</v>
      </c>
    </row>
    <row r="3404" spans="1:15">
      <c r="A3404" t="s">
        <v>17341</v>
      </c>
      <c r="B3404" t="str">
        <f>'7D'!$CA$23</f>
        <v>STWCP046</v>
      </c>
      <c r="D3404" t="str">
        <f>_xlfn.CONCAT('7D'!$B$19, "-", '7D'!$B$23, "-", '7D'!$Q$7, "-", '7D'!$N$6, "-", '7D'!$N$5)</f>
        <v>Number of sewage treatment works-STWs in size band 4-No permit-Phosphorus-Treatment works consents</v>
      </c>
      <c r="E3404" t="str">
        <f>'7D'!$C$23</f>
        <v>nr</v>
      </c>
      <c r="F3404" t="s">
        <v>17334</v>
      </c>
      <c r="G3404">
        <f>'7D'!$D$23</f>
        <v>0</v>
      </c>
      <c r="O3404" t="str">
        <f>_xlfn.CONCAT('7D'!$B$19, "-", '7D'!$B$23, "-", '7D'!$Q$7, "-", '7D'!$N$6, "-", '7D'!$N$5)</f>
        <v>Number of sewage treatment works-STWs in size band 4-No permit-Phosphorus-Treatment works consents</v>
      </c>
    </row>
    <row r="3405" spans="1:15">
      <c r="A3405" t="s">
        <v>17341</v>
      </c>
      <c r="B3405" s="2602" t="str">
        <f>'7D'!$CB$23</f>
        <v>STWCP047</v>
      </c>
      <c r="D3405" t="str">
        <f>_xlfn.CONCAT('7D'!$B$19, "-", '7D'!$B$23, "-", '7D'!$R$7, "-", '7D'!$N$6, "-", '7D'!$N$5)</f>
        <v>Number of sewage treatment works-STWs in size band 4-Total-Phosphorus-Treatment works consents</v>
      </c>
      <c r="E3405" t="str">
        <f>'7D'!$C$23</f>
        <v>nr</v>
      </c>
      <c r="F3405" t="s">
        <v>17334</v>
      </c>
      <c r="G3405">
        <f>'7D'!$D$23</f>
        <v>0</v>
      </c>
      <c r="O3405" t="str">
        <f>_xlfn.CONCAT('7D'!$B$19, "-", '7D'!$B$23, "-", '7D'!$R$7, "-", '7D'!$N$6, "-", '7D'!$N$5)</f>
        <v>Number of sewage treatment works-STWs in size band 4-Total-Phosphorus-Treatment works consents</v>
      </c>
    </row>
    <row r="3406" spans="1:15">
      <c r="A3406" t="s">
        <v>17341</v>
      </c>
      <c r="B3406" t="str">
        <f>'7D'!$CC$23</f>
        <v>STWCB043</v>
      </c>
      <c r="D3406" t="str">
        <f>_xlfn.CONCAT('7D'!$B$19, "-", '7D'!$B$23, "-", '7D'!$S$7, "-", '7D'!$S$6, "-", '7D'!$N$5)</f>
        <v>Number of sewage treatment works-STWs in size band 4-&lt;=7mg/l-BOD5-Treatment works consents</v>
      </c>
      <c r="E3406" t="str">
        <f>'7D'!$C$23</f>
        <v>nr</v>
      </c>
      <c r="F3406" t="s">
        <v>17334</v>
      </c>
      <c r="G3406">
        <f>'7D'!$D$23</f>
        <v>0</v>
      </c>
      <c r="O3406" t="str">
        <f>_xlfn.CONCAT('7D'!$B$19, "-", '7D'!$B$23, "-", '7D'!$S$7, "-", '7D'!$S$6, "-", '7D'!$N$5)</f>
        <v>Number of sewage treatment works-STWs in size band 4-&lt;=7mg/l-BOD5-Treatment works consents</v>
      </c>
    </row>
    <row r="3407" spans="1:15">
      <c r="A3407" t="s">
        <v>17341</v>
      </c>
      <c r="B3407" t="str">
        <f>'7D'!$CD$23</f>
        <v>STWCB044</v>
      </c>
      <c r="D3407" t="str">
        <f>_xlfn.CONCAT('7D'!$B$19, "-", '7D'!$B$23, "-", '7D'!$T$7, "-", '7D'!$S$6, "-", '7D'!$N$5)</f>
        <v>Number of sewage treatment works-STWs in size band 4-&gt;7 to &lt;=10mg/l-BOD5-Treatment works consents</v>
      </c>
      <c r="E3407" t="str">
        <f>'7D'!$C$23</f>
        <v>nr</v>
      </c>
      <c r="F3407" t="s">
        <v>17334</v>
      </c>
      <c r="G3407">
        <f>'7D'!$D$23</f>
        <v>0</v>
      </c>
      <c r="O3407" t="str">
        <f>_xlfn.CONCAT('7D'!$B$19, "-", '7D'!$B$23, "-", '7D'!$T$7, "-", '7D'!$S$6, "-", '7D'!$N$5)</f>
        <v>Number of sewage treatment works-STWs in size band 4-&gt;7 to &lt;=10mg/l-BOD5-Treatment works consents</v>
      </c>
    </row>
    <row r="3408" spans="1:15">
      <c r="A3408" t="s">
        <v>17341</v>
      </c>
      <c r="B3408" t="str">
        <f>'7D'!$CE$23</f>
        <v>STWCB045</v>
      </c>
      <c r="D3408" t="str">
        <f>_xlfn.CONCAT('7D'!$B$19, "-", '7D'!$B$23, "-", '7D'!$U$7, "-", '7D'!$S$6, "-", '7D'!$N$5)</f>
        <v>Number of sewage treatment works-STWs in size band 4-&gt;10 to &lt;=20mg/l-BOD5-Treatment works consents</v>
      </c>
      <c r="E3408" t="str">
        <f>'7D'!$C$23</f>
        <v>nr</v>
      </c>
      <c r="F3408" t="s">
        <v>17334</v>
      </c>
      <c r="G3408">
        <f>'7D'!$D$23</f>
        <v>0</v>
      </c>
      <c r="O3408" t="str">
        <f>_xlfn.CONCAT('7D'!$B$19, "-", '7D'!$B$23, "-", '7D'!$U$7, "-", '7D'!$S$6, "-", '7D'!$N$5)</f>
        <v>Number of sewage treatment works-STWs in size band 4-&gt;10 to &lt;=20mg/l-BOD5-Treatment works consents</v>
      </c>
    </row>
    <row r="3409" spans="1:15">
      <c r="A3409" t="s">
        <v>17341</v>
      </c>
      <c r="B3409" t="str">
        <f>'7D'!$CF$23</f>
        <v>STWCB046</v>
      </c>
      <c r="D3409" t="str">
        <f>_xlfn.CONCAT('7D'!$B$19, "-", '7D'!$B$23, "-", '7D'!$V$7, "-", '7D'!$S$6, "-", '7D'!$N$5)</f>
        <v>Number of sewage treatment works-STWs in size band 4-&gt;20mg/l-BOD5-Treatment works consents</v>
      </c>
      <c r="E3409" t="str">
        <f>'7D'!$C$23</f>
        <v>nr</v>
      </c>
      <c r="F3409" t="s">
        <v>17334</v>
      </c>
      <c r="G3409">
        <f>'7D'!$D$23</f>
        <v>0</v>
      </c>
      <c r="O3409" t="str">
        <f>_xlfn.CONCAT('7D'!$B$19, "-", '7D'!$B$23, "-", '7D'!$V$7, "-", '7D'!$S$6, "-", '7D'!$N$5)</f>
        <v>Number of sewage treatment works-STWs in size band 4-&gt;20mg/l-BOD5-Treatment works consents</v>
      </c>
    </row>
    <row r="3410" spans="1:15">
      <c r="A3410" t="s">
        <v>17341</v>
      </c>
      <c r="B3410" t="str">
        <f>'7D'!$CG$23</f>
        <v>STWCB047</v>
      </c>
      <c r="D3410" t="str">
        <f>_xlfn.CONCAT('7D'!$B$19, "-", '7D'!$B$23, "-", '7D'!$W$7, "-", '7D'!$S$6, "-", '7D'!$N$5)</f>
        <v>Number of sewage treatment works-STWs in size band 4-No permit-BOD5-Treatment works consents</v>
      </c>
      <c r="E3410" t="str">
        <f>'7D'!$C$23</f>
        <v>nr</v>
      </c>
      <c r="F3410" t="s">
        <v>17334</v>
      </c>
      <c r="G3410">
        <f>'7D'!$D$23</f>
        <v>0</v>
      </c>
      <c r="O3410" t="str">
        <f>_xlfn.CONCAT('7D'!$B$19, "-", '7D'!$B$23, "-", '7D'!$W$7, "-", '7D'!$S$6, "-", '7D'!$N$5)</f>
        <v>Number of sewage treatment works-STWs in size band 4-No permit-BOD5-Treatment works consents</v>
      </c>
    </row>
    <row r="3411" spans="1:15">
      <c r="A3411" t="s">
        <v>17341</v>
      </c>
      <c r="B3411" s="2602" t="str">
        <f>'7D'!$CH$23</f>
        <v>STWCB048</v>
      </c>
      <c r="D3411" t="str">
        <f>_xlfn.CONCAT('7D'!$B$19, "-", '7D'!$B$23, "-", '7D'!$X$7, "-", '7D'!$S$6, "-", '7D'!$N$5)</f>
        <v>Number of sewage treatment works-STWs in size band 4-Total-BOD5-Treatment works consents</v>
      </c>
      <c r="E3411" t="str">
        <f>'7D'!$C$23</f>
        <v>nr</v>
      </c>
      <c r="F3411" t="s">
        <v>17334</v>
      </c>
      <c r="G3411">
        <f>'7D'!$D$23</f>
        <v>0</v>
      </c>
      <c r="O3411" t="str">
        <f>_xlfn.CONCAT('7D'!$B$19, "-", '7D'!$B$23, "-", '7D'!$X$7, "-", '7D'!$S$6, "-", '7D'!$N$5)</f>
        <v>Number of sewage treatment works-STWs in size band 4-Total-BOD5-Treatment works consents</v>
      </c>
    </row>
    <row r="3412" spans="1:15">
      <c r="A3412" t="s">
        <v>17341</v>
      </c>
      <c r="B3412" t="str">
        <f>'7D'!$CI$23</f>
        <v>STWCA043</v>
      </c>
      <c r="D3412" t="str">
        <f>_xlfn.CONCAT('7D'!$B$19, "-", '7D'!$B$23, "-", '7D'!$Y$7, "-", '7D'!$Y$6, "-", '7D'!$N$5)</f>
        <v>Number of sewage treatment works-STWs in size band 4-&lt;=1mg/l-Ammonia-Treatment works consents</v>
      </c>
      <c r="E3412" t="str">
        <f>'7D'!$C$23</f>
        <v>nr</v>
      </c>
      <c r="F3412" t="s">
        <v>17334</v>
      </c>
      <c r="G3412">
        <f>'7D'!$D$23</f>
        <v>0</v>
      </c>
      <c r="O3412" t="str">
        <f>_xlfn.CONCAT('7D'!$B$19, "-", '7D'!$B$23, "-", '7D'!$Y$7, "-", '7D'!$Y$6, "-", '7D'!$N$5)</f>
        <v>Number of sewage treatment works-STWs in size band 4-&lt;=1mg/l-Ammonia-Treatment works consents</v>
      </c>
    </row>
    <row r="3413" spans="1:15">
      <c r="A3413" t="s">
        <v>17341</v>
      </c>
      <c r="B3413" t="str">
        <f>'7D'!$CJ$23</f>
        <v>STWCA044</v>
      </c>
      <c r="D3413" t="str">
        <f>_xlfn.CONCAT('7D'!$B$19, "-", '7D'!$B$23, "-", '7D'!$Z$7, "-", '7D'!$Y$6, "-", '7D'!$N$5)</f>
        <v>Number of sewage treatment works-STWs in size band 4-&gt;1 to &lt;=3mg/l-Ammonia-Treatment works consents</v>
      </c>
      <c r="E3413" t="str">
        <f>'7D'!$C$23</f>
        <v>nr</v>
      </c>
      <c r="F3413" t="s">
        <v>17334</v>
      </c>
      <c r="G3413">
        <f>'7D'!$D$23</f>
        <v>0</v>
      </c>
      <c r="O3413" t="str">
        <f>_xlfn.CONCAT('7D'!$B$19, "-", '7D'!$B$23, "-", '7D'!$Z$7, "-", '7D'!$Y$6, "-", '7D'!$N$5)</f>
        <v>Number of sewage treatment works-STWs in size band 4-&gt;1 to &lt;=3mg/l-Ammonia-Treatment works consents</v>
      </c>
    </row>
    <row r="3414" spans="1:15">
      <c r="A3414" t="s">
        <v>17341</v>
      </c>
      <c r="B3414" t="str">
        <f>'7D'!$CK$23</f>
        <v>STWCA045</v>
      </c>
      <c r="D3414" t="str">
        <f>_xlfn.CONCAT('7D'!$B$19, "-", '7D'!$B$23, "-", '7D'!$AA$7, "-", '7D'!$Y$6, "-", '7D'!$N$5)</f>
        <v>Number of sewage treatment works-STWs in size band 4-&gt;3 to &lt;=10mg/l-Ammonia-Treatment works consents</v>
      </c>
      <c r="E3414" t="str">
        <f>'7D'!$C$23</f>
        <v>nr</v>
      </c>
      <c r="F3414" t="s">
        <v>17334</v>
      </c>
      <c r="G3414">
        <f>'7D'!$D$23</f>
        <v>0</v>
      </c>
      <c r="O3414" t="str">
        <f>_xlfn.CONCAT('7D'!$B$19, "-", '7D'!$B$23, "-", '7D'!$AA$7, "-", '7D'!$Y$6, "-", '7D'!$N$5)</f>
        <v>Number of sewage treatment works-STWs in size band 4-&gt;3 to &lt;=10mg/l-Ammonia-Treatment works consents</v>
      </c>
    </row>
    <row r="3415" spans="1:15">
      <c r="A3415" t="s">
        <v>17341</v>
      </c>
      <c r="B3415" t="str">
        <f>'7D'!$CL$23</f>
        <v>STWCA046</v>
      </c>
      <c r="D3415" t="str">
        <f>_xlfn.CONCAT('7D'!$B$19, "-", '7D'!$B$23, "-", '7D'!$AB$7, "-", '7D'!$Y$6, "-", '7D'!$N$5)</f>
        <v>Number of sewage treatment works-STWs in size band 4-&gt;10mg/l-Ammonia-Treatment works consents</v>
      </c>
      <c r="E3415" t="str">
        <f>'7D'!$C$23</f>
        <v>nr</v>
      </c>
      <c r="F3415" t="s">
        <v>17334</v>
      </c>
      <c r="G3415">
        <f>'7D'!$D$23</f>
        <v>0</v>
      </c>
      <c r="O3415" t="str">
        <f>_xlfn.CONCAT('7D'!$B$19, "-", '7D'!$B$23, "-", '7D'!$AB$7, "-", '7D'!$Y$6, "-", '7D'!$N$5)</f>
        <v>Number of sewage treatment works-STWs in size band 4-&gt;10mg/l-Ammonia-Treatment works consents</v>
      </c>
    </row>
    <row r="3416" spans="1:15">
      <c r="A3416" t="s">
        <v>17341</v>
      </c>
      <c r="B3416" t="str">
        <f>'7D'!$CM$23</f>
        <v>STWCA047</v>
      </c>
      <c r="D3416" t="str">
        <f>_xlfn.CONCAT('7D'!$B$19, "-", '7D'!$B$23, "-", '7D'!$AC$7, "-", '7D'!$Y$6, "-", '7D'!$N$5)</f>
        <v>Number of sewage treatment works-STWs in size band 4-No permit-Ammonia-Treatment works consents</v>
      </c>
      <c r="E3416" t="str">
        <f>'7D'!$C$23</f>
        <v>nr</v>
      </c>
      <c r="F3416" t="s">
        <v>17334</v>
      </c>
      <c r="G3416">
        <f>'7D'!$D$23</f>
        <v>0</v>
      </c>
      <c r="O3416" t="str">
        <f>_xlfn.CONCAT('7D'!$B$19, "-", '7D'!$B$23, "-", '7D'!$AC$7, "-", '7D'!$Y$6, "-", '7D'!$N$5)</f>
        <v>Number of sewage treatment works-STWs in size band 4-No permit-Ammonia-Treatment works consents</v>
      </c>
    </row>
    <row r="3417" spans="1:15">
      <c r="A3417" t="s">
        <v>17341</v>
      </c>
      <c r="B3417" s="2602" t="str">
        <f>'7D'!$CN$23</f>
        <v>STWCA048</v>
      </c>
      <c r="D3417" t="str">
        <f>_xlfn.CONCAT('7D'!$B$19, "-", '7D'!$B$23, "-", '7D'!$AD$7, "-", '7D'!$Y$6, "-", '7D'!$N$5)</f>
        <v>Number of sewage treatment works-STWs in size band 4-Total-Ammonia-Treatment works consents</v>
      </c>
      <c r="E3417" t="str">
        <f>'7D'!$C$23</f>
        <v>nr</v>
      </c>
      <c r="F3417" t="s">
        <v>17334</v>
      </c>
      <c r="G3417">
        <f>'7D'!$D$23</f>
        <v>0</v>
      </c>
      <c r="O3417" t="str">
        <f>_xlfn.CONCAT('7D'!$B$19, "-", '7D'!$B$23, "-", '7D'!$AD$7, "-", '7D'!$Y$6, "-", '7D'!$N$5)</f>
        <v>Number of sewage treatment works-STWs in size band 4-Total-Ammonia-Treatment works consents</v>
      </c>
    </row>
    <row r="3418" spans="1:15">
      <c r="A3418" t="s">
        <v>17341</v>
      </c>
      <c r="B3418" t="str">
        <f>'7D'!$BO$24</f>
        <v>STWC057</v>
      </c>
      <c r="D3418" t="str">
        <f>_xlfn.CONCAT('7D'!$B$19, "-", '7D'!$B$24, "-", '7D'!$E$6, "-", '7D'!$E$6, "-", '7D'!$E$5)</f>
        <v>Number of sewage treatment works-STWs in size band 5-Primary-Primary-Treatment categories</v>
      </c>
      <c r="E3418" t="str">
        <f>'7D'!$C$24</f>
        <v>nr</v>
      </c>
      <c r="F3418" t="s">
        <v>17334</v>
      </c>
      <c r="G3418">
        <f>'7D'!$D$24</f>
        <v>0</v>
      </c>
      <c r="O3418" t="str">
        <f>_xlfn.CONCAT('7D'!$B$19, "-", '7D'!$B$24, "-", '7D'!$E$6, "-", '7D'!$E$6, "-", '7D'!$E$5)</f>
        <v>Number of sewage treatment works-STWs in size band 5-Primary-Primary-Treatment categories</v>
      </c>
    </row>
    <row r="3419" spans="1:15">
      <c r="A3419" t="s">
        <v>17341</v>
      </c>
      <c r="B3419" t="str">
        <f>'7D'!$BP$24</f>
        <v>STWC058</v>
      </c>
      <c r="D3419" t="str">
        <f>_xlfn.CONCAT('7D'!$B$19, "-", '7D'!$B$24, "-", '7D'!$F$7, "-", '7D'!$F$6, "-", '7D'!$E$5)</f>
        <v>Number of sewage treatment works-STWs in size band 5-Activated Sludge-Secondary-Treatment categories</v>
      </c>
      <c r="E3419" t="str">
        <f>'7D'!$C$24</f>
        <v>nr</v>
      </c>
      <c r="F3419" t="s">
        <v>17334</v>
      </c>
      <c r="G3419">
        <f>'7D'!$D$24</f>
        <v>0</v>
      </c>
      <c r="O3419" t="str">
        <f>_xlfn.CONCAT('7D'!$B$19, "-", '7D'!$B$24, "-", '7D'!$F$7, "-", '7D'!$F$6, "-", '7D'!$E$5)</f>
        <v>Number of sewage treatment works-STWs in size band 5-Activated Sludge-Secondary-Treatment categories</v>
      </c>
    </row>
    <row r="3420" spans="1:15">
      <c r="A3420" t="s">
        <v>17341</v>
      </c>
      <c r="B3420" t="str">
        <f>'7D'!$BQ$24</f>
        <v>STWC059</v>
      </c>
      <c r="D3420" t="str">
        <f>_xlfn.CONCAT('7D'!$B$19, "-", '7D'!$B$24, "-", '7D'!$G$7, "-", '7D'!$F$6, "-", '7D'!$E$5)</f>
        <v>Number of sewage treatment works-STWs in size band 5-Biological-Secondary-Treatment categories</v>
      </c>
      <c r="E3420" t="str">
        <f>'7D'!$C$24</f>
        <v>nr</v>
      </c>
      <c r="F3420" t="s">
        <v>17334</v>
      </c>
      <c r="G3420">
        <f>'7D'!$D$24</f>
        <v>0</v>
      </c>
      <c r="O3420" t="str">
        <f>_xlfn.CONCAT('7D'!$B$19, "-", '7D'!$B$24, "-", '7D'!$G$7, "-", '7D'!$F$6, "-", '7D'!$E$5)</f>
        <v>Number of sewage treatment works-STWs in size band 5-Biological-Secondary-Treatment categories</v>
      </c>
    </row>
    <row r="3421" spans="1:15">
      <c r="A3421" t="s">
        <v>17341</v>
      </c>
      <c r="B3421" t="str">
        <f>'7D'!$BR$24</f>
        <v>STWC060</v>
      </c>
      <c r="D3421" t="str">
        <f>_xlfn.CONCAT('7D'!$B$19, "-", '7D'!$B$24, "-", '7D'!$H$7, "-", '7D'!$H$6, "-", '7D'!$E$5)</f>
        <v>Number of sewage treatment works-STWs in size band 5-A1-Tertiary-Treatment categories</v>
      </c>
      <c r="E3421" t="str">
        <f>'7D'!$C$24</f>
        <v>nr</v>
      </c>
      <c r="F3421" t="s">
        <v>17334</v>
      </c>
      <c r="G3421">
        <f>'7D'!$D$24</f>
        <v>0</v>
      </c>
      <c r="O3421" t="str">
        <f>_xlfn.CONCAT('7D'!$B$19, "-", '7D'!$B$24, "-", '7D'!$H$7, "-", '7D'!$H$6, "-", '7D'!$E$5)</f>
        <v>Number of sewage treatment works-STWs in size band 5-A1-Tertiary-Treatment categories</v>
      </c>
    </row>
    <row r="3422" spans="1:15">
      <c r="A3422" t="s">
        <v>17341</v>
      </c>
      <c r="B3422" t="str">
        <f>'7D'!$BS$24</f>
        <v>STWC061</v>
      </c>
      <c r="D3422" t="str">
        <f>_xlfn.CONCAT('7D'!$B$19, "-", '7D'!$B$24, "-", '7D'!$I$7, "-", '7D'!$H$6, "-", '7D'!$E$5)</f>
        <v>Number of sewage treatment works-STWs in size band 5-A2-Tertiary-Treatment categories</v>
      </c>
      <c r="E3422" t="str">
        <f>'7D'!$C$24</f>
        <v>nr</v>
      </c>
      <c r="F3422" t="s">
        <v>17334</v>
      </c>
      <c r="G3422">
        <f>'7D'!$D$24</f>
        <v>0</v>
      </c>
      <c r="O3422" t="str">
        <f>_xlfn.CONCAT('7D'!$B$19, "-", '7D'!$B$24, "-", '7D'!$I$7, "-", '7D'!$H$6, "-", '7D'!$E$5)</f>
        <v>Number of sewage treatment works-STWs in size band 5-A2-Tertiary-Treatment categories</v>
      </c>
    </row>
    <row r="3423" spans="1:15">
      <c r="A3423" t="s">
        <v>17341</v>
      </c>
      <c r="B3423" t="str">
        <f>'7D'!$BT$24</f>
        <v>STWC062</v>
      </c>
      <c r="D3423" t="str">
        <f>_xlfn.CONCAT('7D'!$B$19, "-", '7D'!$B$24, "-", '7D'!$J$7, "-", '7D'!$H$6, "-", '7D'!$E$5)</f>
        <v>Number of sewage treatment works-STWs in size band 5-B1-Tertiary-Treatment categories</v>
      </c>
      <c r="E3423" t="str">
        <f>'7D'!$C$24</f>
        <v>nr</v>
      </c>
      <c r="F3423" t="s">
        <v>17334</v>
      </c>
      <c r="G3423">
        <f>'7D'!$D$24</f>
        <v>0</v>
      </c>
      <c r="O3423" t="str">
        <f>_xlfn.CONCAT('7D'!$B$19, "-", '7D'!$B$24, "-", '7D'!$J$7, "-", '7D'!$H$6, "-", '7D'!$E$5)</f>
        <v>Number of sewage treatment works-STWs in size band 5-B1-Tertiary-Treatment categories</v>
      </c>
    </row>
    <row r="3424" spans="1:15">
      <c r="A3424" t="s">
        <v>17341</v>
      </c>
      <c r="B3424" t="str">
        <f>'7D'!$BU$24</f>
        <v>STWC063</v>
      </c>
      <c r="D3424" t="str">
        <f>_xlfn.CONCAT('7D'!$B$19, "-", '7D'!$B$24, "-", '7D'!$K$7, "-", '7D'!$H$6, "-", '7D'!$E$5)</f>
        <v>Number of sewage treatment works-STWs in size band 5-B2-Tertiary-Treatment categories</v>
      </c>
      <c r="E3424" t="str">
        <f>'7D'!$C$24</f>
        <v>nr</v>
      </c>
      <c r="F3424" t="s">
        <v>17334</v>
      </c>
      <c r="G3424">
        <f>'7D'!$D$24</f>
        <v>0</v>
      </c>
      <c r="O3424" t="str">
        <f>_xlfn.CONCAT('7D'!$B$19, "-", '7D'!$B$24, "-", '7D'!$K$7, "-", '7D'!$H$6, "-", '7D'!$E$5)</f>
        <v>Number of sewage treatment works-STWs in size band 5-B2-Tertiary-Treatment categories</v>
      </c>
    </row>
    <row r="3425" spans="1:15">
      <c r="A3425" t="s">
        <v>17341</v>
      </c>
      <c r="B3425" s="2602" t="str">
        <f>'7D'!$BV$24</f>
        <v>STWC112</v>
      </c>
      <c r="D3425" t="str">
        <f>_xlfn.CONCAT('7D'!$B$19, "-", '7D'!$B$24, "-", '7D'!$L$6, "-", '7D'!$L$6, "-", '7D'!$E$5)</f>
        <v>Number of sewage treatment works-STWs in size band 5-Total-Total-Treatment categories</v>
      </c>
      <c r="E3425" t="str">
        <f>'7D'!$C$24</f>
        <v>nr</v>
      </c>
      <c r="F3425" t="s">
        <v>17334</v>
      </c>
      <c r="G3425">
        <f>'7D'!$D$24</f>
        <v>0</v>
      </c>
      <c r="O3425" t="str">
        <f>_xlfn.CONCAT('7D'!$B$19, "-", '7D'!$B$24, "-", '7D'!$L$6, "-", '7D'!$L$6, "-", '7D'!$E$5)</f>
        <v>Number of sewage treatment works-STWs in size band 5-Total-Total-Treatment categories</v>
      </c>
    </row>
    <row r="3426" spans="1:15">
      <c r="A3426" t="s">
        <v>17341</v>
      </c>
      <c r="B3426" t="str">
        <f>'7D'!$BX$24</f>
        <v>STWCP057</v>
      </c>
      <c r="D3426" t="str">
        <f>_xlfn.CONCAT('7D'!$B$19, "-", '7D'!$B$24, "-", '7D'!$N$7, "-", '7D'!$N$6, "-", '7D'!$N$5)</f>
        <v>Number of sewage treatment works-STWs in size band 5-&lt;=0.5mg/l-Phosphorus-Treatment works consents</v>
      </c>
      <c r="E3426" t="str">
        <f>'7D'!$C$24</f>
        <v>nr</v>
      </c>
      <c r="F3426" t="s">
        <v>17334</v>
      </c>
      <c r="G3426">
        <f>'7D'!$D$24</f>
        <v>0</v>
      </c>
      <c r="O3426" t="str">
        <f>_xlfn.CONCAT('7D'!$B$19, "-", '7D'!$B$24, "-", '7D'!$N$7, "-", '7D'!$N$6, "-", '7D'!$N$5)</f>
        <v>Number of sewage treatment works-STWs in size band 5-&lt;=0.5mg/l-Phosphorus-Treatment works consents</v>
      </c>
    </row>
    <row r="3427" spans="1:15">
      <c r="A3427" t="s">
        <v>17341</v>
      </c>
      <c r="B3427" t="str">
        <f>'7D'!$BY$24</f>
        <v>STWCP058</v>
      </c>
      <c r="D3427" t="str">
        <f>_xlfn.CONCAT('7D'!$B$19, "-", '7D'!$B$24, "-", '7D'!$O$7, "-", '7D'!$N$6, "-", '7D'!$N$5)</f>
        <v>Number of sewage treatment works-STWs in size band 5-&gt;0.5 to &lt;=1mg/l-Phosphorus-Treatment works consents</v>
      </c>
      <c r="E3427" t="str">
        <f>'7D'!$C$24</f>
        <v>nr</v>
      </c>
      <c r="F3427" t="s">
        <v>17334</v>
      </c>
      <c r="G3427">
        <f>'7D'!$D$24</f>
        <v>0</v>
      </c>
      <c r="O3427" t="str">
        <f>_xlfn.CONCAT('7D'!$B$19, "-", '7D'!$B$24, "-", '7D'!$O$7, "-", '7D'!$N$6, "-", '7D'!$N$5)</f>
        <v>Number of sewage treatment works-STWs in size band 5-&gt;0.5 to &lt;=1mg/l-Phosphorus-Treatment works consents</v>
      </c>
    </row>
    <row r="3428" spans="1:15">
      <c r="A3428" t="s">
        <v>17341</v>
      </c>
      <c r="B3428" t="str">
        <f>'7D'!$BZ$24</f>
        <v>STWCP059</v>
      </c>
      <c r="D3428" t="str">
        <f>_xlfn.CONCAT('7D'!$B$19, "-", '7D'!$B$24, "-", '7D'!$P$7, "-", '7D'!$N$6, "-", '7D'!$N$5)</f>
        <v>Number of sewage treatment works-STWs in size band 5-&gt;1mg/l-Phosphorus-Treatment works consents</v>
      </c>
      <c r="E3428" t="str">
        <f>'7D'!$C$24</f>
        <v>nr</v>
      </c>
      <c r="F3428" t="s">
        <v>17334</v>
      </c>
      <c r="G3428">
        <f>'7D'!$D$24</f>
        <v>0</v>
      </c>
      <c r="O3428" t="str">
        <f>_xlfn.CONCAT('7D'!$B$19, "-", '7D'!$B$24, "-", '7D'!$P$7, "-", '7D'!$N$6, "-", '7D'!$N$5)</f>
        <v>Number of sewage treatment works-STWs in size band 5-&gt;1mg/l-Phosphorus-Treatment works consents</v>
      </c>
    </row>
    <row r="3429" spans="1:15">
      <c r="A3429" t="s">
        <v>17341</v>
      </c>
      <c r="B3429" t="str">
        <f>'7D'!$CA$24</f>
        <v>STWCP060</v>
      </c>
      <c r="D3429" t="str">
        <f>_xlfn.CONCAT('7D'!$B$19, "-", '7D'!$B$24, "-", '7D'!$Q$7, "-", '7D'!$N$6, "-", '7D'!$N$5)</f>
        <v>Number of sewage treatment works-STWs in size band 5-No permit-Phosphorus-Treatment works consents</v>
      </c>
      <c r="E3429" t="str">
        <f>'7D'!$C$24</f>
        <v>nr</v>
      </c>
      <c r="F3429" t="s">
        <v>17334</v>
      </c>
      <c r="G3429">
        <f>'7D'!$D$24</f>
        <v>0</v>
      </c>
      <c r="O3429" t="str">
        <f>_xlfn.CONCAT('7D'!$B$19, "-", '7D'!$B$24, "-", '7D'!$Q$7, "-", '7D'!$N$6, "-", '7D'!$N$5)</f>
        <v>Number of sewage treatment works-STWs in size band 5-No permit-Phosphorus-Treatment works consents</v>
      </c>
    </row>
    <row r="3430" spans="1:15">
      <c r="A3430" t="s">
        <v>17341</v>
      </c>
      <c r="B3430" s="2602" t="str">
        <f>'7D'!$CB$24</f>
        <v>STWCP061</v>
      </c>
      <c r="D3430" t="str">
        <f>_xlfn.CONCAT('7D'!$B$19, "-", '7D'!$B$24, "-", '7D'!$R$7, "-", '7D'!$N$6, "-", '7D'!$N$5)</f>
        <v>Number of sewage treatment works-STWs in size band 5-Total-Phosphorus-Treatment works consents</v>
      </c>
      <c r="E3430" t="str">
        <f>'7D'!$C$24</f>
        <v>nr</v>
      </c>
      <c r="F3430" t="s">
        <v>17334</v>
      </c>
      <c r="G3430">
        <f>'7D'!$D$24</f>
        <v>0</v>
      </c>
      <c r="O3430" t="str">
        <f>_xlfn.CONCAT('7D'!$B$19, "-", '7D'!$B$24, "-", '7D'!$R$7, "-", '7D'!$N$6, "-", '7D'!$N$5)</f>
        <v>Number of sewage treatment works-STWs in size band 5-Total-Phosphorus-Treatment works consents</v>
      </c>
    </row>
    <row r="3431" spans="1:15">
      <c r="A3431" t="s">
        <v>17341</v>
      </c>
      <c r="B3431" t="str">
        <f>'7D'!$CC$24</f>
        <v>STWCB057</v>
      </c>
      <c r="D3431" t="str">
        <f>_xlfn.CONCAT('7D'!$B$19, "-", '7D'!$B$24, "-", '7D'!$S$7, "-", '7D'!$S$6, "-", '7D'!$N$5)</f>
        <v>Number of sewage treatment works-STWs in size band 5-&lt;=7mg/l-BOD5-Treatment works consents</v>
      </c>
      <c r="E3431" t="str">
        <f>'7D'!$C$24</f>
        <v>nr</v>
      </c>
      <c r="F3431" t="s">
        <v>17334</v>
      </c>
      <c r="G3431">
        <f>'7D'!$D$24</f>
        <v>0</v>
      </c>
      <c r="O3431" t="str">
        <f>_xlfn.CONCAT('7D'!$B$19, "-", '7D'!$B$24, "-", '7D'!$S$7, "-", '7D'!$S$6, "-", '7D'!$N$5)</f>
        <v>Number of sewage treatment works-STWs in size band 5-&lt;=7mg/l-BOD5-Treatment works consents</v>
      </c>
    </row>
    <row r="3432" spans="1:15">
      <c r="A3432" t="s">
        <v>17341</v>
      </c>
      <c r="B3432" t="str">
        <f>'7D'!$CD$24</f>
        <v>STWCB058</v>
      </c>
      <c r="D3432" t="str">
        <f>_xlfn.CONCAT('7D'!$B$19, "-", '7D'!$B$24, "-", '7D'!$T$7, "-", '7D'!$S$6, "-", '7D'!$N$5)</f>
        <v>Number of sewage treatment works-STWs in size band 5-&gt;7 to &lt;=10mg/l-BOD5-Treatment works consents</v>
      </c>
      <c r="E3432" t="str">
        <f>'7D'!$C$24</f>
        <v>nr</v>
      </c>
      <c r="F3432" t="s">
        <v>17334</v>
      </c>
      <c r="G3432">
        <f>'7D'!$D$24</f>
        <v>0</v>
      </c>
      <c r="O3432" t="str">
        <f>_xlfn.CONCAT('7D'!$B$19, "-", '7D'!$B$24, "-", '7D'!$T$7, "-", '7D'!$S$6, "-", '7D'!$N$5)</f>
        <v>Number of sewage treatment works-STWs in size band 5-&gt;7 to &lt;=10mg/l-BOD5-Treatment works consents</v>
      </c>
    </row>
    <row r="3433" spans="1:15">
      <c r="A3433" t="s">
        <v>17341</v>
      </c>
      <c r="B3433" t="str">
        <f>'7D'!$CE$24</f>
        <v>STWCB059</v>
      </c>
      <c r="D3433" t="str">
        <f>_xlfn.CONCAT('7D'!$B$19, "-", '7D'!$B$24, "-", '7D'!$U$7, "-", '7D'!$S$6, "-", '7D'!$N$5)</f>
        <v>Number of sewage treatment works-STWs in size band 5-&gt;10 to &lt;=20mg/l-BOD5-Treatment works consents</v>
      </c>
      <c r="E3433" t="str">
        <f>'7D'!$C$24</f>
        <v>nr</v>
      </c>
      <c r="F3433" t="s">
        <v>17334</v>
      </c>
      <c r="G3433">
        <f>'7D'!$D$24</f>
        <v>0</v>
      </c>
      <c r="O3433" t="str">
        <f>_xlfn.CONCAT('7D'!$B$19, "-", '7D'!$B$24, "-", '7D'!$U$7, "-", '7D'!$S$6, "-", '7D'!$N$5)</f>
        <v>Number of sewage treatment works-STWs in size band 5-&gt;10 to &lt;=20mg/l-BOD5-Treatment works consents</v>
      </c>
    </row>
    <row r="3434" spans="1:15">
      <c r="A3434" t="s">
        <v>17341</v>
      </c>
      <c r="B3434" t="str">
        <f>'7D'!$CF$24</f>
        <v>STWCB060</v>
      </c>
      <c r="D3434" t="str">
        <f>_xlfn.CONCAT('7D'!$B$19, "-", '7D'!$B$24, "-", '7D'!$V$7, "-", '7D'!$S$6, "-", '7D'!$N$5)</f>
        <v>Number of sewage treatment works-STWs in size band 5-&gt;20mg/l-BOD5-Treatment works consents</v>
      </c>
      <c r="E3434" t="str">
        <f>'7D'!$C$24</f>
        <v>nr</v>
      </c>
      <c r="F3434" t="s">
        <v>17334</v>
      </c>
      <c r="G3434">
        <f>'7D'!$D$24</f>
        <v>0</v>
      </c>
      <c r="O3434" t="str">
        <f>_xlfn.CONCAT('7D'!$B$19, "-", '7D'!$B$24, "-", '7D'!$V$7, "-", '7D'!$S$6, "-", '7D'!$N$5)</f>
        <v>Number of sewage treatment works-STWs in size band 5-&gt;20mg/l-BOD5-Treatment works consents</v>
      </c>
    </row>
    <row r="3435" spans="1:15">
      <c r="A3435" t="s">
        <v>17341</v>
      </c>
      <c r="B3435" t="str">
        <f>'7D'!$CG$24</f>
        <v>STWCB061</v>
      </c>
      <c r="D3435" t="str">
        <f>_xlfn.CONCAT('7D'!$B$19, "-", '7D'!$B$24, "-", '7D'!$W$7, "-", '7D'!$S$6, "-", '7D'!$N$5)</f>
        <v>Number of sewage treatment works-STWs in size band 5-No permit-BOD5-Treatment works consents</v>
      </c>
      <c r="E3435" t="str">
        <f>'7D'!$C$24</f>
        <v>nr</v>
      </c>
      <c r="F3435" t="s">
        <v>17334</v>
      </c>
      <c r="G3435">
        <f>'7D'!$D$24</f>
        <v>0</v>
      </c>
      <c r="O3435" t="str">
        <f>_xlfn.CONCAT('7D'!$B$19, "-", '7D'!$B$24, "-", '7D'!$W$7, "-", '7D'!$S$6, "-", '7D'!$N$5)</f>
        <v>Number of sewage treatment works-STWs in size band 5-No permit-BOD5-Treatment works consents</v>
      </c>
    </row>
    <row r="3436" spans="1:15">
      <c r="A3436" t="s">
        <v>17341</v>
      </c>
      <c r="B3436" s="2602" t="str">
        <f>'7D'!$CH$24</f>
        <v>STWCB062</v>
      </c>
      <c r="D3436" t="str">
        <f>_xlfn.CONCAT('7D'!$B$19, "-", '7D'!$B$24, "-", '7D'!$X$7, "-", '7D'!$S$6, "-", '7D'!$N$5)</f>
        <v>Number of sewage treatment works-STWs in size band 5-Total-BOD5-Treatment works consents</v>
      </c>
      <c r="E3436" t="str">
        <f>'7D'!$C$24</f>
        <v>nr</v>
      </c>
      <c r="F3436" t="s">
        <v>17334</v>
      </c>
      <c r="G3436">
        <f>'7D'!$D$24</f>
        <v>0</v>
      </c>
      <c r="O3436" t="str">
        <f>_xlfn.CONCAT('7D'!$B$19, "-", '7D'!$B$24, "-", '7D'!$X$7, "-", '7D'!$S$6, "-", '7D'!$N$5)</f>
        <v>Number of sewage treatment works-STWs in size band 5-Total-BOD5-Treatment works consents</v>
      </c>
    </row>
    <row r="3437" spans="1:15">
      <c r="A3437" t="s">
        <v>17341</v>
      </c>
      <c r="B3437" t="str">
        <f>'7D'!$CI$24</f>
        <v>STWCA057</v>
      </c>
      <c r="D3437" t="str">
        <f>_xlfn.CONCAT('7D'!$B$19, "-", '7D'!$B$24, "-", '7D'!$Y$7, "-", '7D'!$Y$6, "-", '7D'!$N$5)</f>
        <v>Number of sewage treatment works-STWs in size band 5-&lt;=1mg/l-Ammonia-Treatment works consents</v>
      </c>
      <c r="E3437" t="str">
        <f>'7D'!$C$24</f>
        <v>nr</v>
      </c>
      <c r="F3437" t="s">
        <v>17334</v>
      </c>
      <c r="G3437">
        <f>'7D'!$D$24</f>
        <v>0</v>
      </c>
      <c r="O3437" t="str">
        <f>_xlfn.CONCAT('7D'!$B$19, "-", '7D'!$B$24, "-", '7D'!$Y$7, "-", '7D'!$Y$6, "-", '7D'!$N$5)</f>
        <v>Number of sewage treatment works-STWs in size band 5-&lt;=1mg/l-Ammonia-Treatment works consents</v>
      </c>
    </row>
    <row r="3438" spans="1:15">
      <c r="A3438" t="s">
        <v>17341</v>
      </c>
      <c r="B3438" t="str">
        <f>'7D'!$CJ$24</f>
        <v>STWCA058</v>
      </c>
      <c r="D3438" t="str">
        <f>_xlfn.CONCAT('7D'!$B$19, "-", '7D'!$B$24, "-", '7D'!$Z$7, "-", '7D'!$Y$6, "-", '7D'!$N$5)</f>
        <v>Number of sewage treatment works-STWs in size band 5-&gt;1 to &lt;=3mg/l-Ammonia-Treatment works consents</v>
      </c>
      <c r="E3438" t="str">
        <f>'7D'!$C$24</f>
        <v>nr</v>
      </c>
      <c r="F3438" t="s">
        <v>17334</v>
      </c>
      <c r="G3438">
        <f>'7D'!$D$24</f>
        <v>0</v>
      </c>
      <c r="O3438" t="str">
        <f>_xlfn.CONCAT('7D'!$B$19, "-", '7D'!$B$24, "-", '7D'!$Z$7, "-", '7D'!$Y$6, "-", '7D'!$N$5)</f>
        <v>Number of sewage treatment works-STWs in size band 5-&gt;1 to &lt;=3mg/l-Ammonia-Treatment works consents</v>
      </c>
    </row>
    <row r="3439" spans="1:15">
      <c r="A3439" t="s">
        <v>17341</v>
      </c>
      <c r="B3439" t="str">
        <f>'7D'!$CK$24</f>
        <v>STWCA059</v>
      </c>
      <c r="D3439" t="str">
        <f>_xlfn.CONCAT('7D'!$B$19, "-", '7D'!$B$24, "-", '7D'!$AA$7, "-", '7D'!$Y$6, "-", '7D'!$N$5)</f>
        <v>Number of sewage treatment works-STWs in size band 5-&gt;3 to &lt;=10mg/l-Ammonia-Treatment works consents</v>
      </c>
      <c r="E3439" t="str">
        <f>'7D'!$C$24</f>
        <v>nr</v>
      </c>
      <c r="F3439" t="s">
        <v>17334</v>
      </c>
      <c r="G3439">
        <f>'7D'!$D$24</f>
        <v>0</v>
      </c>
      <c r="O3439" t="str">
        <f>_xlfn.CONCAT('7D'!$B$19, "-", '7D'!$B$24, "-", '7D'!$AA$7, "-", '7D'!$Y$6, "-", '7D'!$N$5)</f>
        <v>Number of sewage treatment works-STWs in size band 5-&gt;3 to &lt;=10mg/l-Ammonia-Treatment works consents</v>
      </c>
    </row>
    <row r="3440" spans="1:15">
      <c r="A3440" t="s">
        <v>17341</v>
      </c>
      <c r="B3440" t="str">
        <f>'7D'!$CL$24</f>
        <v>STWCA060</v>
      </c>
      <c r="D3440" t="str">
        <f>_xlfn.CONCAT('7D'!$B$19, "-", '7D'!$B$24, "-", '7D'!$AB$7, "-", '7D'!$Y$6, "-", '7D'!$N$5)</f>
        <v>Number of sewage treatment works-STWs in size band 5-&gt;10mg/l-Ammonia-Treatment works consents</v>
      </c>
      <c r="E3440" t="str">
        <f>'7D'!$C$24</f>
        <v>nr</v>
      </c>
      <c r="F3440" t="s">
        <v>17334</v>
      </c>
      <c r="G3440">
        <f>'7D'!$D$24</f>
        <v>0</v>
      </c>
      <c r="O3440" t="str">
        <f>_xlfn.CONCAT('7D'!$B$19, "-", '7D'!$B$24, "-", '7D'!$AB$7, "-", '7D'!$Y$6, "-", '7D'!$N$5)</f>
        <v>Number of sewage treatment works-STWs in size band 5-&gt;10mg/l-Ammonia-Treatment works consents</v>
      </c>
    </row>
    <row r="3441" spans="1:15">
      <c r="A3441" t="s">
        <v>17341</v>
      </c>
      <c r="B3441" t="str">
        <f>'7D'!$CM$24</f>
        <v>STWCA061</v>
      </c>
      <c r="D3441" t="str">
        <f>_xlfn.CONCAT('7D'!$B$19, "-", '7D'!$B$24, "-", '7D'!$AC$7, "-", '7D'!$Y$6, "-", '7D'!$N$5)</f>
        <v>Number of sewage treatment works-STWs in size band 5-No permit-Ammonia-Treatment works consents</v>
      </c>
      <c r="E3441" t="str">
        <f>'7D'!$C$24</f>
        <v>nr</v>
      </c>
      <c r="F3441" t="s">
        <v>17334</v>
      </c>
      <c r="G3441">
        <f>'7D'!$D$24</f>
        <v>0</v>
      </c>
      <c r="O3441" t="str">
        <f>_xlfn.CONCAT('7D'!$B$19, "-", '7D'!$B$24, "-", '7D'!$AC$7, "-", '7D'!$Y$6, "-", '7D'!$N$5)</f>
        <v>Number of sewage treatment works-STWs in size band 5-No permit-Ammonia-Treatment works consents</v>
      </c>
    </row>
    <row r="3442" spans="1:15">
      <c r="A3442" t="s">
        <v>17341</v>
      </c>
      <c r="B3442" s="2602" t="str">
        <f>'7D'!$CN$24</f>
        <v>STWCA062</v>
      </c>
      <c r="D3442" t="str">
        <f>_xlfn.CONCAT('7D'!$B$19, "-", '7D'!$B$24, "-", '7D'!$AD$7, "-", '7D'!$Y$6, "-", '7D'!$N$5)</f>
        <v>Number of sewage treatment works-STWs in size band 5-Total-Ammonia-Treatment works consents</v>
      </c>
      <c r="E3442" t="str">
        <f>'7D'!$C$24</f>
        <v>nr</v>
      </c>
      <c r="F3442" t="s">
        <v>17334</v>
      </c>
      <c r="G3442">
        <f>'7D'!$D$24</f>
        <v>0</v>
      </c>
      <c r="O3442" t="str">
        <f>_xlfn.CONCAT('7D'!$B$19, "-", '7D'!$B$24, "-", '7D'!$AD$7, "-", '7D'!$Y$6, "-", '7D'!$N$5)</f>
        <v>Number of sewage treatment works-STWs in size band 5-Total-Ammonia-Treatment works consents</v>
      </c>
    </row>
    <row r="3443" spans="1:15">
      <c r="A3443" t="s">
        <v>17341</v>
      </c>
      <c r="B3443" t="str">
        <f>'7D'!$BO$25</f>
        <v>STWC101</v>
      </c>
      <c r="D3443" t="str">
        <f>_xlfn.CONCAT('7D'!$B$19, "-", '7D'!$B$25, "-", '7D'!$E$6, "-", '7D'!$E$6, "-", '7D'!$E$5)</f>
        <v>Number of sewage treatment works-STWs above size band 5-Primary-Primary-Treatment categories</v>
      </c>
      <c r="E3443" t="str">
        <f>'7D'!$C$25</f>
        <v>nr</v>
      </c>
      <c r="F3443" t="s">
        <v>17334</v>
      </c>
      <c r="G3443">
        <f>'7D'!$D$25</f>
        <v>0</v>
      </c>
      <c r="O3443" t="str">
        <f>_xlfn.CONCAT('7D'!$B$19, "-", '7D'!$B$25, "-", '7D'!$E$6, "-", '7D'!$E$6, "-", '7D'!$E$5)</f>
        <v>Number of sewage treatment works-STWs above size band 5-Primary-Primary-Treatment categories</v>
      </c>
    </row>
    <row r="3444" spans="1:15">
      <c r="A3444" t="s">
        <v>17341</v>
      </c>
      <c r="B3444" t="str">
        <f>'7D'!$BP$25</f>
        <v>STWC102</v>
      </c>
      <c r="D3444" t="str">
        <f>_xlfn.CONCAT('7D'!$B$19, "-", '7D'!$B$25, "-", '7D'!$F$7, "-", '7D'!$F$6, "-", '7D'!$E$5)</f>
        <v>Number of sewage treatment works-STWs above size band 5-Activated Sludge-Secondary-Treatment categories</v>
      </c>
      <c r="E3444" t="str">
        <f>'7D'!$C$25</f>
        <v>nr</v>
      </c>
      <c r="F3444" t="s">
        <v>17334</v>
      </c>
      <c r="G3444">
        <f>'7D'!$D$25</f>
        <v>0</v>
      </c>
      <c r="O3444" t="str">
        <f>_xlfn.CONCAT('7D'!$B$19, "-", '7D'!$B$25, "-", '7D'!$F$7, "-", '7D'!$F$6, "-", '7D'!$E$5)</f>
        <v>Number of sewage treatment works-STWs above size band 5-Activated Sludge-Secondary-Treatment categories</v>
      </c>
    </row>
    <row r="3445" spans="1:15">
      <c r="A3445" t="s">
        <v>17341</v>
      </c>
      <c r="B3445" t="str">
        <f>'7D'!$BQ$25</f>
        <v>STWC103</v>
      </c>
      <c r="D3445" t="str">
        <f>_xlfn.CONCAT('7D'!$B$19, "-", '7D'!$B$25, "-", '7D'!$G$7, "-", '7D'!$F$6, "-", '7D'!$E$5)</f>
        <v>Number of sewage treatment works-STWs above size band 5-Biological-Secondary-Treatment categories</v>
      </c>
      <c r="E3445" t="str">
        <f>'7D'!$C$25</f>
        <v>nr</v>
      </c>
      <c r="F3445" t="s">
        <v>17334</v>
      </c>
      <c r="G3445">
        <f>'7D'!$D$25</f>
        <v>0</v>
      </c>
      <c r="O3445" t="str">
        <f>_xlfn.CONCAT('7D'!$B$19, "-", '7D'!$B$25, "-", '7D'!$G$7, "-", '7D'!$F$6, "-", '7D'!$E$5)</f>
        <v>Number of sewage treatment works-STWs above size band 5-Biological-Secondary-Treatment categories</v>
      </c>
    </row>
    <row r="3446" spans="1:15">
      <c r="A3446" t="s">
        <v>17341</v>
      </c>
      <c r="B3446" t="str">
        <f>'7D'!$BR$25</f>
        <v>STWC104</v>
      </c>
      <c r="D3446" t="str">
        <f>_xlfn.CONCAT('7D'!$B$19, "-", '7D'!$B$25, "-", '7D'!$H$7, "-", '7D'!$H$6, "-", '7D'!$E$5)</f>
        <v>Number of sewage treatment works-STWs above size band 5-A1-Tertiary-Treatment categories</v>
      </c>
      <c r="E3446" t="str">
        <f>'7D'!$C$25</f>
        <v>nr</v>
      </c>
      <c r="F3446" t="s">
        <v>17334</v>
      </c>
      <c r="G3446">
        <f>'7D'!$D$25</f>
        <v>0</v>
      </c>
      <c r="O3446" t="str">
        <f>_xlfn.CONCAT('7D'!$B$19, "-", '7D'!$B$25, "-", '7D'!$H$7, "-", '7D'!$H$6, "-", '7D'!$E$5)</f>
        <v>Number of sewage treatment works-STWs above size band 5-A1-Tertiary-Treatment categories</v>
      </c>
    </row>
    <row r="3447" spans="1:15">
      <c r="A3447" t="s">
        <v>17341</v>
      </c>
      <c r="B3447" t="str">
        <f>'7D'!$BS$25</f>
        <v>STWC105</v>
      </c>
      <c r="D3447" t="str">
        <f>_xlfn.CONCAT('7D'!$B$19, "-", '7D'!$B$25, "-", '7D'!$I$7, "-", '7D'!$H$6, "-", '7D'!$E$5)</f>
        <v>Number of sewage treatment works-STWs above size band 5-A2-Tertiary-Treatment categories</v>
      </c>
      <c r="E3447" t="str">
        <f>'7D'!$C$25</f>
        <v>nr</v>
      </c>
      <c r="F3447" t="s">
        <v>17334</v>
      </c>
      <c r="G3447">
        <f>'7D'!$D$25</f>
        <v>0</v>
      </c>
      <c r="O3447" t="str">
        <f>_xlfn.CONCAT('7D'!$B$19, "-", '7D'!$B$25, "-", '7D'!$I$7, "-", '7D'!$H$6, "-", '7D'!$E$5)</f>
        <v>Number of sewage treatment works-STWs above size band 5-A2-Tertiary-Treatment categories</v>
      </c>
    </row>
    <row r="3448" spans="1:15">
      <c r="A3448" t="s">
        <v>17341</v>
      </c>
      <c r="B3448" t="str">
        <f>'7D'!$BT$25</f>
        <v>STWC106</v>
      </c>
      <c r="D3448" t="str">
        <f>_xlfn.CONCAT('7D'!$B$19, "-", '7D'!$B$25, "-", '7D'!$J$7, "-", '7D'!$H$6, "-", '7D'!$E$5)</f>
        <v>Number of sewage treatment works-STWs above size band 5-B1-Tertiary-Treatment categories</v>
      </c>
      <c r="E3448" t="str">
        <f>'7D'!$C$25</f>
        <v>nr</v>
      </c>
      <c r="F3448" t="s">
        <v>17334</v>
      </c>
      <c r="G3448">
        <f>'7D'!$D$25</f>
        <v>0</v>
      </c>
      <c r="O3448" t="str">
        <f>_xlfn.CONCAT('7D'!$B$19, "-", '7D'!$B$25, "-", '7D'!$J$7, "-", '7D'!$H$6, "-", '7D'!$E$5)</f>
        <v>Number of sewage treatment works-STWs above size band 5-B1-Tertiary-Treatment categories</v>
      </c>
    </row>
    <row r="3449" spans="1:15">
      <c r="A3449" t="s">
        <v>17341</v>
      </c>
      <c r="B3449" t="str">
        <f>'7D'!$BU$25</f>
        <v>STWC107</v>
      </c>
      <c r="D3449" t="str">
        <f>_xlfn.CONCAT('7D'!$B$19, "-", '7D'!$B$25, "-", '7D'!$K$7, "-", '7D'!$H$6, "-", '7D'!$E$5)</f>
        <v>Number of sewage treatment works-STWs above size band 5-B2-Tertiary-Treatment categories</v>
      </c>
      <c r="E3449" t="str">
        <f>'7D'!$C$25</f>
        <v>nr</v>
      </c>
      <c r="F3449" t="s">
        <v>17334</v>
      </c>
      <c r="G3449">
        <f>'7D'!$D$25</f>
        <v>0</v>
      </c>
      <c r="O3449" t="str">
        <f>_xlfn.CONCAT('7D'!$B$19, "-", '7D'!$B$25, "-", '7D'!$K$7, "-", '7D'!$H$6, "-", '7D'!$E$5)</f>
        <v>Number of sewage treatment works-STWs above size band 5-B2-Tertiary-Treatment categories</v>
      </c>
    </row>
    <row r="3450" spans="1:15">
      <c r="A3450" t="s">
        <v>17341</v>
      </c>
      <c r="B3450" s="2602" t="str">
        <f>'7D'!$BV$25</f>
        <v>STWC114</v>
      </c>
      <c r="D3450" t="str">
        <f>_xlfn.CONCAT('7D'!$B$19, "-", '7D'!$B$25, "-", '7D'!$L$6, "-", '7D'!$L$6, "-", '7D'!$E$5)</f>
        <v>Number of sewage treatment works-STWs above size band 5-Total-Total-Treatment categories</v>
      </c>
      <c r="E3450" t="str">
        <f>'7D'!$C$25</f>
        <v>nr</v>
      </c>
      <c r="F3450" t="s">
        <v>17334</v>
      </c>
      <c r="G3450">
        <f>'7D'!$D$25</f>
        <v>0</v>
      </c>
      <c r="O3450" t="str">
        <f>_xlfn.CONCAT('7D'!$B$19, "-", '7D'!$B$25, "-", '7D'!$L$6, "-", '7D'!$L$6, "-", '7D'!$E$5)</f>
        <v>Number of sewage treatment works-STWs above size band 5-Total-Total-Treatment categories</v>
      </c>
    </row>
    <row r="3451" spans="1:15">
      <c r="A3451" t="s">
        <v>17341</v>
      </c>
      <c r="B3451" t="str">
        <f>'7D'!$BX$25</f>
        <v>STWCP101</v>
      </c>
      <c r="D3451" t="str">
        <f>_xlfn.CONCAT('7D'!$B$19, "-", '7D'!$B$25, "-", '7D'!$N$7, "-", '7D'!$N$6, "-", '7D'!$N$5)</f>
        <v>Number of sewage treatment works-STWs above size band 5-&lt;=0.5mg/l-Phosphorus-Treatment works consents</v>
      </c>
      <c r="E3451" t="str">
        <f>'7D'!$C$25</f>
        <v>nr</v>
      </c>
      <c r="F3451" t="s">
        <v>17334</v>
      </c>
      <c r="G3451">
        <f>'7D'!$D$25</f>
        <v>0</v>
      </c>
      <c r="O3451" t="str">
        <f>_xlfn.CONCAT('7D'!$B$19, "-", '7D'!$B$25, "-", '7D'!$N$7, "-", '7D'!$N$6, "-", '7D'!$N$5)</f>
        <v>Number of sewage treatment works-STWs above size band 5-&lt;=0.5mg/l-Phosphorus-Treatment works consents</v>
      </c>
    </row>
    <row r="3452" spans="1:15">
      <c r="A3452" t="s">
        <v>17341</v>
      </c>
      <c r="B3452" t="str">
        <f>'7D'!$BY$25</f>
        <v>STWCP102</v>
      </c>
      <c r="D3452" t="str">
        <f>_xlfn.CONCAT('7D'!$B$19, "-", '7D'!$B$25, "-", '7D'!$O$7, "-", '7D'!$N$6, "-", '7D'!$N$5)</f>
        <v>Number of sewage treatment works-STWs above size band 5-&gt;0.5 to &lt;=1mg/l-Phosphorus-Treatment works consents</v>
      </c>
      <c r="E3452" t="str">
        <f>'7D'!$C$25</f>
        <v>nr</v>
      </c>
      <c r="F3452" t="s">
        <v>17334</v>
      </c>
      <c r="G3452">
        <f>'7D'!$D$25</f>
        <v>0</v>
      </c>
      <c r="O3452" t="str">
        <f>_xlfn.CONCAT('7D'!$B$19, "-", '7D'!$B$25, "-", '7D'!$O$7, "-", '7D'!$N$6, "-", '7D'!$N$5)</f>
        <v>Number of sewage treatment works-STWs above size band 5-&gt;0.5 to &lt;=1mg/l-Phosphorus-Treatment works consents</v>
      </c>
    </row>
    <row r="3453" spans="1:15">
      <c r="A3453" t="s">
        <v>17341</v>
      </c>
      <c r="B3453" t="str">
        <f>'7D'!$BZ$25</f>
        <v>STWCP103</v>
      </c>
      <c r="D3453" t="str">
        <f>_xlfn.CONCAT('7D'!$B$19, "-", '7D'!$B$25, "-", '7D'!$P$7, "-", '7D'!$N$6, "-", '7D'!$N$5)</f>
        <v>Number of sewage treatment works-STWs above size band 5-&gt;1mg/l-Phosphorus-Treatment works consents</v>
      </c>
      <c r="E3453" t="str">
        <f>'7D'!$C$25</f>
        <v>nr</v>
      </c>
      <c r="F3453" t="s">
        <v>17334</v>
      </c>
      <c r="G3453">
        <f>'7D'!$D$25</f>
        <v>0</v>
      </c>
      <c r="O3453" t="str">
        <f>_xlfn.CONCAT('7D'!$B$19, "-", '7D'!$B$25, "-", '7D'!$P$7, "-", '7D'!$N$6, "-", '7D'!$N$5)</f>
        <v>Number of sewage treatment works-STWs above size band 5-&gt;1mg/l-Phosphorus-Treatment works consents</v>
      </c>
    </row>
    <row r="3454" spans="1:15">
      <c r="A3454" t="s">
        <v>17341</v>
      </c>
      <c r="B3454" t="str">
        <f>'7D'!$CA$25</f>
        <v>STWCP104</v>
      </c>
      <c r="D3454" t="str">
        <f>_xlfn.CONCAT('7D'!$B$19, "-", '7D'!$B$25, "-", '7D'!$Q$7, "-", '7D'!$N$6, "-", '7D'!$N$5)</f>
        <v>Number of sewage treatment works-STWs above size band 5-No permit-Phosphorus-Treatment works consents</v>
      </c>
      <c r="E3454" t="str">
        <f>'7D'!$C$25</f>
        <v>nr</v>
      </c>
      <c r="F3454" t="s">
        <v>17334</v>
      </c>
      <c r="G3454">
        <f>'7D'!$D$25</f>
        <v>0</v>
      </c>
      <c r="O3454" t="str">
        <f>_xlfn.CONCAT('7D'!$B$19, "-", '7D'!$B$25, "-", '7D'!$Q$7, "-", '7D'!$N$6, "-", '7D'!$N$5)</f>
        <v>Number of sewage treatment works-STWs above size band 5-No permit-Phosphorus-Treatment works consents</v>
      </c>
    </row>
    <row r="3455" spans="1:15">
      <c r="A3455" t="s">
        <v>17341</v>
      </c>
      <c r="B3455" s="2602" t="str">
        <f>'7D'!$CB$25</f>
        <v>STWCP105</v>
      </c>
      <c r="D3455" t="str">
        <f>_xlfn.CONCAT('7D'!$B$19, "-", '7D'!$B$25, "-", '7D'!$R$7, "-", '7D'!$N$6, "-", '7D'!$N$5)</f>
        <v>Number of sewage treatment works-STWs above size band 5-Total-Phosphorus-Treatment works consents</v>
      </c>
      <c r="E3455" t="str">
        <f>'7D'!$C$25</f>
        <v>nr</v>
      </c>
      <c r="F3455" t="s">
        <v>17334</v>
      </c>
      <c r="G3455">
        <f>'7D'!$D$25</f>
        <v>0</v>
      </c>
      <c r="O3455" t="str">
        <f>_xlfn.CONCAT('7D'!$B$19, "-", '7D'!$B$25, "-", '7D'!$R$7, "-", '7D'!$N$6, "-", '7D'!$N$5)</f>
        <v>Number of sewage treatment works-STWs above size band 5-Total-Phosphorus-Treatment works consents</v>
      </c>
    </row>
    <row r="3456" spans="1:15">
      <c r="A3456" t="s">
        <v>17341</v>
      </c>
      <c r="B3456" t="str">
        <f>'7D'!$CC$25</f>
        <v>STWCB101</v>
      </c>
      <c r="D3456" t="str">
        <f>_xlfn.CONCAT('7D'!$B$19, "-", '7D'!$B$25, "-", '7D'!$S$7, "-", '7D'!$S$6, "-", '7D'!$N$5)</f>
        <v>Number of sewage treatment works-STWs above size band 5-&lt;=7mg/l-BOD5-Treatment works consents</v>
      </c>
      <c r="E3456" t="str">
        <f>'7D'!$C$25</f>
        <v>nr</v>
      </c>
      <c r="F3456" t="s">
        <v>17334</v>
      </c>
      <c r="G3456">
        <f>'7D'!$D$25</f>
        <v>0</v>
      </c>
      <c r="O3456" t="str">
        <f>_xlfn.CONCAT('7D'!$B$19, "-", '7D'!$B$25, "-", '7D'!$S$7, "-", '7D'!$S$6, "-", '7D'!$N$5)</f>
        <v>Number of sewage treatment works-STWs above size band 5-&lt;=7mg/l-BOD5-Treatment works consents</v>
      </c>
    </row>
    <row r="3457" spans="1:15">
      <c r="A3457" t="s">
        <v>17341</v>
      </c>
      <c r="B3457" t="str">
        <f>'7D'!$CD$25</f>
        <v>STWCB102</v>
      </c>
      <c r="D3457" t="str">
        <f>_xlfn.CONCAT('7D'!$B$19, "-", '7D'!$B$25, "-", '7D'!$T$7, "-", '7D'!$S$6, "-", '7D'!$N$5)</f>
        <v>Number of sewage treatment works-STWs above size band 5-&gt;7 to &lt;=10mg/l-BOD5-Treatment works consents</v>
      </c>
      <c r="E3457" t="str">
        <f>'7D'!$C$25</f>
        <v>nr</v>
      </c>
      <c r="F3457" t="s">
        <v>17334</v>
      </c>
      <c r="G3457">
        <f>'7D'!$D$25</f>
        <v>0</v>
      </c>
      <c r="O3457" t="str">
        <f>_xlfn.CONCAT('7D'!$B$19, "-", '7D'!$B$25, "-", '7D'!$T$7, "-", '7D'!$S$6, "-", '7D'!$N$5)</f>
        <v>Number of sewage treatment works-STWs above size band 5-&gt;7 to &lt;=10mg/l-BOD5-Treatment works consents</v>
      </c>
    </row>
    <row r="3458" spans="1:15">
      <c r="A3458" t="s">
        <v>17341</v>
      </c>
      <c r="B3458" t="str">
        <f>'7D'!$CE$25</f>
        <v>STWCB103</v>
      </c>
      <c r="D3458" t="str">
        <f>_xlfn.CONCAT('7D'!$B$19, "-", '7D'!$B$25, "-", '7D'!$U$7, "-", '7D'!$S$6, "-", '7D'!$N$5)</f>
        <v>Number of sewage treatment works-STWs above size band 5-&gt;10 to &lt;=20mg/l-BOD5-Treatment works consents</v>
      </c>
      <c r="E3458" t="str">
        <f>'7D'!$C$25</f>
        <v>nr</v>
      </c>
      <c r="F3458" t="s">
        <v>17334</v>
      </c>
      <c r="G3458">
        <f>'7D'!$D$25</f>
        <v>0</v>
      </c>
      <c r="O3458" t="str">
        <f>_xlfn.CONCAT('7D'!$B$19, "-", '7D'!$B$25, "-", '7D'!$U$7, "-", '7D'!$S$6, "-", '7D'!$N$5)</f>
        <v>Number of sewage treatment works-STWs above size band 5-&gt;10 to &lt;=20mg/l-BOD5-Treatment works consents</v>
      </c>
    </row>
    <row r="3459" spans="1:15">
      <c r="A3459" t="s">
        <v>17341</v>
      </c>
      <c r="B3459" t="str">
        <f>'7D'!$CF$25</f>
        <v>STWCB104</v>
      </c>
      <c r="D3459" t="str">
        <f>_xlfn.CONCAT('7D'!$B$19, "-", '7D'!$B$25, "-", '7D'!$V$7, "-", '7D'!$S$6, "-", '7D'!$N$5)</f>
        <v>Number of sewage treatment works-STWs above size band 5-&gt;20mg/l-BOD5-Treatment works consents</v>
      </c>
      <c r="E3459" t="str">
        <f>'7D'!$C$25</f>
        <v>nr</v>
      </c>
      <c r="F3459" t="s">
        <v>17334</v>
      </c>
      <c r="G3459">
        <f>'7D'!$D$25</f>
        <v>0</v>
      </c>
      <c r="O3459" t="str">
        <f>_xlfn.CONCAT('7D'!$B$19, "-", '7D'!$B$25, "-", '7D'!$V$7, "-", '7D'!$S$6, "-", '7D'!$N$5)</f>
        <v>Number of sewage treatment works-STWs above size band 5-&gt;20mg/l-BOD5-Treatment works consents</v>
      </c>
    </row>
    <row r="3460" spans="1:15">
      <c r="A3460" t="s">
        <v>17341</v>
      </c>
      <c r="B3460" t="str">
        <f>'7D'!$CG$25</f>
        <v>STWCB105</v>
      </c>
      <c r="D3460" t="str">
        <f>_xlfn.CONCAT('7D'!$B$19, "-", '7D'!$B$25, "-", '7D'!$W$7, "-", '7D'!$S$6, "-", '7D'!$N$5)</f>
        <v>Number of sewage treatment works-STWs above size band 5-No permit-BOD5-Treatment works consents</v>
      </c>
      <c r="E3460" t="str">
        <f>'7D'!$C$25</f>
        <v>nr</v>
      </c>
      <c r="F3460" t="s">
        <v>17334</v>
      </c>
      <c r="G3460">
        <f>'7D'!$D$25</f>
        <v>0</v>
      </c>
      <c r="O3460" t="str">
        <f>_xlfn.CONCAT('7D'!$B$19, "-", '7D'!$B$25, "-", '7D'!$W$7, "-", '7D'!$S$6, "-", '7D'!$N$5)</f>
        <v>Number of sewage treatment works-STWs above size band 5-No permit-BOD5-Treatment works consents</v>
      </c>
    </row>
    <row r="3461" spans="1:15">
      <c r="A3461" t="s">
        <v>17341</v>
      </c>
      <c r="B3461" s="2602" t="str">
        <f>'7D'!$CH$25</f>
        <v>STWCB106</v>
      </c>
      <c r="D3461" t="str">
        <f>_xlfn.CONCAT('7D'!$B$19, "-", '7D'!$B$25, "-", '7D'!$X$7, "-", '7D'!$S$6, "-", '7D'!$N$5)</f>
        <v>Number of sewage treatment works-STWs above size band 5-Total-BOD5-Treatment works consents</v>
      </c>
      <c r="E3461" t="str">
        <f>'7D'!$C$25</f>
        <v>nr</v>
      </c>
      <c r="F3461" t="s">
        <v>17334</v>
      </c>
      <c r="G3461">
        <f>'7D'!$D$25</f>
        <v>0</v>
      </c>
      <c r="O3461" t="str">
        <f>_xlfn.CONCAT('7D'!$B$19, "-", '7D'!$B$25, "-", '7D'!$X$7, "-", '7D'!$S$6, "-", '7D'!$N$5)</f>
        <v>Number of sewage treatment works-STWs above size band 5-Total-BOD5-Treatment works consents</v>
      </c>
    </row>
    <row r="3462" spans="1:15">
      <c r="A3462" t="s">
        <v>17341</v>
      </c>
      <c r="B3462" t="str">
        <f>'7D'!$CI$25</f>
        <v>STWCA101</v>
      </c>
      <c r="D3462" t="str">
        <f>_xlfn.CONCAT('7D'!$B$19, "-", '7D'!$B$25, "-", '7D'!$Y$7, "-", '7D'!$Y$6, "-", '7D'!$N$5)</f>
        <v>Number of sewage treatment works-STWs above size band 5-&lt;=1mg/l-Ammonia-Treatment works consents</v>
      </c>
      <c r="E3462" t="str">
        <f>'7D'!$C$25</f>
        <v>nr</v>
      </c>
      <c r="F3462" t="s">
        <v>17334</v>
      </c>
      <c r="G3462">
        <f>'7D'!$D$25</f>
        <v>0</v>
      </c>
      <c r="O3462" t="str">
        <f>_xlfn.CONCAT('7D'!$B$19, "-", '7D'!$B$25, "-", '7D'!$Y$7, "-", '7D'!$Y$6, "-", '7D'!$N$5)</f>
        <v>Number of sewage treatment works-STWs above size band 5-&lt;=1mg/l-Ammonia-Treatment works consents</v>
      </c>
    </row>
    <row r="3463" spans="1:15">
      <c r="A3463" t="s">
        <v>17341</v>
      </c>
      <c r="B3463" t="str">
        <f>'7D'!$CJ$25</f>
        <v>STWCA102</v>
      </c>
      <c r="D3463" t="str">
        <f>_xlfn.CONCAT('7D'!$B$19, "-", '7D'!$B$25, "-", '7D'!$Z$7, "-", '7D'!$Y$6, "-", '7D'!$N$5)</f>
        <v>Number of sewage treatment works-STWs above size band 5-&gt;1 to &lt;=3mg/l-Ammonia-Treatment works consents</v>
      </c>
      <c r="E3463" t="str">
        <f>'7D'!$C$25</f>
        <v>nr</v>
      </c>
      <c r="F3463" t="s">
        <v>17334</v>
      </c>
      <c r="G3463">
        <f>'7D'!$D$25</f>
        <v>0</v>
      </c>
      <c r="O3463" t="str">
        <f>_xlfn.CONCAT('7D'!$B$19, "-", '7D'!$B$25, "-", '7D'!$Z$7, "-", '7D'!$Y$6, "-", '7D'!$N$5)</f>
        <v>Number of sewage treatment works-STWs above size band 5-&gt;1 to &lt;=3mg/l-Ammonia-Treatment works consents</v>
      </c>
    </row>
    <row r="3464" spans="1:15">
      <c r="A3464" t="s">
        <v>17341</v>
      </c>
      <c r="B3464" t="str">
        <f>'7D'!$CK$25</f>
        <v>STWCA103</v>
      </c>
      <c r="D3464" t="str">
        <f>_xlfn.CONCAT('7D'!$B$19, "-", '7D'!$B$25, "-", '7D'!$AA$7, "-", '7D'!$Y$6, "-", '7D'!$N$5)</f>
        <v>Number of sewage treatment works-STWs above size band 5-&gt;3 to &lt;=10mg/l-Ammonia-Treatment works consents</v>
      </c>
      <c r="E3464" t="str">
        <f>'7D'!$C$25</f>
        <v>nr</v>
      </c>
      <c r="F3464" t="s">
        <v>17334</v>
      </c>
      <c r="G3464">
        <f>'7D'!$D$25</f>
        <v>0</v>
      </c>
      <c r="O3464" t="str">
        <f>_xlfn.CONCAT('7D'!$B$19, "-", '7D'!$B$25, "-", '7D'!$AA$7, "-", '7D'!$Y$6, "-", '7D'!$N$5)</f>
        <v>Number of sewage treatment works-STWs above size band 5-&gt;3 to &lt;=10mg/l-Ammonia-Treatment works consents</v>
      </c>
    </row>
    <row r="3465" spans="1:15">
      <c r="A3465" t="s">
        <v>17341</v>
      </c>
      <c r="B3465" t="str">
        <f>'7D'!$CL$25</f>
        <v>STWCA104</v>
      </c>
      <c r="D3465" t="str">
        <f>_xlfn.CONCAT('7D'!$B$19, "-", '7D'!$B$25, "-", '7D'!$AB$7, "-", '7D'!$Y$6, "-", '7D'!$N$5)</f>
        <v>Number of sewage treatment works-STWs above size band 5-&gt;10mg/l-Ammonia-Treatment works consents</v>
      </c>
      <c r="E3465" t="str">
        <f>'7D'!$C$25</f>
        <v>nr</v>
      </c>
      <c r="F3465" t="s">
        <v>17334</v>
      </c>
      <c r="G3465">
        <f>'7D'!$D$25</f>
        <v>0</v>
      </c>
      <c r="O3465" t="str">
        <f>_xlfn.CONCAT('7D'!$B$19, "-", '7D'!$B$25, "-", '7D'!$AB$7, "-", '7D'!$Y$6, "-", '7D'!$N$5)</f>
        <v>Number of sewage treatment works-STWs above size band 5-&gt;10mg/l-Ammonia-Treatment works consents</v>
      </c>
    </row>
    <row r="3466" spans="1:15">
      <c r="A3466" t="s">
        <v>17341</v>
      </c>
      <c r="B3466" t="str">
        <f>'7D'!$CM$25</f>
        <v>STWCA105</v>
      </c>
      <c r="D3466" t="str">
        <f>_xlfn.CONCAT('7D'!$B$19, "-", '7D'!$B$25, "-", '7D'!$AC$7, "-", '7D'!$Y$6, "-", '7D'!$N$5)</f>
        <v>Number of sewage treatment works-STWs above size band 5-No permit-Ammonia-Treatment works consents</v>
      </c>
      <c r="E3466" t="str">
        <f>'7D'!$C$25</f>
        <v>nr</v>
      </c>
      <c r="F3466" t="s">
        <v>17334</v>
      </c>
      <c r="G3466">
        <f>'7D'!$D$25</f>
        <v>0</v>
      </c>
      <c r="O3466" t="str">
        <f>_xlfn.CONCAT('7D'!$B$19, "-", '7D'!$B$25, "-", '7D'!$AC$7, "-", '7D'!$Y$6, "-", '7D'!$N$5)</f>
        <v>Number of sewage treatment works-STWs above size band 5-No permit-Ammonia-Treatment works consents</v>
      </c>
    </row>
    <row r="3467" spans="1:15">
      <c r="A3467" t="s">
        <v>17341</v>
      </c>
      <c r="B3467" s="2602" t="str">
        <f>'7D'!$CN$25</f>
        <v>STWCA106</v>
      </c>
      <c r="D3467" t="str">
        <f>_xlfn.CONCAT('7D'!$B$19, "-", '7D'!$B$25, "-", '7D'!$AD$7, "-", '7D'!$Y$6, "-", '7D'!$N$5)</f>
        <v>Number of sewage treatment works-STWs above size band 5-Total-Ammonia-Treatment works consents</v>
      </c>
      <c r="E3467" t="str">
        <f>'7D'!$C$25</f>
        <v>nr</v>
      </c>
      <c r="F3467" t="s">
        <v>17334</v>
      </c>
      <c r="G3467">
        <f>'7D'!$D$25</f>
        <v>0</v>
      </c>
      <c r="O3467" t="str">
        <f>_xlfn.CONCAT('7D'!$B$19, "-", '7D'!$B$25, "-", '7D'!$AD$7, "-", '7D'!$Y$6, "-", '7D'!$N$5)</f>
        <v>Number of sewage treatment works-STWs above size band 5-Total-Ammonia-Treatment works consents</v>
      </c>
    </row>
    <row r="3468" spans="1:15">
      <c r="A3468" t="s">
        <v>17341</v>
      </c>
      <c r="B3468" s="2602" t="str">
        <f>'7D'!$BO$26</f>
        <v>STWC121</v>
      </c>
      <c r="D3468" t="str">
        <f>_xlfn.CONCAT('7D'!$B$19, "-", '7D'!$B$26, "-", '7D'!$E$6, "-", '7D'!$E$6, "-", '7D'!$E$5)</f>
        <v>Number of sewage treatment works-Total number of works-Primary-Primary-Treatment categories</v>
      </c>
      <c r="E3468" t="str">
        <f>'7D'!$C$26</f>
        <v>nr</v>
      </c>
      <c r="F3468" t="s">
        <v>17334</v>
      </c>
      <c r="G3468">
        <f>'7D'!$D$26</f>
        <v>0</v>
      </c>
      <c r="O3468" t="str">
        <f>_xlfn.CONCAT('7D'!$B$19, "-", '7D'!$B$26, "-", '7D'!$E$6, "-", '7D'!$E$6, "-", '7D'!$E$5)</f>
        <v>Number of sewage treatment works-Total number of works-Primary-Primary-Treatment categories</v>
      </c>
    </row>
    <row r="3469" spans="1:15">
      <c r="A3469" t="s">
        <v>17341</v>
      </c>
      <c r="B3469" s="2602" t="str">
        <f>'7D'!$BP$26</f>
        <v>STWC122</v>
      </c>
      <c r="D3469" t="str">
        <f>_xlfn.CONCAT('7D'!$B$19, "-", '7D'!$B$26, "-", '7D'!$F$7, "-", '7D'!$F$6, "-", '7D'!$E$5)</f>
        <v>Number of sewage treatment works-Total number of works-Activated Sludge-Secondary-Treatment categories</v>
      </c>
      <c r="E3469" t="str">
        <f>'7D'!$C$26</f>
        <v>nr</v>
      </c>
      <c r="F3469" t="s">
        <v>17334</v>
      </c>
      <c r="G3469">
        <f>'7D'!$D$26</f>
        <v>0</v>
      </c>
      <c r="O3469" t="str">
        <f>_xlfn.CONCAT('7D'!$B$19, "-", '7D'!$B$26, "-", '7D'!$F$7, "-", '7D'!$F$6, "-", '7D'!$E$5)</f>
        <v>Number of sewage treatment works-Total number of works-Activated Sludge-Secondary-Treatment categories</v>
      </c>
    </row>
    <row r="3470" spans="1:15">
      <c r="A3470" t="s">
        <v>17341</v>
      </c>
      <c r="B3470" s="2602" t="str">
        <f>'7D'!$BQ$26</f>
        <v>STWC123</v>
      </c>
      <c r="D3470" t="str">
        <f>_xlfn.CONCAT('7D'!$B$19, "-", '7D'!$B$26, "-", '7D'!$G$7, "-", '7D'!$F$6, "-", '7D'!$E$5)</f>
        <v>Number of sewage treatment works-Total number of works-Biological-Secondary-Treatment categories</v>
      </c>
      <c r="E3470" t="str">
        <f>'7D'!$C$26</f>
        <v>nr</v>
      </c>
      <c r="F3470" t="s">
        <v>17334</v>
      </c>
      <c r="G3470">
        <f>'7D'!$D$26</f>
        <v>0</v>
      </c>
      <c r="O3470" t="str">
        <f>_xlfn.CONCAT('7D'!$B$19, "-", '7D'!$B$26, "-", '7D'!$G$7, "-", '7D'!$F$6, "-", '7D'!$E$5)</f>
        <v>Number of sewage treatment works-Total number of works-Biological-Secondary-Treatment categories</v>
      </c>
    </row>
    <row r="3471" spans="1:15">
      <c r="A3471" t="s">
        <v>17341</v>
      </c>
      <c r="B3471" s="2602" t="str">
        <f>'7D'!$BR$26</f>
        <v>STWC124</v>
      </c>
      <c r="D3471" t="str">
        <f>_xlfn.CONCAT('7D'!$B$19, "-", '7D'!$B$26, "-", '7D'!$H$7, "-", '7D'!$H$6, "-", '7D'!$E$5)</f>
        <v>Number of sewage treatment works-Total number of works-A1-Tertiary-Treatment categories</v>
      </c>
      <c r="E3471" t="str">
        <f>'7D'!$C$26</f>
        <v>nr</v>
      </c>
      <c r="F3471" t="s">
        <v>17334</v>
      </c>
      <c r="G3471">
        <f>'7D'!$D$26</f>
        <v>0</v>
      </c>
      <c r="O3471" t="str">
        <f>_xlfn.CONCAT('7D'!$B$19, "-", '7D'!$B$26, "-", '7D'!$H$7, "-", '7D'!$H$6, "-", '7D'!$E$5)</f>
        <v>Number of sewage treatment works-Total number of works-A1-Tertiary-Treatment categories</v>
      </c>
    </row>
    <row r="3472" spans="1:15">
      <c r="A3472" t="s">
        <v>17341</v>
      </c>
      <c r="B3472" s="2602" t="str">
        <f>'7D'!$BS$26</f>
        <v>STWC125</v>
      </c>
      <c r="D3472" t="str">
        <f>_xlfn.CONCAT('7D'!$B$19, "-", '7D'!$B$26, "-", '7D'!$I$7, "-", '7D'!$H$6, "-", '7D'!$E$5)</f>
        <v>Number of sewage treatment works-Total number of works-A2-Tertiary-Treatment categories</v>
      </c>
      <c r="E3472" t="str">
        <f>'7D'!$C$26</f>
        <v>nr</v>
      </c>
      <c r="F3472" t="s">
        <v>17334</v>
      </c>
      <c r="G3472">
        <f>'7D'!$D$26</f>
        <v>0</v>
      </c>
      <c r="O3472" t="str">
        <f>_xlfn.CONCAT('7D'!$B$19, "-", '7D'!$B$26, "-", '7D'!$I$7, "-", '7D'!$H$6, "-", '7D'!$E$5)</f>
        <v>Number of sewage treatment works-Total number of works-A2-Tertiary-Treatment categories</v>
      </c>
    </row>
    <row r="3473" spans="1:15">
      <c r="A3473" t="s">
        <v>17341</v>
      </c>
      <c r="B3473" s="2602" t="str">
        <f>'7D'!$BT$26</f>
        <v>STWC126</v>
      </c>
      <c r="D3473" t="str">
        <f>_xlfn.CONCAT('7D'!$B$19, "-", '7D'!$B$26, "-", '7D'!$J$7, "-", '7D'!$H$6, "-", '7D'!$E$5)</f>
        <v>Number of sewage treatment works-Total number of works-B1-Tertiary-Treatment categories</v>
      </c>
      <c r="E3473" t="str">
        <f>'7D'!$C$26</f>
        <v>nr</v>
      </c>
      <c r="F3473" t="s">
        <v>17334</v>
      </c>
      <c r="G3473">
        <f>'7D'!$D$26</f>
        <v>0</v>
      </c>
      <c r="O3473" t="str">
        <f>_xlfn.CONCAT('7D'!$B$19, "-", '7D'!$B$26, "-", '7D'!$J$7, "-", '7D'!$H$6, "-", '7D'!$E$5)</f>
        <v>Number of sewage treatment works-Total number of works-B1-Tertiary-Treatment categories</v>
      </c>
    </row>
    <row r="3474" spans="1:15">
      <c r="A3474" t="s">
        <v>17341</v>
      </c>
      <c r="B3474" s="2602" t="str">
        <f>'7D'!$BU$26</f>
        <v>STWC127</v>
      </c>
      <c r="D3474" t="str">
        <f>_xlfn.CONCAT('7D'!$B$19, "-", '7D'!$B$26, "-", '7D'!$K$7, "-", '7D'!$H$6, "-", '7D'!$E$5)</f>
        <v>Number of sewage treatment works-Total number of works-B2-Tertiary-Treatment categories</v>
      </c>
      <c r="E3474" t="str">
        <f>'7D'!$C$26</f>
        <v>nr</v>
      </c>
      <c r="F3474" t="s">
        <v>17334</v>
      </c>
      <c r="G3474">
        <f>'7D'!$D$26</f>
        <v>0</v>
      </c>
      <c r="O3474" t="str">
        <f>_xlfn.CONCAT('7D'!$B$19, "-", '7D'!$B$26, "-", '7D'!$K$7, "-", '7D'!$H$6, "-", '7D'!$E$5)</f>
        <v>Number of sewage treatment works-Total number of works-B2-Tertiary-Treatment categories</v>
      </c>
    </row>
    <row r="3475" spans="1:15">
      <c r="A3475" t="s">
        <v>17341</v>
      </c>
      <c r="B3475" s="2602" t="str">
        <f>'7D'!$BV$26</f>
        <v>STWC115</v>
      </c>
      <c r="D3475" t="str">
        <f>_xlfn.CONCAT('7D'!$B$19, "-", '7D'!$B$26, "-", '7D'!$L$6, "-", '7D'!$L$6, "-", '7D'!$E$5)</f>
        <v>Number of sewage treatment works-Total number of works-Total-Total-Treatment categories</v>
      </c>
      <c r="E3475" t="str">
        <f>'7D'!$C$26</f>
        <v>nr</v>
      </c>
      <c r="F3475" t="s">
        <v>17334</v>
      </c>
      <c r="G3475">
        <f>'7D'!$D$26</f>
        <v>0</v>
      </c>
      <c r="O3475" t="str">
        <f>_xlfn.CONCAT('7D'!$B$19, "-", '7D'!$B$26, "-", '7D'!$L$6, "-", '7D'!$L$6, "-", '7D'!$E$5)</f>
        <v>Number of sewage treatment works-Total number of works-Total-Total-Treatment categories</v>
      </c>
    </row>
    <row r="3476" spans="1:15">
      <c r="A3476" t="s">
        <v>17341</v>
      </c>
      <c r="B3476" s="2602" t="str">
        <f>'7D'!$BX$26</f>
        <v>STWCP121</v>
      </c>
      <c r="D3476" t="str">
        <f>_xlfn.CONCAT('7D'!$B$19, "-", '7D'!$B$26, "-", '7D'!$N$7, "-", '7D'!$N$6, "-", '7D'!$N$5)</f>
        <v>Number of sewage treatment works-Total number of works-&lt;=0.5mg/l-Phosphorus-Treatment works consents</v>
      </c>
      <c r="E3476" t="str">
        <f>'7D'!$C$26</f>
        <v>nr</v>
      </c>
      <c r="F3476" t="s">
        <v>17334</v>
      </c>
      <c r="G3476">
        <f>'7D'!$D$26</f>
        <v>0</v>
      </c>
      <c r="O3476" t="str">
        <f>_xlfn.CONCAT('7D'!$B$19, "-", '7D'!$B$26, "-", '7D'!$N$7, "-", '7D'!$N$6, "-", '7D'!$N$5)</f>
        <v>Number of sewage treatment works-Total number of works-&lt;=0.5mg/l-Phosphorus-Treatment works consents</v>
      </c>
    </row>
    <row r="3477" spans="1:15">
      <c r="A3477" t="s">
        <v>17341</v>
      </c>
      <c r="B3477" s="2602" t="str">
        <f>'7D'!$BY$26</f>
        <v>STWCP122</v>
      </c>
      <c r="D3477" t="str">
        <f>_xlfn.CONCAT('7D'!$B$19, "-", '7D'!$B$26, "-", '7D'!$O$7, "-", '7D'!$N$6, "-", '7D'!$N$5)</f>
        <v>Number of sewage treatment works-Total number of works-&gt;0.5 to &lt;=1mg/l-Phosphorus-Treatment works consents</v>
      </c>
      <c r="E3477" t="str">
        <f>'7D'!$C$26</f>
        <v>nr</v>
      </c>
      <c r="F3477" t="s">
        <v>17334</v>
      </c>
      <c r="G3477">
        <f>'7D'!$D$26</f>
        <v>0</v>
      </c>
      <c r="O3477" t="str">
        <f>_xlfn.CONCAT('7D'!$B$19, "-", '7D'!$B$26, "-", '7D'!$O$7, "-", '7D'!$N$6, "-", '7D'!$N$5)</f>
        <v>Number of sewage treatment works-Total number of works-&gt;0.5 to &lt;=1mg/l-Phosphorus-Treatment works consents</v>
      </c>
    </row>
    <row r="3478" spans="1:15">
      <c r="A3478" t="s">
        <v>17341</v>
      </c>
      <c r="B3478" s="2602" t="str">
        <f>'7D'!$BZ$26</f>
        <v>STWCP123</v>
      </c>
      <c r="D3478" t="str">
        <f>_xlfn.CONCAT('7D'!$B$19, "-", '7D'!$B$26, "-", '7D'!$P$7, "-", '7D'!$N$6, "-", '7D'!$N$5)</f>
        <v>Number of sewage treatment works-Total number of works-&gt;1mg/l-Phosphorus-Treatment works consents</v>
      </c>
      <c r="E3478" t="str">
        <f>'7D'!$C$26</f>
        <v>nr</v>
      </c>
      <c r="F3478" t="s">
        <v>17334</v>
      </c>
      <c r="G3478">
        <f>'7D'!$D$26</f>
        <v>0</v>
      </c>
      <c r="O3478" t="str">
        <f>_xlfn.CONCAT('7D'!$B$19, "-", '7D'!$B$26, "-", '7D'!$P$7, "-", '7D'!$N$6, "-", '7D'!$N$5)</f>
        <v>Number of sewage treatment works-Total number of works-&gt;1mg/l-Phosphorus-Treatment works consents</v>
      </c>
    </row>
    <row r="3479" spans="1:15">
      <c r="A3479" t="s">
        <v>17341</v>
      </c>
      <c r="B3479" s="2602" t="str">
        <f>'7D'!$CA$26</f>
        <v>STWCP124</v>
      </c>
      <c r="D3479" t="str">
        <f>_xlfn.CONCAT('7D'!$B$19, "-", '7D'!$B$26, "-", '7D'!$Q$7, "-", '7D'!$N$6, "-", '7D'!$N$5)</f>
        <v>Number of sewage treatment works-Total number of works-No permit-Phosphorus-Treatment works consents</v>
      </c>
      <c r="E3479" t="str">
        <f>'7D'!$C$26</f>
        <v>nr</v>
      </c>
      <c r="F3479" t="s">
        <v>17334</v>
      </c>
      <c r="G3479">
        <f>'7D'!$D$26</f>
        <v>0</v>
      </c>
      <c r="O3479" t="str">
        <f>_xlfn.CONCAT('7D'!$B$19, "-", '7D'!$B$26, "-", '7D'!$Q$7, "-", '7D'!$N$6, "-", '7D'!$N$5)</f>
        <v>Number of sewage treatment works-Total number of works-No permit-Phosphorus-Treatment works consents</v>
      </c>
    </row>
    <row r="3480" spans="1:15">
      <c r="A3480" t="s">
        <v>17341</v>
      </c>
      <c r="B3480" s="2602" t="str">
        <f>'7D'!$CB$26</f>
        <v>STWCP125</v>
      </c>
      <c r="D3480" t="str">
        <f>_xlfn.CONCAT('7D'!$B$19, "-", '7D'!$B$26, "-", '7D'!$R$7, "-", '7D'!$N$6, "-", '7D'!$N$5)</f>
        <v>Number of sewage treatment works-Total number of works-Total-Phosphorus-Treatment works consents</v>
      </c>
      <c r="E3480" t="str">
        <f>'7D'!$C$26</f>
        <v>nr</v>
      </c>
      <c r="F3480" t="s">
        <v>17334</v>
      </c>
      <c r="G3480">
        <f>'7D'!$D$26</f>
        <v>0</v>
      </c>
      <c r="O3480" t="str">
        <f>_xlfn.CONCAT('7D'!$B$19, "-", '7D'!$B$26, "-", '7D'!$R$7, "-", '7D'!$N$6, "-", '7D'!$N$5)</f>
        <v>Number of sewage treatment works-Total number of works-Total-Phosphorus-Treatment works consents</v>
      </c>
    </row>
    <row r="3481" spans="1:15">
      <c r="A3481" t="s">
        <v>17341</v>
      </c>
      <c r="B3481" s="2602" t="str">
        <f>'7D'!$CC$26</f>
        <v>STWCB121</v>
      </c>
      <c r="D3481" t="str">
        <f>_xlfn.CONCAT('7D'!$B$19, "-", '7D'!$B$26, "-", '7D'!$S$7, "-", '7D'!$S$6, "-", '7D'!$N$5)</f>
        <v>Number of sewage treatment works-Total number of works-&lt;=7mg/l-BOD5-Treatment works consents</v>
      </c>
      <c r="E3481" t="str">
        <f>'7D'!$C$26</f>
        <v>nr</v>
      </c>
      <c r="F3481" t="s">
        <v>17334</v>
      </c>
      <c r="G3481">
        <f>'7D'!$D$26</f>
        <v>0</v>
      </c>
      <c r="O3481" t="str">
        <f>_xlfn.CONCAT('7D'!$B$19, "-", '7D'!$B$26, "-", '7D'!$S$7, "-", '7D'!$S$6, "-", '7D'!$N$5)</f>
        <v>Number of sewage treatment works-Total number of works-&lt;=7mg/l-BOD5-Treatment works consents</v>
      </c>
    </row>
    <row r="3482" spans="1:15">
      <c r="A3482" t="s">
        <v>17341</v>
      </c>
      <c r="B3482" s="2602" t="str">
        <f>'7D'!$CD$26</f>
        <v>STWCB122</v>
      </c>
      <c r="D3482" t="str">
        <f>_xlfn.CONCAT('7D'!$B$19, "-", '7D'!$B$26, "-", '7D'!$T$7, "-", '7D'!$S$6, "-", '7D'!$N$5)</f>
        <v>Number of sewage treatment works-Total number of works-&gt;7 to &lt;=10mg/l-BOD5-Treatment works consents</v>
      </c>
      <c r="E3482" t="str">
        <f>'7D'!$C$26</f>
        <v>nr</v>
      </c>
      <c r="F3482" t="s">
        <v>17334</v>
      </c>
      <c r="G3482">
        <f>'7D'!$D$26</f>
        <v>0</v>
      </c>
      <c r="O3482" t="str">
        <f>_xlfn.CONCAT('7D'!$B$19, "-", '7D'!$B$26, "-", '7D'!$T$7, "-", '7D'!$S$6, "-", '7D'!$N$5)</f>
        <v>Number of sewage treatment works-Total number of works-&gt;7 to &lt;=10mg/l-BOD5-Treatment works consents</v>
      </c>
    </row>
    <row r="3483" spans="1:15">
      <c r="A3483" t="s">
        <v>17341</v>
      </c>
      <c r="B3483" s="2602" t="str">
        <f>'7D'!$CE$26</f>
        <v>STWCB123</v>
      </c>
      <c r="D3483" t="str">
        <f>_xlfn.CONCAT('7D'!$B$19, "-", '7D'!$B$26, "-", '7D'!$U$7, "-", '7D'!$S$6, "-", '7D'!$N$5)</f>
        <v>Number of sewage treatment works-Total number of works-&gt;10 to &lt;=20mg/l-BOD5-Treatment works consents</v>
      </c>
      <c r="E3483" t="str">
        <f>'7D'!$C$26</f>
        <v>nr</v>
      </c>
      <c r="F3483" t="s">
        <v>17334</v>
      </c>
      <c r="G3483">
        <f>'7D'!$D$26</f>
        <v>0</v>
      </c>
      <c r="O3483" t="str">
        <f>_xlfn.CONCAT('7D'!$B$19, "-", '7D'!$B$26, "-", '7D'!$U$7, "-", '7D'!$S$6, "-", '7D'!$N$5)</f>
        <v>Number of sewage treatment works-Total number of works-&gt;10 to &lt;=20mg/l-BOD5-Treatment works consents</v>
      </c>
    </row>
    <row r="3484" spans="1:15">
      <c r="A3484" t="s">
        <v>17341</v>
      </c>
      <c r="B3484" s="2602" t="str">
        <f>'7D'!$CF$26</f>
        <v>STWCB124</v>
      </c>
      <c r="D3484" t="str">
        <f>_xlfn.CONCAT('7D'!$B$19, "-", '7D'!$B$26, "-", '7D'!$V$7, "-", '7D'!$S$6, "-", '7D'!$N$5)</f>
        <v>Number of sewage treatment works-Total number of works-&gt;20mg/l-BOD5-Treatment works consents</v>
      </c>
      <c r="E3484" t="str">
        <f>'7D'!$C$26</f>
        <v>nr</v>
      </c>
      <c r="F3484" t="s">
        <v>17334</v>
      </c>
      <c r="G3484">
        <f>'7D'!$D$26</f>
        <v>0</v>
      </c>
      <c r="O3484" t="str">
        <f>_xlfn.CONCAT('7D'!$B$19, "-", '7D'!$B$26, "-", '7D'!$V$7, "-", '7D'!$S$6, "-", '7D'!$N$5)</f>
        <v>Number of sewage treatment works-Total number of works-&gt;20mg/l-BOD5-Treatment works consents</v>
      </c>
    </row>
    <row r="3485" spans="1:15">
      <c r="A3485" t="s">
        <v>17341</v>
      </c>
      <c r="B3485" s="2602" t="str">
        <f>'7D'!$CG$26</f>
        <v>STWCB125</v>
      </c>
      <c r="D3485" t="str">
        <f>_xlfn.CONCAT('7D'!$B$19, "-", '7D'!$B$26, "-", '7D'!$W$7, "-", '7D'!$S$6, "-", '7D'!$N$5)</f>
        <v>Number of sewage treatment works-Total number of works-No permit-BOD5-Treatment works consents</v>
      </c>
      <c r="E3485" t="str">
        <f>'7D'!$C$26</f>
        <v>nr</v>
      </c>
      <c r="F3485" t="s">
        <v>17334</v>
      </c>
      <c r="G3485">
        <f>'7D'!$D$26</f>
        <v>0</v>
      </c>
      <c r="O3485" t="str">
        <f>_xlfn.CONCAT('7D'!$B$19, "-", '7D'!$B$26, "-", '7D'!$W$7, "-", '7D'!$S$6, "-", '7D'!$N$5)</f>
        <v>Number of sewage treatment works-Total number of works-No permit-BOD5-Treatment works consents</v>
      </c>
    </row>
    <row r="3486" spans="1:15">
      <c r="A3486" t="s">
        <v>17341</v>
      </c>
      <c r="B3486" s="2602" t="str">
        <f>'7D'!$CH$26</f>
        <v>STWCB126</v>
      </c>
      <c r="D3486" t="str">
        <f>_xlfn.CONCAT('7D'!$B$19, "-", '7D'!$B$26, "-", '7D'!$X$7, "-", '7D'!$S$6, "-", '7D'!$N$5)</f>
        <v>Number of sewage treatment works-Total number of works-Total-BOD5-Treatment works consents</v>
      </c>
      <c r="E3486" t="str">
        <f>'7D'!$C$26</f>
        <v>nr</v>
      </c>
      <c r="F3486" t="s">
        <v>17334</v>
      </c>
      <c r="G3486">
        <f>'7D'!$D$26</f>
        <v>0</v>
      </c>
      <c r="O3486" t="str">
        <f>_xlfn.CONCAT('7D'!$B$19, "-", '7D'!$B$26, "-", '7D'!$X$7, "-", '7D'!$S$6, "-", '7D'!$N$5)</f>
        <v>Number of sewage treatment works-Total number of works-Total-BOD5-Treatment works consents</v>
      </c>
    </row>
    <row r="3487" spans="1:15">
      <c r="A3487" t="s">
        <v>17341</v>
      </c>
      <c r="B3487" s="2602" t="str">
        <f>'7D'!$CI$26</f>
        <v>STWCA121</v>
      </c>
      <c r="D3487" t="str">
        <f>_xlfn.CONCAT('7D'!$B$19, "-", '7D'!$B$26, "-", '7D'!$Y$7, "-", '7D'!$Y$6, "-", '7D'!$N$5)</f>
        <v>Number of sewage treatment works-Total number of works-&lt;=1mg/l-Ammonia-Treatment works consents</v>
      </c>
      <c r="E3487" t="str">
        <f>'7D'!$C$26</f>
        <v>nr</v>
      </c>
      <c r="F3487" t="s">
        <v>17334</v>
      </c>
      <c r="G3487">
        <f>'7D'!$D$26</f>
        <v>0</v>
      </c>
      <c r="O3487" t="str">
        <f>_xlfn.CONCAT('7D'!$B$19, "-", '7D'!$B$26, "-", '7D'!$Y$7, "-", '7D'!$Y$6, "-", '7D'!$N$5)</f>
        <v>Number of sewage treatment works-Total number of works-&lt;=1mg/l-Ammonia-Treatment works consents</v>
      </c>
    </row>
    <row r="3488" spans="1:15">
      <c r="A3488" t="s">
        <v>17341</v>
      </c>
      <c r="B3488" s="2602" t="str">
        <f>'7D'!$CJ$26</f>
        <v>STWCA122</v>
      </c>
      <c r="D3488" t="str">
        <f>_xlfn.CONCAT('7D'!$B$19, "-", '7D'!$B$26, "-", '7D'!$Z$7, "-", '7D'!$Y$6, "-", '7D'!$N$5)</f>
        <v>Number of sewage treatment works-Total number of works-&gt;1 to &lt;=3mg/l-Ammonia-Treatment works consents</v>
      </c>
      <c r="E3488" t="str">
        <f>'7D'!$C$26</f>
        <v>nr</v>
      </c>
      <c r="F3488" t="s">
        <v>17334</v>
      </c>
      <c r="G3488">
        <f>'7D'!$D$26</f>
        <v>0</v>
      </c>
      <c r="O3488" t="str">
        <f>_xlfn.CONCAT('7D'!$B$19, "-", '7D'!$B$26, "-", '7D'!$Z$7, "-", '7D'!$Y$6, "-", '7D'!$N$5)</f>
        <v>Number of sewage treatment works-Total number of works-&gt;1 to &lt;=3mg/l-Ammonia-Treatment works consents</v>
      </c>
    </row>
    <row r="3489" spans="1:15">
      <c r="A3489" t="s">
        <v>17341</v>
      </c>
      <c r="B3489" s="2602" t="str">
        <f>'7D'!$CK$26</f>
        <v>STWCA123</v>
      </c>
      <c r="D3489" t="str">
        <f>_xlfn.CONCAT('7D'!$B$19, "-", '7D'!$B$26, "-", '7D'!$AA$7, "-", '7D'!$Y$6, "-", '7D'!$N$5)</f>
        <v>Number of sewage treatment works-Total number of works-&gt;3 to &lt;=10mg/l-Ammonia-Treatment works consents</v>
      </c>
      <c r="E3489" t="str">
        <f>'7D'!$C$26</f>
        <v>nr</v>
      </c>
      <c r="F3489" t="s">
        <v>17334</v>
      </c>
      <c r="G3489">
        <f>'7D'!$D$26</f>
        <v>0</v>
      </c>
      <c r="O3489" t="str">
        <f>_xlfn.CONCAT('7D'!$B$19, "-", '7D'!$B$26, "-", '7D'!$AA$7, "-", '7D'!$Y$6, "-", '7D'!$N$5)</f>
        <v>Number of sewage treatment works-Total number of works-&gt;3 to &lt;=10mg/l-Ammonia-Treatment works consents</v>
      </c>
    </row>
    <row r="3490" spans="1:15">
      <c r="A3490" t="s">
        <v>17341</v>
      </c>
      <c r="B3490" s="2602" t="str">
        <f>'7D'!$CL$26</f>
        <v>STWCA124</v>
      </c>
      <c r="D3490" t="str">
        <f>_xlfn.CONCAT('7D'!$B$19, "-", '7D'!$B$26, "-", '7D'!$AB$7, "-", '7D'!$Y$6, "-", '7D'!$N$5)</f>
        <v>Number of sewage treatment works-Total number of works-&gt;10mg/l-Ammonia-Treatment works consents</v>
      </c>
      <c r="E3490" t="str">
        <f>'7D'!$C$26</f>
        <v>nr</v>
      </c>
      <c r="F3490" t="s">
        <v>17334</v>
      </c>
      <c r="G3490">
        <f>'7D'!$D$26</f>
        <v>0</v>
      </c>
      <c r="O3490" t="str">
        <f>_xlfn.CONCAT('7D'!$B$19, "-", '7D'!$B$26, "-", '7D'!$AB$7, "-", '7D'!$Y$6, "-", '7D'!$N$5)</f>
        <v>Number of sewage treatment works-Total number of works-&gt;10mg/l-Ammonia-Treatment works consents</v>
      </c>
    </row>
    <row r="3491" spans="1:15">
      <c r="A3491" t="s">
        <v>17341</v>
      </c>
      <c r="B3491" s="2602" t="str">
        <f>'7D'!$CM$26</f>
        <v>STWCA125</v>
      </c>
      <c r="D3491" t="str">
        <f>_xlfn.CONCAT('7D'!$B$19, "-", '7D'!$B$26, "-", '7D'!$AC$7, "-", '7D'!$Y$6, "-", '7D'!$N$5)</f>
        <v>Number of sewage treatment works-Total number of works-No permit-Ammonia-Treatment works consents</v>
      </c>
      <c r="E3491" t="str">
        <f>'7D'!$C$26</f>
        <v>nr</v>
      </c>
      <c r="F3491" t="s">
        <v>17334</v>
      </c>
      <c r="G3491">
        <f>'7D'!$D$26</f>
        <v>0</v>
      </c>
      <c r="O3491" t="str">
        <f>_xlfn.CONCAT('7D'!$B$19, "-", '7D'!$B$26, "-", '7D'!$AC$7, "-", '7D'!$Y$6, "-", '7D'!$N$5)</f>
        <v>Number of sewage treatment works-Total number of works-No permit-Ammonia-Treatment works consents</v>
      </c>
    </row>
    <row r="3492" spans="1:15">
      <c r="A3492" t="s">
        <v>17341</v>
      </c>
      <c r="B3492" s="2602" t="str">
        <f>'7D'!$CN$26</f>
        <v>STWCA126</v>
      </c>
      <c r="D3492" t="str">
        <f>_xlfn.CONCAT('7D'!$B$19, "-", '7D'!$B$26, "-", '7D'!$AD$7, "-", '7D'!$Y$6, "-", '7D'!$N$5)</f>
        <v>Number of sewage treatment works-Total number of works-Total-Ammonia-Treatment works consents</v>
      </c>
      <c r="E3492" t="str">
        <f>'7D'!$C$26</f>
        <v>nr</v>
      </c>
      <c r="F3492" t="s">
        <v>17334</v>
      </c>
      <c r="G3492">
        <f>'7D'!$D$26</f>
        <v>0</v>
      </c>
      <c r="O3492" t="str">
        <f>_xlfn.CONCAT('7D'!$B$19, "-", '7D'!$B$26, "-", '7D'!$AD$7, "-", '7D'!$Y$6, "-", '7D'!$N$5)</f>
        <v>Number of sewage treatment works-Total number of works-Total-Ammonia-Treatment works consents</v>
      </c>
    </row>
    <row r="3493" spans="1:15">
      <c r="A3493" t="s">
        <v>17341</v>
      </c>
      <c r="B3493" t="str">
        <f>'7D'!$BO$29</f>
        <v>BN1603</v>
      </c>
      <c r="D3493" t="str">
        <f>_xlfn.CONCAT('7D'!$B$28, "-", '7D'!$B$29, "-", '7D'!$E$6, "-", '7D'!$E$6, "-", '7D'!$E$5)</f>
        <v>Population equivalent-Current population equivalent served by STWs-Primary-Primary-Treatment categories</v>
      </c>
      <c r="E3493" t="str">
        <f>'7D'!$C$29</f>
        <v>000s</v>
      </c>
      <c r="F3493" t="s">
        <v>17334</v>
      </c>
      <c r="G3493">
        <f>'7D'!$D$29</f>
        <v>3</v>
      </c>
      <c r="O3493" t="str">
        <f>_xlfn.CONCAT('7D'!$B$28, "-", '7D'!$B$29, "-", '7D'!$E$6, "-", '7D'!$E$6, "-", '7D'!$E$5)</f>
        <v>Population equivalent-Current population equivalent served by STWs-Primary-Primary-Treatment categories</v>
      </c>
    </row>
    <row r="3494" spans="1:15">
      <c r="A3494" t="s">
        <v>17341</v>
      </c>
      <c r="B3494" t="str">
        <f>'7D'!$BO$30</f>
        <v>S4030</v>
      </c>
      <c r="D3494" t="str">
        <f>_xlfn.CONCAT('7D'!$B$28, "-", '7D'!$B$30, "-", '7D'!$E$6, "-", '7D'!$E$6, "-", '7D'!$E$5)</f>
        <v>Population equivalent-Current population equivalent served by STWs with tightened/new P consents-Primary-Primary-Treatment categories</v>
      </c>
      <c r="E3494" t="str">
        <f>'7D'!$C$30</f>
        <v>000s</v>
      </c>
      <c r="F3494" t="s">
        <v>17334</v>
      </c>
      <c r="G3494">
        <f>'7D'!$D$30</f>
        <v>3</v>
      </c>
      <c r="O3494" t="str">
        <f>_xlfn.CONCAT('7D'!$B$28, "-", '7D'!$B$30, "-", '7D'!$E$6, "-", '7D'!$E$6, "-", '7D'!$E$5)</f>
        <v>Population equivalent-Current population equivalent served by STWs with tightened/new P consents-Primary-Primary-Treatment categories</v>
      </c>
    </row>
    <row r="3495" spans="1:15">
      <c r="A3495" t="s">
        <v>17341</v>
      </c>
      <c r="B3495" t="str">
        <f>'7D'!$BO$31</f>
        <v>S4023</v>
      </c>
      <c r="D3495" t="str">
        <f>_xlfn.CONCAT('7D'!$B$28, "-", '7D'!$B$31, "-", '7D'!$E$6, "-", '7D'!$E$6, "-", '7D'!$E$5)</f>
        <v>Population equivalent-Current population equivalent served by STWs with tightened/new N consents-Primary-Primary-Treatment categories</v>
      </c>
      <c r="E3495" t="str">
        <f>'7D'!$C$31</f>
        <v>000s</v>
      </c>
      <c r="F3495" t="s">
        <v>17334</v>
      </c>
      <c r="G3495">
        <f>'7D'!$D$31</f>
        <v>3</v>
      </c>
      <c r="O3495" t="str">
        <f>_xlfn.CONCAT('7D'!$B$28, "-", '7D'!$B$31, "-", '7D'!$E$6, "-", '7D'!$E$6, "-", '7D'!$E$5)</f>
        <v>Population equivalent-Current population equivalent served by STWs with tightened/new N consents-Primary-Primary-Treatment categories</v>
      </c>
    </row>
    <row r="3496" spans="1:15">
      <c r="A3496" t="s">
        <v>17341</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17334</v>
      </c>
      <c r="G3496">
        <f>'7D'!$D$32</f>
        <v>3</v>
      </c>
      <c r="O3496" t="str">
        <f>_xlfn.CONCAT('7D'!$B$28, "-", '7D'!$B$32, "-", '7D'!$E$6, "-", '7D'!$E$6, "-", '7D'!$E$5)</f>
        <v>Population equivalent-Current population equivalent served by STWs with tightened/new sanitary parameter consents-Primary-Primary-Treatment categories</v>
      </c>
    </row>
    <row r="3497" spans="1:15">
      <c r="A3497" t="s">
        <v>17341</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17334</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17341</v>
      </c>
      <c r="B3498" t="str">
        <f>'7D'!$BO$34</f>
        <v>S4027</v>
      </c>
      <c r="D3498" t="str">
        <f>_xlfn.CONCAT('7D'!$B$28, "-", '7D'!$B$34, "-", '7D'!$E$6, "-", '7D'!$E$6, "-", '7D'!$E$5)</f>
        <v>Population equivalent-Population equivalent treatment capacity enhancement-Primary-Primary-Treatment categories</v>
      </c>
      <c r="E3498" t="str">
        <f>'7D'!$C$34</f>
        <v>000s</v>
      </c>
      <c r="F3498" t="s">
        <v>17334</v>
      </c>
      <c r="G3498">
        <f>'7D'!$D$34</f>
        <v>3</v>
      </c>
      <c r="O3498" t="str">
        <f>_xlfn.CONCAT('7D'!$B$28, "-", '7D'!$B$34, "-", '7D'!$E$6, "-", '7D'!$E$6, "-", '7D'!$E$5)</f>
        <v>Population equivalent-Population equivalent treatment capacity enhancement-Primary-Primary-Treatment categories</v>
      </c>
    </row>
    <row r="3499" spans="1:15">
      <c r="A3499" t="s">
        <v>17341</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17334</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17342</v>
      </c>
      <c r="B3500" t="str">
        <f>'7E'!$R$8</f>
        <v>BN1176CA</v>
      </c>
      <c r="D3500" t="str">
        <f>_xlfn.CONCAT('7E'!$B$7, "-", '7E'!$B$8, "-", '7E'!$E$5)</f>
        <v>Other-Total sewerage catchment area-Input</v>
      </c>
      <c r="E3500" t="str">
        <f>'7E'!$C$8</f>
        <v>km2</v>
      </c>
      <c r="F3500" t="s">
        <v>17334</v>
      </c>
      <c r="G3500">
        <f>'7E'!$D$8</f>
        <v>0</v>
      </c>
      <c r="O3500" t="str">
        <f>_xlfn.CONCAT('7E'!$B$7, "-", '7E'!$B$8, "-", '7E'!$E$5)</f>
        <v>Other-Total sewerage catchment area-Input</v>
      </c>
    </row>
    <row r="3501" spans="1:15">
      <c r="A3501" t="s">
        <v>17342</v>
      </c>
      <c r="B3501" t="str">
        <f>'7E'!$R$9</f>
        <v>BN1615</v>
      </c>
      <c r="D3501" t="str">
        <f>_xlfn.CONCAT('7E'!$B$7, "-", '7E'!$B$9, "-", '7E'!$E$5)</f>
        <v>Other-Designated bathing waters (inland and coastal)-Input</v>
      </c>
      <c r="E3501" t="str">
        <f>'7E'!$C$9</f>
        <v>nr</v>
      </c>
      <c r="F3501" t="s">
        <v>17334</v>
      </c>
      <c r="G3501">
        <f>'7E'!$D$9</f>
        <v>0</v>
      </c>
      <c r="O3501" t="str">
        <f>_xlfn.CONCAT('7E'!$B$7, "-", '7E'!$B$9, "-", '7E'!$E$5)</f>
        <v>Other-Designated bathing waters (inland and coastal)-Input</v>
      </c>
    </row>
    <row r="3502" spans="1:15">
      <c r="A3502" t="s">
        <v>17342</v>
      </c>
      <c r="B3502" t="str">
        <f>'7E'!$R$10</f>
        <v>S4016</v>
      </c>
      <c r="D3502" t="str">
        <f>_xlfn.CONCAT('7E'!$B$7, "-", '7E'!$B$10, "-", '7E'!$E$5)</f>
        <v>Other-Number of intermittent discharge event duration monitorsing-Input</v>
      </c>
      <c r="E3502" t="str">
        <f>'7E'!$C$10</f>
        <v>nr</v>
      </c>
      <c r="F3502" t="s">
        <v>17334</v>
      </c>
      <c r="G3502">
        <f>'7E'!$D$10</f>
        <v>0</v>
      </c>
      <c r="O3502" t="str">
        <f>_xlfn.CONCAT('7E'!$B$7, "-", '7E'!$B$10, "-", '7E'!$E$5)</f>
        <v>Other-Number of intermittent discharge event duration monitorsing-Input</v>
      </c>
    </row>
    <row r="3503" spans="1:15">
      <c r="A3503" t="s">
        <v>17342</v>
      </c>
      <c r="B3503" t="str">
        <f>'7E'!$R$11</f>
        <v>STWM001</v>
      </c>
      <c r="D3503" t="str">
        <f>_xlfn.CONCAT('7E'!$B$7, "-", '7E'!$B$11, "-", '7E'!$E$5)</f>
        <v>Other-Number of monitors for flow monitoring at STWs-Input</v>
      </c>
      <c r="E3503" t="str">
        <f>'7E'!$C$11</f>
        <v>nr</v>
      </c>
      <c r="F3503" t="s">
        <v>17334</v>
      </c>
      <c r="G3503">
        <f>'7E'!$D$11</f>
        <v>0</v>
      </c>
      <c r="O3503" t="str">
        <f>_xlfn.CONCAT('7E'!$B$7, "-", '7E'!$B$11, "-", '7E'!$E$5)</f>
        <v>Other-Number of monitors for flow monitoring at STWs-Input</v>
      </c>
    </row>
    <row r="3504" spans="1:15">
      <c r="A3504" t="s">
        <v>17342</v>
      </c>
      <c r="B3504" t="str">
        <f>'7E'!$R$12</f>
        <v>S4017</v>
      </c>
      <c r="D3504" t="str">
        <f>_xlfn.CONCAT('7E'!$B$7, "-", '7E'!$B$12, "-", '7E'!$E$5)</f>
        <v>Other-Number of odour related complaints-Input</v>
      </c>
      <c r="E3504" t="str">
        <f>'7E'!$C$12</f>
        <v>nr</v>
      </c>
      <c r="F3504" t="s">
        <v>17334</v>
      </c>
      <c r="G3504">
        <f>'7E'!$D$12</f>
        <v>0</v>
      </c>
      <c r="O3504" t="str">
        <f>_xlfn.CONCAT('7E'!$B$7, "-", '7E'!$B$12, "-", '7E'!$E$5)</f>
        <v>Other-Number of odour related complaints-Input</v>
      </c>
    </row>
    <row r="3505" spans="1:15">
      <c r="A3505" t="s">
        <v>17342</v>
      </c>
      <c r="B3505" t="str">
        <f>'7E'!$R$15</f>
        <v>BM902ECSC</v>
      </c>
      <c r="D3505" t="str">
        <f>_xlfn.CONCAT('7E'!$B$14, "-", '7E'!$B$15, "-", '7E'!$E$5)</f>
        <v>Energy consumption-Energy consumption - sewage collection-Input</v>
      </c>
      <c r="E3505" t="str">
        <f>'7E'!$C$15</f>
        <v>MWh</v>
      </c>
      <c r="F3505" t="s">
        <v>17334</v>
      </c>
      <c r="G3505">
        <f>'7E'!$D$15</f>
        <v>3</v>
      </c>
      <c r="O3505" t="str">
        <f>_xlfn.CONCAT('7E'!$B$14, "-", '7E'!$B$15, "-", '7E'!$E$5)</f>
        <v>Energy consumption-Energy consumption - sewage collection-Input</v>
      </c>
    </row>
    <row r="3506" spans="1:15">
      <c r="A3506" t="s">
        <v>17342</v>
      </c>
      <c r="B3506" t="str">
        <f>'7E'!$R$16</f>
        <v>BM902ECST</v>
      </c>
      <c r="D3506" t="str">
        <f>_xlfn.CONCAT('7E'!$B$14, "-", '7E'!$B$16, "-", '7E'!$E$5)</f>
        <v>Energy consumption-Energy consumption - sewage treatment-Input</v>
      </c>
      <c r="E3506" t="str">
        <f>'7E'!$C$16</f>
        <v>MWh</v>
      </c>
      <c r="F3506" t="s">
        <v>17334</v>
      </c>
      <c r="G3506">
        <f>'7E'!$D$16</f>
        <v>3</v>
      </c>
      <c r="O3506" t="str">
        <f>_xlfn.CONCAT('7E'!$B$14, "-", '7E'!$B$16, "-", '7E'!$E$5)</f>
        <v>Energy consumption-Energy consumption - sewage treatment-Input</v>
      </c>
    </row>
    <row r="3507" spans="1:15">
      <c r="A3507" t="s">
        <v>17342</v>
      </c>
      <c r="B3507" t="str">
        <f>'7E'!$R$17</f>
        <v>BM902ECNPS</v>
      </c>
      <c r="D3507" t="str">
        <f>_xlfn.CONCAT('7E'!$B$14, "-", '7E'!$B$17, "-", '7E'!$E$5)</f>
        <v>Energy consumption-Energy consumption - wastewater network +-Input</v>
      </c>
      <c r="E3507" t="str">
        <f>'7E'!$C$17</f>
        <v>MWh</v>
      </c>
      <c r="F3507" t="s">
        <v>17334</v>
      </c>
      <c r="G3507">
        <f>'7E'!$D$17</f>
        <v>3</v>
      </c>
      <c r="O3507" t="str">
        <f>_xlfn.CONCAT('7E'!$B$14, "-", '7E'!$B$17, "-", '7E'!$E$5)</f>
        <v>Energy consumption-Energy consumption - wastewater network +-Input</v>
      </c>
    </row>
    <row r="3508" spans="1:15">
      <c r="A3508" t="s">
        <v>17342</v>
      </c>
      <c r="B3508" t="str">
        <f>'7E'!$R$20</f>
        <v>S4032</v>
      </c>
      <c r="D3508" t="str">
        <f>_xlfn.CONCAT('7E'!$B$19, "-", '7E'!$B$20, "-", '7E'!$E$5)</f>
        <v>Scheme delivery-Cumulative shortfall in FFT addressed by WINEP / NEP schemes to increase STW capacity -Input</v>
      </c>
      <c r="E3508" t="str">
        <f>'7E'!$C$20</f>
        <v>l/s</v>
      </c>
      <c r="F3508" t="s">
        <v>17334</v>
      </c>
      <c r="G3508">
        <f>'7E'!$D$20</f>
        <v>3</v>
      </c>
      <c r="O3508" t="str">
        <f>_xlfn.CONCAT('7E'!$B$19, "-", '7E'!$B$20, "-", '7E'!$E$5)</f>
        <v>Scheme delivery-Cumulative shortfall in FFT addressed by WINEP / NEP schemes to increase STW capacity -Input</v>
      </c>
    </row>
    <row r="3509" spans="1:15">
      <c r="A3509" t="s">
        <v>17342</v>
      </c>
      <c r="B3509" t="str">
        <f>'7E'!$R$21</f>
        <v>S4032NR</v>
      </c>
      <c r="D3509" t="str">
        <f>_xlfn.CONCAT('7E'!$B$19, "-", '7E'!$B$21, "-", '7E'!$E$5)</f>
        <v>Scheme delivery-Number of sites with an increase in sewage treatment works capacity delivered to address a shortfall in FFT -Input</v>
      </c>
      <c r="E3509" t="str">
        <f>'7E'!$C$21</f>
        <v>nr</v>
      </c>
      <c r="F3509" t="s">
        <v>17334</v>
      </c>
      <c r="G3509">
        <f>'7E'!$D$21</f>
        <v>0</v>
      </c>
      <c r="O3509" t="str">
        <f>_xlfn.CONCAT('7E'!$B$19, "-", '7E'!$B$21, "-", '7E'!$E$5)</f>
        <v>Scheme delivery-Number of sites with an increase in sewage treatment works capacity delivered to address a shortfall in FFT -Input</v>
      </c>
    </row>
    <row r="3510" spans="1:15">
      <c r="A3510" t="s">
        <v>17342</v>
      </c>
      <c r="B3510" t="str">
        <f>'7E'!$R$22</f>
        <v>S4033</v>
      </c>
      <c r="D3510" t="str">
        <f>_xlfn.CONCAT('7E'!$B$19, "-", '7E'!$B$22, "-", '7E'!$E$5)</f>
        <v>Scheme delivery-Additional storm tank capacity provided at sewage treatment works (grey infrastructure)-Input</v>
      </c>
      <c r="E3510" t="str">
        <f>'7E'!$C$22</f>
        <v>m3</v>
      </c>
      <c r="F3510" t="s">
        <v>17334</v>
      </c>
      <c r="G3510">
        <f>'7E'!$D$22</f>
        <v>3</v>
      </c>
      <c r="O3510" t="str">
        <f>_xlfn.CONCAT('7E'!$B$19, "-", '7E'!$B$22, "-", '7E'!$E$5)</f>
        <v>Scheme delivery-Additional storm tank capacity provided at sewage treatment works (grey infrastructure)-Input</v>
      </c>
    </row>
    <row r="3511" spans="1:15">
      <c r="A3511" t="s">
        <v>17342</v>
      </c>
      <c r="B3511" t="str">
        <f>'7E'!$R$23</f>
        <v>S4033N</v>
      </c>
      <c r="D3511" t="str">
        <f>_xlfn.CONCAT('7E'!$B$19, "-", '7E'!$B$23, "-", '7E'!$E$5)</f>
        <v>Scheme delivery-Additional effective storm storage capacity at sewage treatment works (green infrastructure)-Input</v>
      </c>
      <c r="E3511" t="str">
        <f>'7E'!$C$23</f>
        <v>m3</v>
      </c>
      <c r="F3511" t="s">
        <v>17334</v>
      </c>
      <c r="G3511">
        <f>'7E'!$D$23</f>
        <v>3</v>
      </c>
      <c r="O3511" t="str">
        <f>_xlfn.CONCAT('7E'!$B$19, "-", '7E'!$B$23, "-", '7E'!$E$5)</f>
        <v>Scheme delivery-Additional effective storm storage capacity at sewage treatment works (green infrastructure)-Input</v>
      </c>
    </row>
    <row r="3512" spans="1:15">
      <c r="A3512" t="s">
        <v>17342</v>
      </c>
      <c r="B3512" t="str">
        <f>'7E'!$R$24</f>
        <v>S4034</v>
      </c>
      <c r="D3512" t="str">
        <f>_xlfn.CONCAT('7E'!$B$19, "-", '7E'!$B$24, "-", '7E'!$E$5)</f>
        <v>Scheme delivery-Additional volume of network storage at CSOs etc to reduce spill frequency (grey infrastructure)-Input</v>
      </c>
      <c r="E3512" t="str">
        <f>'7E'!$C$24</f>
        <v>m3</v>
      </c>
      <c r="F3512" t="s">
        <v>17334</v>
      </c>
      <c r="G3512">
        <f>'7E'!$D$24</f>
        <v>3</v>
      </c>
      <c r="O3512" t="str">
        <f>_xlfn.CONCAT('7E'!$B$19, "-", '7E'!$B$24, "-", '7E'!$E$5)</f>
        <v>Scheme delivery-Additional volume of network storage at CSOs etc to reduce spill frequency (grey infrastructure)-Input</v>
      </c>
    </row>
    <row r="3513" spans="1:15">
      <c r="A3513" t="s">
        <v>17342</v>
      </c>
      <c r="B3513" t="str">
        <f>'7E'!$R$25</f>
        <v>S4034N</v>
      </c>
      <c r="D3513" t="str">
        <f>_xlfn.CONCAT('7E'!$B$19, "-", '7E'!$B$25, "-", '7E'!$E$5)</f>
        <v>Scheme delivery-Additional effective storage in the network delivered through green infrastructure-Input</v>
      </c>
      <c r="E3513" t="str">
        <f>'7E'!$C$25</f>
        <v>m3</v>
      </c>
      <c r="F3513" t="s">
        <v>17334</v>
      </c>
      <c r="G3513">
        <f>'7E'!$D$25</f>
        <v>3</v>
      </c>
      <c r="O3513" t="str">
        <f>_xlfn.CONCAT('7E'!$B$19, "-", '7E'!$B$25, "-", '7E'!$E$5)</f>
        <v>Scheme delivery-Additional effective storage in the network delivered through green infrastructure-Input</v>
      </c>
    </row>
    <row r="3514" spans="1:15">
      <c r="A3514" t="s">
        <v>17342</v>
      </c>
      <c r="B3514" t="str">
        <f>'7E'!$R$26</f>
        <v>S4033GNR</v>
      </c>
      <c r="D3514" t="str">
        <f>_xlfn.CONCAT('7E'!$B$19, "-", '7E'!$B$26, "-", '7E'!$E$5)</f>
        <v>Scheme delivery-Total number of sewage treatment works sites where additional storage has been delivered (grey infrastructure)-Input</v>
      </c>
      <c r="E3514" t="str">
        <f>'7E'!$C$26</f>
        <v>nr</v>
      </c>
      <c r="F3514" t="s">
        <v>17334</v>
      </c>
      <c r="G3514">
        <f>'7E'!$D$26</f>
        <v>0</v>
      </c>
      <c r="O3514" t="str">
        <f>_xlfn.CONCAT('7E'!$B$19, "-", '7E'!$B$26, "-", '7E'!$E$5)</f>
        <v>Scheme delivery-Total number of sewage treatment works sites where additional storage has been delivered (grey infrastructure)-Input</v>
      </c>
    </row>
    <row r="3515" spans="1:15">
      <c r="A3515" t="s">
        <v>17342</v>
      </c>
      <c r="B3515" t="str">
        <f>'7E'!$R$27</f>
        <v>S4033GPNR</v>
      </c>
      <c r="D3515" t="str">
        <f>_xlfn.CONCAT('7E'!$B$19, "-", '7E'!$B$27, "-", '7E'!$E$5)</f>
        <v>Scheme delivery-Number of sewage treatment works sites where additional storage has been delivered with pumping (grey infrastructure)-Input</v>
      </c>
      <c r="E3515" t="str">
        <f>'7E'!$C$27</f>
        <v>nr</v>
      </c>
      <c r="F3515" t="s">
        <v>17334</v>
      </c>
      <c r="G3515">
        <f>'7E'!$D$27</f>
        <v>0</v>
      </c>
      <c r="O3515" t="str">
        <f>_xlfn.CONCAT('7E'!$B$19, "-", '7E'!$B$27, "-", '7E'!$E$5)</f>
        <v>Scheme delivery-Number of sewage treatment works sites where additional storage has been delivered with pumping (grey infrastructure)-Input</v>
      </c>
    </row>
    <row r="3516" spans="1:15">
      <c r="A3516" t="s">
        <v>17342</v>
      </c>
      <c r="B3516" t="str">
        <f>'7E'!$R$28</f>
        <v>S4033NNR</v>
      </c>
      <c r="D3516" t="str">
        <f>_xlfn.CONCAT('7E'!$B$19, "-", '7E'!$B$28, "-", '7E'!$E$5)</f>
        <v>Scheme delivery-Number of sewage treatment works benefitting from green infrastructure replacing the need for storm tank storage-Input</v>
      </c>
      <c r="E3516" t="str">
        <f>'7E'!$C$28</f>
        <v>nr</v>
      </c>
      <c r="F3516" t="s">
        <v>17334</v>
      </c>
      <c r="G3516">
        <f>'7E'!$D$28</f>
        <v>0</v>
      </c>
      <c r="O3516" t="str">
        <f>_xlfn.CONCAT('7E'!$B$19, "-", '7E'!$B$28, "-", '7E'!$E$5)</f>
        <v>Scheme delivery-Number of sewage treatment works benefitting from green infrastructure replacing the need for storm tank storage-Input</v>
      </c>
    </row>
    <row r="3517" spans="1:15">
      <c r="A3517" t="s">
        <v>17342</v>
      </c>
      <c r="B3517" t="str">
        <f>'7E'!$R$29</f>
        <v>S4034GNR</v>
      </c>
      <c r="D3517" t="str">
        <f>_xlfn.CONCAT('7E'!$B$19, "-", '7E'!$B$29, "-", '7E'!$E$5)</f>
        <v>Scheme delivery-Number of sites delivering additional network storage (grey infrastructure)-Input</v>
      </c>
      <c r="E3517" t="str">
        <f>'7E'!$C$29</f>
        <v>nr</v>
      </c>
      <c r="F3517" t="s">
        <v>17334</v>
      </c>
      <c r="G3517">
        <f>'7E'!$D$29</f>
        <v>0</v>
      </c>
      <c r="O3517" t="str">
        <f>_xlfn.CONCAT('7E'!$B$19, "-", '7E'!$B$29, "-", '7E'!$E$5)</f>
        <v>Scheme delivery-Number of sites delivering additional network storage (grey infrastructure)-Input</v>
      </c>
    </row>
    <row r="3518" spans="1:15">
      <c r="A3518" t="s">
        <v>17342</v>
      </c>
      <c r="B3518" t="str">
        <f>'7E'!$R$30</f>
        <v>S4034GPNR</v>
      </c>
      <c r="D3518" t="str">
        <f>_xlfn.CONCAT('7E'!$B$19, "-", '7E'!$B$30, "-", '7E'!$E$5)</f>
        <v>Scheme delivery-Number of sites delivering additional network storage including pumping (grey infrastructure) -Input</v>
      </c>
      <c r="E3518" t="str">
        <f>'7E'!$C$30</f>
        <v>nr</v>
      </c>
      <c r="F3518" t="s">
        <v>17334</v>
      </c>
      <c r="G3518">
        <f>'7E'!$D$30</f>
        <v>0</v>
      </c>
      <c r="O3518" t="str">
        <f>_xlfn.CONCAT('7E'!$B$19, "-", '7E'!$B$30, "-", '7E'!$E$5)</f>
        <v>Scheme delivery-Number of sites delivering additional network storage including pumping (grey infrastructure) -Input</v>
      </c>
    </row>
    <row r="3519" spans="1:15">
      <c r="A3519" t="s">
        <v>17342</v>
      </c>
      <c r="B3519" t="str">
        <f>'7E'!$R$31</f>
        <v>S4034NNR</v>
      </c>
      <c r="D3519" t="str">
        <f>_xlfn.CONCAT('7E'!$B$19, "-", '7E'!$B$31, "-", '7E'!$E$5)</f>
        <v>Scheme delivery-Number of sites delivering additional network storage through green infrastructure -Input</v>
      </c>
      <c r="E3519" t="str">
        <f>'7E'!$C$31</f>
        <v>nr</v>
      </c>
      <c r="F3519" t="s">
        <v>17334</v>
      </c>
      <c r="G3519">
        <f>'7E'!$D$31</f>
        <v>0</v>
      </c>
      <c r="O3519" t="str">
        <f>_xlfn.CONCAT('7E'!$B$19, "-", '7E'!$B$31, "-", '7E'!$E$5)</f>
        <v>Scheme delivery-Number of sites delivering additional network storage through green infrastructure -Input</v>
      </c>
    </row>
    <row r="3520" spans="1:15">
      <c r="A3520" t="s">
        <v>17342</v>
      </c>
      <c r="B3520" t="str">
        <f>'7E'!$R$32</f>
        <v>S4034SWS</v>
      </c>
      <c r="D3520" t="str">
        <f>_xlfn.CONCAT('7E'!$B$19, "-", '7E'!$B$32, "-", '7E'!$E$5)</f>
        <v>Scheme delivery-Surface water separation drainage area removed-Input</v>
      </c>
      <c r="E3520" t="str">
        <f>'7E'!$C$32</f>
        <v>m2</v>
      </c>
      <c r="F3520" t="s">
        <v>17334</v>
      </c>
      <c r="G3520">
        <f>'7E'!$D$32</f>
        <v>0</v>
      </c>
      <c r="O3520" t="str">
        <f>_xlfn.CONCAT('7E'!$B$19, "-", '7E'!$B$32, "-", '7E'!$E$5)</f>
        <v>Scheme delivery-Surface water separation drainage area removed-Input</v>
      </c>
    </row>
    <row r="3521" spans="1:15">
      <c r="A3521" t="s">
        <v>17342</v>
      </c>
      <c r="B3521" t="str">
        <f>'7E'!$R$33</f>
        <v>S4031NR</v>
      </c>
      <c r="D3521" t="str">
        <f>_xlfn.CONCAT('7E'!$B$19, "-", '7E'!$B$33, "-", '7E'!$E$5)</f>
        <v>Scheme delivery-Number of schemes delivered to meet tightened or new sanitary consents -Input</v>
      </c>
      <c r="E3521" t="str">
        <f>'7E'!$C$33</f>
        <v>nr</v>
      </c>
      <c r="F3521" t="s">
        <v>17334</v>
      </c>
      <c r="G3521">
        <f>'7E'!$D$33</f>
        <v>0</v>
      </c>
      <c r="O3521" t="str">
        <f>_xlfn.CONCAT('7E'!$B$19, "-", '7E'!$B$33, "-", '7E'!$E$5)</f>
        <v>Scheme delivery-Number of schemes delivered to meet tightened or new sanitary consents -Input</v>
      </c>
    </row>
    <row r="3522" spans="1:15">
      <c r="A3522" t="s">
        <v>17342</v>
      </c>
      <c r="B3522" t="str">
        <f>'7E'!$R$34</f>
        <v>STWM001C</v>
      </c>
      <c r="D3522" t="str">
        <f>_xlfn.CONCAT('7E'!$B$19, "-", '7E'!$B$34, "-", '7E'!$E$5)</f>
        <v>Scheme delivery-Number of installations requiring civils for flow monitoring at sewage treatment works-Input</v>
      </c>
      <c r="E3522" t="str">
        <f>'7E'!$C$34</f>
        <v>nr</v>
      </c>
      <c r="F3522" t="s">
        <v>17334</v>
      </c>
      <c r="G3522">
        <f>'7E'!$D$34</f>
        <v>0</v>
      </c>
      <c r="O3522" t="str">
        <f>_xlfn.CONCAT('7E'!$B$19, "-", '7E'!$B$34, "-", '7E'!$E$5)</f>
        <v>Scheme delivery-Number of installations requiring civils for flow monitoring at sewage treatment works-Input</v>
      </c>
    </row>
    <row r="3523" spans="1:15">
      <c r="A3523" t="s">
        <v>17342</v>
      </c>
      <c r="B3523" t="str">
        <f>'7E'!$R$35</f>
        <v>BO_9504868</v>
      </c>
      <c r="D3523" t="str">
        <f>_xlfn.CONCAT('7E'!$B$19, "-", '7E'!$B$35, "-", '7E'!$E$5)</f>
        <v>Scheme delivery-Number of installations requiring civils for event duration monitoring at intermittent discharges-Input</v>
      </c>
      <c r="E3523" t="str">
        <f>'7E'!$C$35</f>
        <v>nr</v>
      </c>
      <c r="F3523" t="s">
        <v>17334</v>
      </c>
      <c r="G3523">
        <f>'7E'!$D$35</f>
        <v>0</v>
      </c>
      <c r="O3523" t="str">
        <f>_xlfn.CONCAT('7E'!$B$19, "-", '7E'!$B$35, "-", '7E'!$E$5)</f>
        <v>Scheme delivery-Number of installations requiring civils for event duration monitoring at intermittent discharges-Input</v>
      </c>
    </row>
    <row r="3524" spans="1:15">
      <c r="A3524" t="s">
        <v>17342</v>
      </c>
      <c r="B3524" t="str">
        <f>'7E'!$R$36</f>
        <v>BO_1337357</v>
      </c>
      <c r="D3524" t="str">
        <f>_xlfn.CONCAT('7E'!$B$19, "-", '7E'!$B$36, "-", '7E'!$E$5)</f>
        <v>Scheme delivery-Number of storm overflows where improvements have been made to reduce harm or reduce spill frequencies-Input</v>
      </c>
      <c r="E3524" t="str">
        <f>'7E'!$C$36</f>
        <v>nr</v>
      </c>
      <c r="F3524" t="s">
        <v>17334</v>
      </c>
      <c r="G3524">
        <f>'7E'!$D$36</f>
        <v>0</v>
      </c>
      <c r="O3524" t="str">
        <f>_xlfn.CONCAT('7E'!$B$19, "-", '7E'!$B$36, "-", '7E'!$E$5)</f>
        <v>Scheme delivery-Number of storm overflows where improvements have been made to reduce harm or reduce spill frequencies-Input</v>
      </c>
    </row>
    <row r="3525" spans="1:15">
      <c r="A3525" t="s">
        <v>17336</v>
      </c>
      <c r="B3525" t="str">
        <f>'8C'!$AI$9</f>
        <v>BO_7654321</v>
      </c>
      <c r="D3525" t="str">
        <f>_xlfn.CONCAT('8C'!$B$8, "-", '8C'!$B$9, "-", '8C'!$H$6, "-", '8C'!$H$5)</f>
        <v>Energy-Energy consumption - bioresources-MWh (0 DPs)-Total</v>
      </c>
      <c r="E3525" t="str">
        <f>'8C'!$C$9</f>
        <v>SE Column Headings</v>
      </c>
      <c r="F3525" t="s">
        <v>17334</v>
      </c>
      <c r="G3525" t="str">
        <f>'8C'!$D$9</f>
        <v>SE Column Headings</v>
      </c>
      <c r="O3525" t="str">
        <f>_xlfn.CONCAT('8C'!$B$8, "-", '8C'!$B$9, "-", '8C'!$H$6, "-", '8C'!$H$5)</f>
        <v>Energy-Energy consumption - bioresources-MWh (0 DPs)-Total</v>
      </c>
    </row>
    <row r="3526" spans="1:15">
      <c r="A3526" t="s">
        <v>17336</v>
      </c>
      <c r="B3526" t="str">
        <f>'8C'!$AM$9</f>
        <v>B0002BIOECTOT</v>
      </c>
      <c r="D3526" t="str">
        <f>_xlfn.CONCAT('8C'!$B$8, "-", '8C'!$B$9, "-", '8C'!$L$6, "-", '8C'!$L$5)</f>
        <v>Energy-Energy consumption - bioresources-£m (3 DPs)-Total</v>
      </c>
      <c r="E3526" t="str">
        <f>'8C'!$C$9</f>
        <v>SE Column Headings</v>
      </c>
      <c r="F3526" t="s">
        <v>17334</v>
      </c>
      <c r="G3526" t="str">
        <f>'8C'!$D$9</f>
        <v>SE Column Headings</v>
      </c>
      <c r="O3526" t="str">
        <f>_xlfn.CONCAT('8C'!$B$8, "-", '8C'!$B$9, "-", '8C'!$L$6, "-", '8C'!$L$5)</f>
        <v>Energy-Energy consumption - bioresources-£m (3 DPs)-Total</v>
      </c>
    </row>
    <row r="3527" spans="1:15">
      <c r="A3527" t="s">
        <v>17336</v>
      </c>
      <c r="B3527" t="str">
        <f>'8C'!$AF$10</f>
        <v>B0002BIOEGBE</v>
      </c>
      <c r="D3527" t="str">
        <f>_xlfn.CONCAT('8C'!$B$8, "-", '8C'!$B$10, "-", '8C'!$E$6, "-", '8C'!$E$5)</f>
        <v>Energy-Energy generated by and used in bioresources control-MWh (0 DPs)-Electricity</v>
      </c>
      <c r="E3527" t="str">
        <f>'8C'!$C$10</f>
        <v>SE Column Headings</v>
      </c>
      <c r="F3527" t="s">
        <v>17334</v>
      </c>
      <c r="G3527" t="str">
        <f>'8C'!$D$10</f>
        <v>SE Column Headings</v>
      </c>
      <c r="O3527" t="str">
        <f>_xlfn.CONCAT('8C'!$B$8, "-", '8C'!$B$10, "-", '8C'!$E$6, "-", '8C'!$E$5)</f>
        <v>Energy-Energy generated by and used in bioresources control-MWh (0 DPs)-Electricity</v>
      </c>
    </row>
    <row r="3528" spans="1:15">
      <c r="A3528" t="s">
        <v>17336</v>
      </c>
      <c r="B3528" t="str">
        <f>'8C'!$AG$10</f>
        <v>B0002BIOEGBH</v>
      </c>
      <c r="D3528" t="str">
        <f>_xlfn.CONCAT('8C'!$B$8, "-", '8C'!$B$10, "-", '8C'!$F$6, "-", '8C'!$F$5)</f>
        <v>Energy-Energy generated by and used in bioresources control-MWh (0 DPs)-Heat</v>
      </c>
      <c r="E3528" t="str">
        <f>'8C'!$C$10</f>
        <v>SE Column Headings</v>
      </c>
      <c r="F3528" t="s">
        <v>17334</v>
      </c>
      <c r="G3528" t="str">
        <f>'8C'!$D$10</f>
        <v>SE Column Headings</v>
      </c>
      <c r="O3528" t="str">
        <f>_xlfn.CONCAT('8C'!$B$8, "-", '8C'!$B$10, "-", '8C'!$F$6, "-", '8C'!$F$5)</f>
        <v>Energy-Energy generated by and used in bioresources control-MWh (0 DPs)-Heat</v>
      </c>
    </row>
    <row r="3529" spans="1:15">
      <c r="A3529" t="s">
        <v>17336</v>
      </c>
      <c r="B3529" t="str">
        <f>'8C'!$AH$10</f>
        <v>B0002BIOEGBB</v>
      </c>
      <c r="D3529" t="str">
        <f>_xlfn.CONCAT('8C'!$B$8, "-", '8C'!$B$10, "-", '8C'!$G$6, "-", '8C'!$G$5)</f>
        <v>Energy-Energy generated by and used in bioresources control-MWh (0 DPs)-Biomethane</v>
      </c>
      <c r="E3529" t="str">
        <f>'8C'!$C$10</f>
        <v>SE Column Headings</v>
      </c>
      <c r="F3529" t="s">
        <v>17334</v>
      </c>
      <c r="G3529" t="str">
        <f>'8C'!$D$10</f>
        <v>SE Column Headings</v>
      </c>
      <c r="O3529" t="str">
        <f>_xlfn.CONCAT('8C'!$B$8, "-", '8C'!$B$10, "-", '8C'!$G$6, "-", '8C'!$G$5)</f>
        <v>Energy-Energy generated by and used in bioresources control-MWh (0 DPs)-Biomethane</v>
      </c>
    </row>
    <row r="3530" spans="1:15">
      <c r="A3530" t="s">
        <v>17336</v>
      </c>
      <c r="B3530" t="str">
        <f>'8C'!$AI$10</f>
        <v>B0002BIOEGBT</v>
      </c>
      <c r="D3530" t="str">
        <f>_xlfn.CONCAT('8C'!$B$8, "-", '8C'!$B$10, "-", '8C'!$H$6, "-", '8C'!$H$5)</f>
        <v>Energy-Energy generated by and used in bioresources control-MWh (0 DPs)-Total</v>
      </c>
      <c r="E3530" t="str">
        <f>'8C'!$C$10</f>
        <v>SE Column Headings</v>
      </c>
      <c r="F3530" t="s">
        <v>17334</v>
      </c>
      <c r="G3530" t="str">
        <f>'8C'!$D$10</f>
        <v>SE Column Headings</v>
      </c>
      <c r="O3530" t="str">
        <f>_xlfn.CONCAT('8C'!$B$8, "-", '8C'!$B$10, "-", '8C'!$H$6, "-", '8C'!$H$5)</f>
        <v>Energy-Energy generated by and used in bioresources control-MWh (0 DPs)-Total</v>
      </c>
    </row>
    <row r="3531" spans="1:15">
      <c r="A3531" t="s">
        <v>17336</v>
      </c>
      <c r="B3531" t="str">
        <f>'8C'!$AJ$10</f>
        <v>B0002BIOEUBE</v>
      </c>
      <c r="D3531" t="str">
        <f>_xlfn.CONCAT('8C'!$B$8, "-", '8C'!$B$10, "-", '8C'!$I$6, "-", '8C'!$I$5)</f>
        <v>Energy-Energy generated by and used in bioresources control-£m (3 DPs)-Electricity</v>
      </c>
      <c r="E3531" t="str">
        <f>'8C'!$C$10</f>
        <v>SE Column Headings</v>
      </c>
      <c r="F3531" t="s">
        <v>17334</v>
      </c>
      <c r="G3531" t="str">
        <f>'8C'!$D$10</f>
        <v>SE Column Headings</v>
      </c>
      <c r="O3531" t="str">
        <f>_xlfn.CONCAT('8C'!$B$8, "-", '8C'!$B$10, "-", '8C'!$I$6, "-", '8C'!$I$5)</f>
        <v>Energy-Energy generated by and used in bioresources control-£m (3 DPs)-Electricity</v>
      </c>
    </row>
    <row r="3532" spans="1:15">
      <c r="A3532" t="s">
        <v>17336</v>
      </c>
      <c r="B3532" t="str">
        <f>'8C'!$AK$10</f>
        <v>B0002BIOEUBH</v>
      </c>
      <c r="D3532" t="str">
        <f>_xlfn.CONCAT('8C'!$B$8, "-", '8C'!$B$10, "-", '8C'!$J$6, "-", '8C'!$J$5)</f>
        <v>Energy-Energy generated by and used in bioresources control-£m (3 DPs)-Heat</v>
      </c>
      <c r="E3532" t="str">
        <f>'8C'!$C$10</f>
        <v>SE Column Headings</v>
      </c>
      <c r="F3532" t="s">
        <v>17334</v>
      </c>
      <c r="G3532" t="str">
        <f>'8C'!$D$10</f>
        <v>SE Column Headings</v>
      </c>
      <c r="O3532" t="str">
        <f>_xlfn.CONCAT('8C'!$B$8, "-", '8C'!$B$10, "-", '8C'!$J$6, "-", '8C'!$J$5)</f>
        <v>Energy-Energy generated by and used in bioresources control-£m (3 DPs)-Heat</v>
      </c>
    </row>
    <row r="3533" spans="1:15">
      <c r="A3533" t="s">
        <v>17336</v>
      </c>
      <c r="B3533" t="str">
        <f>'8C'!$AL$10</f>
        <v>B0002BIOEUBB</v>
      </c>
      <c r="D3533" t="str">
        <f>_xlfn.CONCAT('8C'!$B$8, "-", '8C'!$B$10, "-", '8C'!$K$6, "-", '8C'!$K$5)</f>
        <v>Energy-Energy generated by and used in bioresources control-£m (3 DPs)-Biomethane</v>
      </c>
      <c r="E3533" t="str">
        <f>'8C'!$C$10</f>
        <v>SE Column Headings</v>
      </c>
      <c r="F3533" t="s">
        <v>17334</v>
      </c>
      <c r="G3533" t="str">
        <f>'8C'!$D$10</f>
        <v>SE Column Headings</v>
      </c>
      <c r="O3533" t="str">
        <f>_xlfn.CONCAT('8C'!$B$8, "-", '8C'!$B$10, "-", '8C'!$K$6, "-", '8C'!$K$5)</f>
        <v>Energy-Energy generated by and used in bioresources control-£m (3 DPs)-Biomethane</v>
      </c>
    </row>
    <row r="3534" spans="1:15">
      <c r="A3534" t="s">
        <v>17336</v>
      </c>
      <c r="B3534" t="str">
        <f>'8C'!$AM$10</f>
        <v>B0002BIOEUBT</v>
      </c>
      <c r="D3534" t="str">
        <f>_xlfn.CONCAT('8C'!$B$8, "-", '8C'!$B$10, "-", '8C'!$L$6, "-", '8C'!$L$5)</f>
        <v>Energy-Energy generated by and used in bioresources control-£m (3 DPs)-Total</v>
      </c>
      <c r="E3534" t="str">
        <f>'8C'!$C$10</f>
        <v>SE Column Headings</v>
      </c>
      <c r="F3534" t="s">
        <v>17334</v>
      </c>
      <c r="G3534" t="str">
        <f>'8C'!$D$10</f>
        <v>SE Column Headings</v>
      </c>
      <c r="O3534" t="str">
        <f>_xlfn.CONCAT('8C'!$B$8, "-", '8C'!$B$10, "-", '8C'!$L$6, "-", '8C'!$L$5)</f>
        <v>Energy-Energy generated by and used in bioresources control-£m (3 DPs)-Total</v>
      </c>
    </row>
    <row r="3535" spans="1:15">
      <c r="A3535" t="s">
        <v>17336</v>
      </c>
      <c r="B3535" t="str">
        <f>'8C'!$AF$11</f>
        <v>B0002BIOEGNE</v>
      </c>
      <c r="D3535" t="str">
        <f>_xlfn.CONCAT('8C'!$B$8, "-", '8C'!$B$11, "-", '8C'!$E$6, "-", '8C'!$E$5)</f>
        <v>Energy-Energy generated by bioresources and used in network plus control-MWh (0 DPs)-Electricity</v>
      </c>
      <c r="E3535" t="str">
        <f>'8C'!$C$11</f>
        <v>SE Column Headings</v>
      </c>
      <c r="F3535" t="s">
        <v>17334</v>
      </c>
      <c r="G3535" t="str">
        <f>'8C'!$D$11</f>
        <v>SE Column Headings</v>
      </c>
      <c r="O3535" t="str">
        <f>_xlfn.CONCAT('8C'!$B$8, "-", '8C'!$B$11, "-", '8C'!$E$6, "-", '8C'!$E$5)</f>
        <v>Energy-Energy generated by bioresources and used in network plus control-MWh (0 DPs)-Electricity</v>
      </c>
    </row>
    <row r="3536" spans="1:15">
      <c r="A3536" t="s">
        <v>17336</v>
      </c>
      <c r="B3536" t="str">
        <f>'8C'!$AG$11</f>
        <v>B0002BIOEGNH</v>
      </c>
      <c r="D3536" t="str">
        <f>_xlfn.CONCAT('8C'!$B$8, "-", '8C'!$B$11, "-", '8C'!$F$6, "-", '8C'!$F$5)</f>
        <v>Energy-Energy generated by bioresources and used in network plus control-MWh (0 DPs)-Heat</v>
      </c>
      <c r="E3536" t="str">
        <f>'8C'!$C$11</f>
        <v>SE Column Headings</v>
      </c>
      <c r="F3536" t="s">
        <v>17334</v>
      </c>
      <c r="G3536" t="str">
        <f>'8C'!$D$11</f>
        <v>SE Column Headings</v>
      </c>
      <c r="O3536" t="str">
        <f>_xlfn.CONCAT('8C'!$B$8, "-", '8C'!$B$11, "-", '8C'!$F$6, "-", '8C'!$F$5)</f>
        <v>Energy-Energy generated by bioresources and used in network plus control-MWh (0 DPs)-Heat</v>
      </c>
    </row>
    <row r="3537" spans="1:15">
      <c r="A3537" t="s">
        <v>17336</v>
      </c>
      <c r="B3537" t="str">
        <f>'8C'!$AH$11</f>
        <v>B0002BIOEGNB</v>
      </c>
      <c r="D3537" t="str">
        <f>_xlfn.CONCAT('8C'!$B$8, "-", '8C'!$B$11, "-", '8C'!$G$6, "-", '8C'!$G$5)</f>
        <v>Energy-Energy generated by bioresources and used in network plus control-MWh (0 DPs)-Biomethane</v>
      </c>
      <c r="E3537" t="str">
        <f>'8C'!$C$11</f>
        <v>SE Column Headings</v>
      </c>
      <c r="F3537" t="s">
        <v>17334</v>
      </c>
      <c r="G3537" t="str">
        <f>'8C'!$D$11</f>
        <v>SE Column Headings</v>
      </c>
      <c r="O3537" t="str">
        <f>_xlfn.CONCAT('8C'!$B$8, "-", '8C'!$B$11, "-", '8C'!$G$6, "-", '8C'!$G$5)</f>
        <v>Energy-Energy generated by bioresources and used in network plus control-MWh (0 DPs)-Biomethane</v>
      </c>
    </row>
    <row r="3538" spans="1:15">
      <c r="A3538" t="s">
        <v>17336</v>
      </c>
      <c r="B3538" t="str">
        <f>'8C'!$AI$11</f>
        <v>B0002BIOEGNT</v>
      </c>
      <c r="D3538" t="str">
        <f>_xlfn.CONCAT('8C'!$B$8, "-", '8C'!$B$11, "-", '8C'!$H$6, "-", '8C'!$H$5)</f>
        <v>Energy-Energy generated by bioresources and used in network plus control-MWh (0 DPs)-Total</v>
      </c>
      <c r="E3538" t="str">
        <f>'8C'!$C$11</f>
        <v>SE Column Headings</v>
      </c>
      <c r="F3538" t="s">
        <v>17334</v>
      </c>
      <c r="G3538" t="str">
        <f>'8C'!$D$11</f>
        <v>SE Column Headings</v>
      </c>
      <c r="O3538" t="str">
        <f>_xlfn.CONCAT('8C'!$B$8, "-", '8C'!$B$11, "-", '8C'!$H$6, "-", '8C'!$H$5)</f>
        <v>Energy-Energy generated by bioresources and used in network plus control-MWh (0 DPs)-Total</v>
      </c>
    </row>
    <row r="3539" spans="1:15">
      <c r="A3539" t="s">
        <v>17336</v>
      </c>
      <c r="B3539" t="str">
        <f>'8C'!$AJ$11</f>
        <v>B0002BIOEUNE</v>
      </c>
      <c r="D3539" t="str">
        <f>_xlfn.CONCAT('8C'!$B$8, "-", '8C'!$B$11, "-", '8C'!$I$6, "-", '8C'!$I$5)</f>
        <v>Energy-Energy generated by bioresources and used in network plus control-£m (3 DPs)-Electricity</v>
      </c>
      <c r="E3539" t="str">
        <f>'8C'!$C$11</f>
        <v>SE Column Headings</v>
      </c>
      <c r="F3539" t="s">
        <v>17334</v>
      </c>
      <c r="G3539" t="str">
        <f>'8C'!$D$11</f>
        <v>SE Column Headings</v>
      </c>
      <c r="O3539" t="str">
        <f>_xlfn.CONCAT('8C'!$B$8, "-", '8C'!$B$11, "-", '8C'!$I$6, "-", '8C'!$I$5)</f>
        <v>Energy-Energy generated by bioresources and used in network plus control-£m (3 DPs)-Electricity</v>
      </c>
    </row>
    <row r="3540" spans="1:15">
      <c r="A3540" t="s">
        <v>17336</v>
      </c>
      <c r="B3540" t="str">
        <f>'8C'!$AK$11</f>
        <v>B0002BIOEUNH</v>
      </c>
      <c r="D3540" t="str">
        <f>_xlfn.CONCAT('8C'!$B$8, "-", '8C'!$B$11, "-", '8C'!$J$6, "-", '8C'!$J$5)</f>
        <v>Energy-Energy generated by bioresources and used in network plus control-£m (3 DPs)-Heat</v>
      </c>
      <c r="E3540" t="str">
        <f>'8C'!$C$11</f>
        <v>SE Column Headings</v>
      </c>
      <c r="F3540" t="s">
        <v>17334</v>
      </c>
      <c r="G3540" t="str">
        <f>'8C'!$D$11</f>
        <v>SE Column Headings</v>
      </c>
      <c r="O3540" t="str">
        <f>_xlfn.CONCAT('8C'!$B$8, "-", '8C'!$B$11, "-", '8C'!$J$6, "-", '8C'!$J$5)</f>
        <v>Energy-Energy generated by bioresources and used in network plus control-£m (3 DPs)-Heat</v>
      </c>
    </row>
    <row r="3541" spans="1:15">
      <c r="A3541" t="s">
        <v>17336</v>
      </c>
      <c r="B3541" t="str">
        <f>'8C'!$AL$11</f>
        <v>B0002BIOEUNB</v>
      </c>
      <c r="D3541" t="str">
        <f>_xlfn.CONCAT('8C'!$B$8, "-", '8C'!$B$11, "-", '8C'!$K$6, "-", '8C'!$K$5)</f>
        <v>Energy-Energy generated by bioresources and used in network plus control-£m (3 DPs)-Biomethane</v>
      </c>
      <c r="E3541" t="str">
        <f>'8C'!$C$11</f>
        <v>SE Column Headings</v>
      </c>
      <c r="F3541" t="s">
        <v>17334</v>
      </c>
      <c r="G3541" t="str">
        <f>'8C'!$D$11</f>
        <v>SE Column Headings</v>
      </c>
      <c r="O3541" t="str">
        <f>_xlfn.CONCAT('8C'!$B$8, "-", '8C'!$B$11, "-", '8C'!$K$6, "-", '8C'!$K$5)</f>
        <v>Energy-Energy generated by bioresources and used in network plus control-£m (3 DPs)-Biomethane</v>
      </c>
    </row>
    <row r="3542" spans="1:15">
      <c r="A3542" t="s">
        <v>17336</v>
      </c>
      <c r="B3542" t="str">
        <f>'8C'!$AM$11</f>
        <v>B0002BIOEUNT</v>
      </c>
      <c r="D3542" t="str">
        <f>_xlfn.CONCAT('8C'!$B$8, "-", '8C'!$B$11, "-", '8C'!$L$6, "-", '8C'!$L$5)</f>
        <v>Energy-Energy generated by bioresources and used in network plus control-£m (3 DPs)-Total</v>
      </c>
      <c r="E3542" t="str">
        <f>'8C'!$C$11</f>
        <v>SE Column Headings</v>
      </c>
      <c r="F3542" t="s">
        <v>17334</v>
      </c>
      <c r="G3542" t="str">
        <f>'8C'!$D$11</f>
        <v>SE Column Headings</v>
      </c>
      <c r="O3542" t="str">
        <f>_xlfn.CONCAT('8C'!$B$8, "-", '8C'!$B$11, "-", '8C'!$L$6, "-", '8C'!$L$5)</f>
        <v>Energy-Energy generated by bioresources and used in network plus control-£m (3 DPs)-Total</v>
      </c>
    </row>
    <row r="3543" spans="1:15">
      <c r="A3543" t="s">
        <v>17336</v>
      </c>
      <c r="B3543" t="str">
        <f>'8C'!$AF$12</f>
        <v>B0002BIOEGGTE</v>
      </c>
      <c r="D3543" t="str">
        <f>_xlfn.CONCAT('8C'!$B$8, "-", '8C'!$B$12, "-", '8C'!$E$6, "-", '8C'!$E$5)</f>
        <v>Energy-Energy generated by bioresources and exported to the grid or third party-MWh (0 DPs)-Electricity</v>
      </c>
      <c r="E3543" t="str">
        <f>'8C'!$C$12</f>
        <v>SE Column Headings</v>
      </c>
      <c r="F3543" t="s">
        <v>17334</v>
      </c>
      <c r="G3543" t="str">
        <f>'8C'!$D$12</f>
        <v>SE Column Headings</v>
      </c>
      <c r="O3543" t="str">
        <f>_xlfn.CONCAT('8C'!$B$8, "-", '8C'!$B$12, "-", '8C'!$E$6, "-", '8C'!$E$5)</f>
        <v>Energy-Energy generated by bioresources and exported to the grid or third party-MWh (0 DPs)-Electricity</v>
      </c>
    </row>
    <row r="3544" spans="1:15">
      <c r="A3544" t="s">
        <v>17336</v>
      </c>
      <c r="B3544" t="str">
        <f>'8C'!$AG$12</f>
        <v>B0002BIOEGGTH</v>
      </c>
      <c r="D3544" t="str">
        <f>_xlfn.CONCAT('8C'!$B$8, "-", '8C'!$B$12, "-", '8C'!$F$6, "-", '8C'!$F$5)</f>
        <v>Energy-Energy generated by bioresources and exported to the grid or third party-MWh (0 DPs)-Heat</v>
      </c>
      <c r="E3544" t="str">
        <f>'8C'!$C$12</f>
        <v>SE Column Headings</v>
      </c>
      <c r="F3544" t="s">
        <v>17334</v>
      </c>
      <c r="G3544" t="str">
        <f>'8C'!$D$12</f>
        <v>SE Column Headings</v>
      </c>
      <c r="O3544" t="str">
        <f>_xlfn.CONCAT('8C'!$B$8, "-", '8C'!$B$12, "-", '8C'!$F$6, "-", '8C'!$F$5)</f>
        <v>Energy-Energy generated by bioresources and exported to the grid or third party-MWh (0 DPs)-Heat</v>
      </c>
    </row>
    <row r="3545" spans="1:15">
      <c r="A3545" t="s">
        <v>17336</v>
      </c>
      <c r="B3545" t="str">
        <f>'8C'!$AH$12</f>
        <v>B0002BIOEGGTB</v>
      </c>
      <c r="D3545" t="str">
        <f>_xlfn.CONCAT('8C'!$B$8, "-", '8C'!$B$12, "-", '8C'!$G$6, "-", '8C'!$G$5)</f>
        <v>Energy-Energy generated by bioresources and exported to the grid or third party-MWh (0 DPs)-Biomethane</v>
      </c>
      <c r="E3545" t="str">
        <f>'8C'!$C$12</f>
        <v>SE Column Headings</v>
      </c>
      <c r="F3545" t="s">
        <v>17334</v>
      </c>
      <c r="G3545" t="str">
        <f>'8C'!$D$12</f>
        <v>SE Column Headings</v>
      </c>
      <c r="O3545" t="str">
        <f>_xlfn.CONCAT('8C'!$B$8, "-", '8C'!$B$12, "-", '8C'!$G$6, "-", '8C'!$G$5)</f>
        <v>Energy-Energy generated by bioresources and exported to the grid or third party-MWh (0 DPs)-Biomethane</v>
      </c>
    </row>
    <row r="3546" spans="1:15">
      <c r="A3546" t="s">
        <v>17336</v>
      </c>
      <c r="B3546" t="str">
        <f>'8C'!$AI$12</f>
        <v>B0002BIOEGGTT</v>
      </c>
      <c r="D3546" t="str">
        <f>_xlfn.CONCAT('8C'!$B$8, "-", '8C'!$B$12, "-", '8C'!$H$6, "-", '8C'!$H$5)</f>
        <v>Energy-Energy generated by bioresources and exported to the grid or third party-MWh (0 DPs)-Total</v>
      </c>
      <c r="E3546" t="str">
        <f>'8C'!$C$12</f>
        <v>SE Column Headings</v>
      </c>
      <c r="F3546" t="s">
        <v>17334</v>
      </c>
      <c r="G3546" t="str">
        <f>'8C'!$D$12</f>
        <v>SE Column Headings</v>
      </c>
      <c r="O3546" t="str">
        <f>_xlfn.CONCAT('8C'!$B$8, "-", '8C'!$B$12, "-", '8C'!$H$6, "-", '8C'!$H$5)</f>
        <v>Energy-Energy generated by bioresources and exported to the grid or third party-MWh (0 DPs)-Total</v>
      </c>
    </row>
    <row r="3547" spans="1:15">
      <c r="A3547" t="s">
        <v>17336</v>
      </c>
      <c r="B3547" t="str">
        <f>'8C'!$AJ$12</f>
        <v>B0002BIOEUGTE</v>
      </c>
      <c r="D3547" t="str">
        <f>_xlfn.CONCAT('8C'!$B$8, "-", '8C'!$B$12, "-", '8C'!$I$6, "-", '8C'!$I$5)</f>
        <v>Energy-Energy generated by bioresources and exported to the grid or third party-£m (3 DPs)-Electricity</v>
      </c>
      <c r="E3547" t="str">
        <f>'8C'!$C$12</f>
        <v>SE Column Headings</v>
      </c>
      <c r="F3547" t="s">
        <v>17334</v>
      </c>
      <c r="G3547" t="str">
        <f>'8C'!$D$12</f>
        <v>SE Column Headings</v>
      </c>
      <c r="O3547" t="str">
        <f>_xlfn.CONCAT('8C'!$B$8, "-", '8C'!$B$12, "-", '8C'!$I$6, "-", '8C'!$I$5)</f>
        <v>Energy-Energy generated by bioresources and exported to the grid or third party-£m (3 DPs)-Electricity</v>
      </c>
    </row>
    <row r="3548" spans="1:15">
      <c r="A3548" t="s">
        <v>17336</v>
      </c>
      <c r="B3548" t="str">
        <f>'8C'!$AK$12</f>
        <v>B0002BIOEUGTH</v>
      </c>
      <c r="D3548" t="str">
        <f>_xlfn.CONCAT('8C'!$B$8, "-", '8C'!$B$12, "-", '8C'!$J$6, "-", '8C'!$J$5)</f>
        <v>Energy-Energy generated by bioresources and exported to the grid or third party-£m (3 DPs)-Heat</v>
      </c>
      <c r="E3548" t="str">
        <f>'8C'!$C$12</f>
        <v>SE Column Headings</v>
      </c>
      <c r="F3548" t="s">
        <v>17334</v>
      </c>
      <c r="G3548" t="str">
        <f>'8C'!$D$12</f>
        <v>SE Column Headings</v>
      </c>
      <c r="O3548" t="str">
        <f>_xlfn.CONCAT('8C'!$B$8, "-", '8C'!$B$12, "-", '8C'!$J$6, "-", '8C'!$J$5)</f>
        <v>Energy-Energy generated by bioresources and exported to the grid or third party-£m (3 DPs)-Heat</v>
      </c>
    </row>
    <row r="3549" spans="1:15">
      <c r="A3549" t="s">
        <v>17336</v>
      </c>
      <c r="B3549" t="str">
        <f>'8C'!$AL$12</f>
        <v>B0002BIOEUGTB</v>
      </c>
      <c r="D3549" t="str">
        <f>_xlfn.CONCAT('8C'!$B$8, "-", '8C'!$B$12, "-", '8C'!$K$6, "-", '8C'!$K$5)</f>
        <v>Energy-Energy generated by bioresources and exported to the grid or third party-£m (3 DPs)-Biomethane</v>
      </c>
      <c r="E3549" t="str">
        <f>'8C'!$C$12</f>
        <v>SE Column Headings</v>
      </c>
      <c r="F3549" t="s">
        <v>17334</v>
      </c>
      <c r="G3549" t="str">
        <f>'8C'!$D$12</f>
        <v>SE Column Headings</v>
      </c>
      <c r="O3549" t="str">
        <f>_xlfn.CONCAT('8C'!$B$8, "-", '8C'!$B$12, "-", '8C'!$K$6, "-", '8C'!$K$5)</f>
        <v>Energy-Energy generated by bioresources and exported to the grid or third party-£m (3 DPs)-Biomethane</v>
      </c>
    </row>
    <row r="3550" spans="1:15">
      <c r="A3550" t="s">
        <v>17336</v>
      </c>
      <c r="B3550" t="str">
        <f>'8C'!$AM$12</f>
        <v>B0002BIOEUGTT</v>
      </c>
      <c r="D3550" t="str">
        <f>_xlfn.CONCAT('8C'!$B$8, "-", '8C'!$B$12, "-", '8C'!$L$6, "-", '8C'!$L$5)</f>
        <v>Energy-Energy generated by bioresources and exported to the grid or third party-£m (3 DPs)-Total</v>
      </c>
      <c r="E3550" t="str">
        <f>'8C'!$C$12</f>
        <v>SE Column Headings</v>
      </c>
      <c r="F3550" t="s">
        <v>17334</v>
      </c>
      <c r="G3550" t="str">
        <f>'8C'!$D$12</f>
        <v>SE Column Headings</v>
      </c>
      <c r="O3550" t="str">
        <f>_xlfn.CONCAT('8C'!$B$8, "-", '8C'!$B$12, "-", '8C'!$L$6, "-", '8C'!$L$5)</f>
        <v>Energy-Energy generated by bioresources and exported to the grid or third party-£m (3 DPs)-Total</v>
      </c>
    </row>
    <row r="3551" spans="1:15">
      <c r="A3551" t="s">
        <v>17336</v>
      </c>
      <c r="B3551" t="str">
        <f>'8C'!$AF$13</f>
        <v>B0002BIOEGUE</v>
      </c>
      <c r="D3551" t="str">
        <f>_xlfn.CONCAT('8C'!$B$8, "-", '8C'!$B$13, "-", '8C'!$E$6, "-", '8C'!$E$5)</f>
        <v>Energy-Energy generated by bioresources that is unused-MWh (0 DPs)-Electricity</v>
      </c>
      <c r="E3551" t="str">
        <f>'8C'!$C$13</f>
        <v>SE Column Headings</v>
      </c>
      <c r="F3551" t="s">
        <v>17334</v>
      </c>
      <c r="G3551" t="str">
        <f>'8C'!$D$13</f>
        <v>SE Column Headings</v>
      </c>
      <c r="O3551" t="str">
        <f>_xlfn.CONCAT('8C'!$B$8, "-", '8C'!$B$13, "-", '8C'!$E$6, "-", '8C'!$E$5)</f>
        <v>Energy-Energy generated by bioresources that is unused-MWh (0 DPs)-Electricity</v>
      </c>
    </row>
    <row r="3552" spans="1:15">
      <c r="A3552" t="s">
        <v>17336</v>
      </c>
      <c r="B3552" t="str">
        <f>'8C'!$AG$13</f>
        <v>B0002BIOEGUH</v>
      </c>
      <c r="D3552" t="str">
        <f>_xlfn.CONCAT('8C'!$B$8, "-", '8C'!$B$13, "-", '8C'!$F$6, "-", '8C'!$F$5)</f>
        <v>Energy-Energy generated by bioresources that is unused-MWh (0 DPs)-Heat</v>
      </c>
      <c r="E3552" t="str">
        <f>'8C'!$C$13</f>
        <v>SE Column Headings</v>
      </c>
      <c r="F3552" t="s">
        <v>17334</v>
      </c>
      <c r="G3552" t="str">
        <f>'8C'!$D$13</f>
        <v>SE Column Headings</v>
      </c>
      <c r="O3552" t="str">
        <f>_xlfn.CONCAT('8C'!$B$8, "-", '8C'!$B$13, "-", '8C'!$F$6, "-", '8C'!$F$5)</f>
        <v>Energy-Energy generated by bioresources that is unused-MWh (0 DPs)-Heat</v>
      </c>
    </row>
    <row r="3553" spans="1:15">
      <c r="A3553" t="s">
        <v>17336</v>
      </c>
      <c r="B3553" t="str">
        <f>'8C'!$AH$13</f>
        <v>B0002BIOEGUB</v>
      </c>
      <c r="D3553" t="str">
        <f>_xlfn.CONCAT('8C'!$B$8, "-", '8C'!$B$13, "-", '8C'!$G$6, "-", '8C'!$G$5)</f>
        <v>Energy-Energy generated by bioresources that is unused-MWh (0 DPs)-Biomethane</v>
      </c>
      <c r="E3553" t="str">
        <f>'8C'!$C$13</f>
        <v>SE Column Headings</v>
      </c>
      <c r="F3553" t="s">
        <v>17334</v>
      </c>
      <c r="G3553" t="str">
        <f>'8C'!$D$13</f>
        <v>SE Column Headings</v>
      </c>
      <c r="O3553" t="str">
        <f>_xlfn.CONCAT('8C'!$B$8, "-", '8C'!$B$13, "-", '8C'!$G$6, "-", '8C'!$G$5)</f>
        <v>Energy-Energy generated by bioresources that is unused-MWh (0 DPs)-Biomethane</v>
      </c>
    </row>
    <row r="3554" spans="1:15">
      <c r="A3554" t="s">
        <v>17336</v>
      </c>
      <c r="B3554" t="str">
        <f>'8C'!$AI$13</f>
        <v>B0002BIOEGUT</v>
      </c>
      <c r="D3554" t="str">
        <f>_xlfn.CONCAT('8C'!$B$8, "-", '8C'!$B$13, "-", '8C'!$H$6, "-", '8C'!$H$5)</f>
        <v>Energy-Energy generated by bioresources that is unused-MWh (0 DPs)-Total</v>
      </c>
      <c r="E3554" t="str">
        <f>'8C'!$C$13</f>
        <v>SE Column Headings</v>
      </c>
      <c r="F3554" t="s">
        <v>17334</v>
      </c>
      <c r="G3554" t="str">
        <f>'8C'!$D$13</f>
        <v>SE Column Headings</v>
      </c>
      <c r="O3554" t="str">
        <f>_xlfn.CONCAT('8C'!$B$8, "-", '8C'!$B$13, "-", '8C'!$H$6, "-", '8C'!$H$5)</f>
        <v>Energy-Energy generated by bioresources that is unused-MWh (0 DPs)-Total</v>
      </c>
    </row>
    <row r="3555" spans="1:15">
      <c r="A3555" t="s">
        <v>17336</v>
      </c>
      <c r="B3555" t="str">
        <f>'8C'!$AF$14</f>
        <v>B0002BIOEBGTE</v>
      </c>
      <c r="D3555" t="str">
        <f>_xlfn.CONCAT('8C'!$B$8, "-", '8C'!$B$14, "-", '8C'!$E$6, "-", '8C'!$E$5)</f>
        <v>Energy-Energy bought from grid or third party and used in bioresources control-MWh (0 DPs)-Electricity</v>
      </c>
      <c r="E3555" t="str">
        <f>'8C'!$C$14</f>
        <v>SE Column Headings</v>
      </c>
      <c r="F3555" t="s">
        <v>17334</v>
      </c>
      <c r="G3555" t="str">
        <f>'8C'!$D$14</f>
        <v>SE Column Headings</v>
      </c>
      <c r="O3555" t="str">
        <f>_xlfn.CONCAT('8C'!$B$8, "-", '8C'!$B$14, "-", '8C'!$E$6, "-", '8C'!$E$5)</f>
        <v>Energy-Energy bought from grid or third party and used in bioresources control-MWh (0 DPs)-Electricity</v>
      </c>
    </row>
    <row r="3556" spans="1:15">
      <c r="A3556" t="s">
        <v>17336</v>
      </c>
      <c r="B3556" t="str">
        <f>'8C'!$AG$14</f>
        <v>B0002BIOEBGTH</v>
      </c>
      <c r="D3556" t="str">
        <f>_xlfn.CONCAT('8C'!$B$8, "-", '8C'!$B$14, "-", '8C'!$F$6, "-", '8C'!$F$5)</f>
        <v>Energy-Energy bought from grid or third party and used in bioresources control-MWh (0 DPs)-Heat</v>
      </c>
      <c r="E3556" t="str">
        <f>'8C'!$C$14</f>
        <v>SE Column Headings</v>
      </c>
      <c r="F3556" t="s">
        <v>17334</v>
      </c>
      <c r="G3556" t="str">
        <f>'8C'!$D$14</f>
        <v>SE Column Headings</v>
      </c>
      <c r="O3556" t="str">
        <f>_xlfn.CONCAT('8C'!$B$8, "-", '8C'!$B$14, "-", '8C'!$F$6, "-", '8C'!$F$5)</f>
        <v>Energy-Energy bought from grid or third party and used in bioresources control-MWh (0 DPs)-Heat</v>
      </c>
    </row>
    <row r="3557" spans="1:15">
      <c r="A3557" t="s">
        <v>17336</v>
      </c>
      <c r="B3557" t="str">
        <f>'8C'!$AH$14</f>
        <v>B0002BIOEBGTB</v>
      </c>
      <c r="D3557" t="str">
        <f>_xlfn.CONCAT('8C'!$B$8, "-", '8C'!$B$14, "-", '8C'!$G$6, "-", '8C'!$G$5)</f>
        <v>Energy-Energy bought from grid or third party and used in bioresources control-MWh (0 DPs)-Biomethane</v>
      </c>
      <c r="E3557" t="str">
        <f>'8C'!$C$14</f>
        <v>SE Column Headings</v>
      </c>
      <c r="F3557" t="s">
        <v>17334</v>
      </c>
      <c r="G3557" t="str">
        <f>'8C'!$D$14</f>
        <v>SE Column Headings</v>
      </c>
      <c r="O3557" t="str">
        <f>_xlfn.CONCAT('8C'!$B$8, "-", '8C'!$B$14, "-", '8C'!$G$6, "-", '8C'!$G$5)</f>
        <v>Energy-Energy bought from grid or third party and used in bioresources control-MWh (0 DPs)-Biomethane</v>
      </c>
    </row>
    <row r="3558" spans="1:15">
      <c r="A3558" t="s">
        <v>17336</v>
      </c>
      <c r="B3558" t="str">
        <f>'8C'!$AI$14</f>
        <v>B0002BIOEBGTT</v>
      </c>
      <c r="D3558" t="str">
        <f>_xlfn.CONCAT('8C'!$B$8, "-", '8C'!$B$14, "-", '8C'!$H$6, "-", '8C'!$H$5)</f>
        <v>Energy-Energy bought from grid or third party and used in bioresources control-MWh (0 DPs)-Total</v>
      </c>
      <c r="E3558" t="str">
        <f>'8C'!$C$14</f>
        <v>SE Column Headings</v>
      </c>
      <c r="F3558" t="s">
        <v>17334</v>
      </c>
      <c r="G3558" t="str">
        <f>'8C'!$D$14</f>
        <v>SE Column Headings</v>
      </c>
      <c r="O3558" t="str">
        <f>_xlfn.CONCAT('8C'!$B$8, "-", '8C'!$B$14, "-", '8C'!$H$6, "-", '8C'!$H$5)</f>
        <v>Energy-Energy bought from grid or third party and used in bioresources control-MWh (0 DPs)-Total</v>
      </c>
    </row>
    <row r="3559" spans="1:15">
      <c r="A3559" t="s">
        <v>17336</v>
      </c>
      <c r="B3559" t="str">
        <f>'8C'!$AJ$14</f>
        <v>B0002BIOEUBGTE</v>
      </c>
      <c r="D3559" t="str">
        <f>_xlfn.CONCAT('8C'!$B$8, "-", '8C'!$B$14, "-", '8C'!$I$6, "-", '8C'!$I$5)</f>
        <v>Energy-Energy bought from grid or third party and used in bioresources control-£m (3 DPs)-Electricity</v>
      </c>
      <c r="E3559" t="str">
        <f>'8C'!$C$14</f>
        <v>SE Column Headings</v>
      </c>
      <c r="F3559" t="s">
        <v>17334</v>
      </c>
      <c r="G3559" t="str">
        <f>'8C'!$D$14</f>
        <v>SE Column Headings</v>
      </c>
      <c r="O3559" t="str">
        <f>_xlfn.CONCAT('8C'!$B$8, "-", '8C'!$B$14, "-", '8C'!$I$6, "-", '8C'!$I$5)</f>
        <v>Energy-Energy bought from grid or third party and used in bioresources control-£m (3 DPs)-Electricity</v>
      </c>
    </row>
    <row r="3560" spans="1:15">
      <c r="A3560" t="s">
        <v>17336</v>
      </c>
      <c r="B3560" t="str">
        <f>'8C'!$AK$14</f>
        <v>B0002BIOEUBGTH</v>
      </c>
      <c r="D3560" t="str">
        <f>_xlfn.CONCAT('8C'!$B$8, "-", '8C'!$B$14, "-", '8C'!$J$6, "-", '8C'!$J$5)</f>
        <v>Energy-Energy bought from grid or third party and used in bioresources control-£m (3 DPs)-Heat</v>
      </c>
      <c r="E3560" t="str">
        <f>'8C'!$C$14</f>
        <v>SE Column Headings</v>
      </c>
      <c r="F3560" t="s">
        <v>17334</v>
      </c>
      <c r="G3560" t="str">
        <f>'8C'!$D$14</f>
        <v>SE Column Headings</v>
      </c>
      <c r="O3560" t="str">
        <f>_xlfn.CONCAT('8C'!$B$8, "-", '8C'!$B$14, "-", '8C'!$J$6, "-", '8C'!$J$5)</f>
        <v>Energy-Energy bought from grid or third party and used in bioresources control-£m (3 DPs)-Heat</v>
      </c>
    </row>
    <row r="3561" spans="1:15">
      <c r="A3561" t="s">
        <v>17336</v>
      </c>
      <c r="B3561" t="str">
        <f>'8C'!$AL$14</f>
        <v>B0002BIOEUBGTB</v>
      </c>
      <c r="D3561" t="str">
        <f>_xlfn.CONCAT('8C'!$B$8, "-", '8C'!$B$14, "-", '8C'!$K$6, "-", '8C'!$K$5)</f>
        <v>Energy-Energy bought from grid or third party and used in bioresources control-£m (3 DPs)-Biomethane</v>
      </c>
      <c r="E3561" t="str">
        <f>'8C'!$C$14</f>
        <v>SE Column Headings</v>
      </c>
      <c r="F3561" t="s">
        <v>17334</v>
      </c>
      <c r="G3561" t="str">
        <f>'8C'!$D$14</f>
        <v>SE Column Headings</v>
      </c>
      <c r="O3561" t="str">
        <f>_xlfn.CONCAT('8C'!$B$8, "-", '8C'!$B$14, "-", '8C'!$K$6, "-", '8C'!$K$5)</f>
        <v>Energy-Energy bought from grid or third party and used in bioresources control-£m (3 DPs)-Biomethane</v>
      </c>
    </row>
    <row r="3562" spans="1:15">
      <c r="A3562" t="s">
        <v>17336</v>
      </c>
      <c r="B3562" t="str">
        <f>'8C'!$AM$14</f>
        <v>B0002BIOEUBGTT</v>
      </c>
      <c r="D3562" t="str">
        <f>_xlfn.CONCAT('8C'!$B$8, "-", '8C'!$B$14, "-", '8C'!$L$6, "-", '8C'!$L$5)</f>
        <v>Energy-Energy bought from grid or third party and used in bioresources control-£m (3 DPs)-Total</v>
      </c>
      <c r="E3562" t="str">
        <f>'8C'!$C$14</f>
        <v>SE Column Headings</v>
      </c>
      <c r="F3562" t="s">
        <v>17334</v>
      </c>
      <c r="G3562" t="str">
        <f>'8C'!$D$14</f>
        <v>SE Column Headings</v>
      </c>
      <c r="O3562" t="str">
        <f>_xlfn.CONCAT('8C'!$B$8, "-", '8C'!$B$14, "-", '8C'!$L$6, "-", '8C'!$L$5)</f>
        <v>Energy-Energy bought from grid or third party and used in bioresources control-£m (3 DPs)-Total</v>
      </c>
    </row>
    <row r="3563" spans="1:15">
      <c r="A3563" t="s">
        <v>17336</v>
      </c>
      <c r="B3563" t="str">
        <f>'8C'!$AF$17</f>
        <v>B0002BIOIROC</v>
      </c>
      <c r="D3563" t="str">
        <f>_xlfn.CONCAT('8C'!$B$16, "-", '8C'!$B$17, "-", '8C'!$E$16)</f>
        <v>Income from renewable energy subsidies-Income claimed from Renewable Energy Certificates (ROCs)-Value</v>
      </c>
      <c r="E3563" t="str">
        <f>'8C'!$C$17</f>
        <v>£m</v>
      </c>
      <c r="F3563" t="s">
        <v>17334</v>
      </c>
      <c r="G3563">
        <f>'8C'!$D$17</f>
        <v>3</v>
      </c>
      <c r="O3563" t="str">
        <f>_xlfn.CONCAT('8C'!$B$16, "-", '8C'!$B$17, "-", '8C'!$E$16)</f>
        <v>Income from renewable energy subsidies-Income claimed from Renewable Energy Certificates (ROCs)-Value</v>
      </c>
    </row>
    <row r="3564" spans="1:15">
      <c r="A3564" t="s">
        <v>17336</v>
      </c>
      <c r="B3564" t="str">
        <f>'8C'!$AF$18</f>
        <v>B0002BIOIRHI</v>
      </c>
      <c r="D3564" t="str">
        <f>_xlfn.CONCAT('8C'!$B$16, "-", '8C'!$B$18, "-", '8C'!$E$16)</f>
        <v>Income from renewable energy subsidies-Income claimed from Renewable Heat Incentives (RHIs)-Value</v>
      </c>
      <c r="E3564" t="str">
        <f>'8C'!$C$18</f>
        <v>£m</v>
      </c>
      <c r="F3564" t="s">
        <v>17334</v>
      </c>
      <c r="G3564">
        <f>'8C'!$D$18</f>
        <v>3</v>
      </c>
      <c r="O3564" t="str">
        <f>_xlfn.CONCAT('8C'!$B$16, "-", '8C'!$B$18, "-", '8C'!$E$16)</f>
        <v>Income from renewable energy subsidies-Income claimed from Renewable Heat Incentives (RHIs)-Value</v>
      </c>
    </row>
    <row r="3565" spans="1:15">
      <c r="A3565" t="s">
        <v>17336</v>
      </c>
      <c r="B3565" t="str">
        <f>'8C'!$AF$19</f>
        <v>B0002BIOIOTH1</v>
      </c>
      <c r="D3565" t="str">
        <f>_xlfn.CONCAT('8C'!$B$16, "-", '8C'!$B$19, "-", '8C'!$E$16)</f>
        <v>Income from renewable energy subsidies-Income claimed from [other renewable energy subsidy (1)]-Value</v>
      </c>
      <c r="E3565" t="str">
        <f>'8C'!$C$19</f>
        <v>£m</v>
      </c>
      <c r="F3565" t="s">
        <v>17334</v>
      </c>
      <c r="G3565">
        <f>'8C'!$D$19</f>
        <v>3</v>
      </c>
      <c r="O3565" t="str">
        <f>_xlfn.CONCAT('8C'!$B$16, "-", '8C'!$B$19, "-", '8C'!$E$16)</f>
        <v>Income from renewable energy subsidies-Income claimed from [other renewable energy subsidy (1)]-Value</v>
      </c>
    </row>
    <row r="3566" spans="1:15">
      <c r="A3566" t="s">
        <v>17336</v>
      </c>
      <c r="B3566" t="str">
        <f>'8C'!$AF$20</f>
        <v>B0002BIOIOTH2</v>
      </c>
      <c r="D3566" t="str">
        <f>_xlfn.CONCAT('8C'!$B$16, "-", '8C'!$B$20, "-", '8C'!$E$16)</f>
        <v>Income from renewable energy subsidies-Income claimed from [other renewable energy subsidy (2)]-Value</v>
      </c>
      <c r="E3566" t="str">
        <f>'8C'!$C$20</f>
        <v>£m</v>
      </c>
      <c r="F3566" t="s">
        <v>17334</v>
      </c>
      <c r="G3566">
        <f>'8C'!$D$20</f>
        <v>3</v>
      </c>
      <c r="O3566" t="str">
        <f>_xlfn.CONCAT('8C'!$B$16, "-", '8C'!$B$20, "-", '8C'!$E$16)</f>
        <v>Income from renewable energy subsidies-Income claimed from [other renewable energy subsidy (2)]-Value</v>
      </c>
    </row>
    <row r="3567" spans="1:15">
      <c r="A3567" t="s">
        <v>17336</v>
      </c>
      <c r="B3567" t="str">
        <f>'8C'!$AF$21</f>
        <v>B0002BIOIOTH3</v>
      </c>
      <c r="D3567" t="str">
        <f>_xlfn.CONCAT('8C'!$B$16, "-", '8C'!$B$21, "-", '8C'!$E$16)</f>
        <v>Income from renewable energy subsidies-Income claimed from [other renewable energy subsidy (3)]-Value</v>
      </c>
      <c r="E3567" t="str">
        <f>'8C'!$C$21</f>
        <v>£m</v>
      </c>
      <c r="F3567" t="s">
        <v>17334</v>
      </c>
      <c r="G3567">
        <f>'8C'!$D$21</f>
        <v>3</v>
      </c>
      <c r="O3567" t="str">
        <f>_xlfn.CONCAT('8C'!$B$16, "-", '8C'!$B$21, "-", '8C'!$E$16)</f>
        <v>Income from renewable energy subsidies-Income claimed from [other renewable energy subsidy (3)]-Value</v>
      </c>
    </row>
    <row r="3568" spans="1:15">
      <c r="A3568" t="s">
        <v>17336</v>
      </c>
      <c r="B3568" t="str">
        <f>'8C'!$AF$22</f>
        <v>B0002BIOITOT</v>
      </c>
      <c r="D3568" t="str">
        <f>_xlfn.CONCAT('8C'!$B$16, "-", '8C'!$B$22, "-", '8C'!$E$16)</f>
        <v>Income from renewable energy subsidies-Total income claimed from renewable energy subsidies-Value</v>
      </c>
      <c r="E3568" t="str">
        <f>'8C'!$C$22</f>
        <v>£m</v>
      </c>
      <c r="F3568" t="s">
        <v>17334</v>
      </c>
      <c r="G3568">
        <f>'8C'!$D$22</f>
        <v>3</v>
      </c>
      <c r="O3568" t="str">
        <f>_xlfn.CONCAT('8C'!$B$16, "-", '8C'!$B$22, "-", '8C'!$E$16)</f>
        <v>Income from renewable energy subsidies-Total income claimed from renewable energy subsidies-Value</v>
      </c>
    </row>
    <row r="3569" spans="1:15">
      <c r="A3569" t="s">
        <v>17336</v>
      </c>
      <c r="B3569" s="2603" t="str">
        <f>'8C'!$AF$23</f>
        <v>B0002BIOIPCTEX</v>
      </c>
      <c r="D3569" t="str">
        <f>_xlfn.CONCAT('8C'!$B$16, "-", '8C'!$B$23, "-", '8C'!$E$16)</f>
        <v>Income from renewable energy subsidies-% of total number of renewable energy subsidies due to expire in the next 2 financial years-Value</v>
      </c>
      <c r="E3569" t="str">
        <f>'8C'!$C$23</f>
        <v>%</v>
      </c>
      <c r="F3569" t="s">
        <v>17334</v>
      </c>
      <c r="G3569">
        <f>'8C'!$D$23</f>
        <v>0</v>
      </c>
      <c r="O3569" t="str">
        <f>_xlfn.CONCAT('8C'!$B$16, "-", '8C'!$B$23, "-", '8C'!$E$16)</f>
        <v>Income from renewable energy subsidies-% of total number of renewable energy subsidies due to expire in the next 2 financial years-Value</v>
      </c>
    </row>
    <row r="3570" spans="1:15">
      <c r="A3570" t="s">
        <v>17336</v>
      </c>
      <c r="B3570" t="str">
        <f>'8C'!$AF$24</f>
        <v>B0002BIOITOTEX</v>
      </c>
      <c r="D3570" t="str">
        <f>_xlfn.CONCAT('8C'!$B$16, "-", '8C'!$B$24, "-", '8C'!$E$16)</f>
        <v>Income from renewable energy subsidies-This year’s value of renewable energy subsidies due to expire in the next 2 financial years-Value</v>
      </c>
      <c r="E3570" t="str">
        <f>'8C'!$C$24</f>
        <v>£m</v>
      </c>
      <c r="F3570" t="s">
        <v>17334</v>
      </c>
      <c r="G3570">
        <f>'8C'!$D$24</f>
        <v>3</v>
      </c>
      <c r="O3570" t="str">
        <f>_xlfn.CONCAT('8C'!$B$16, "-", '8C'!$B$24, "-", '8C'!$E$16)</f>
        <v>Income from renewable energy subsidies-This year’s value of renewable energy subsidies due to expire in the next 2 financial years-Value</v>
      </c>
    </row>
    <row r="3571" spans="1:15">
      <c r="A3571" t="s">
        <v>17336</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17334</v>
      </c>
      <c r="G3571">
        <f>'8C'!$D$29</f>
        <v>0</v>
      </c>
      <c r="O3571" t="str">
        <f>_xlfn.CONCAT('8C'!$B$28, "-", '8C'!$B$29, "-", '8C'!$E$28)</f>
        <v>Bioresources liquors treated by network plus (shadow reported) -BOD load of liquor or partially treated liquor returned from bioresources to network plus-Value</v>
      </c>
    </row>
    <row r="3572" spans="1:15">
      <c r="A3572" t="s">
        <v>17336</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17334</v>
      </c>
      <c r="G3572">
        <f>'8C'!$D$30</f>
        <v>0</v>
      </c>
      <c r="O3572" t="str">
        <f>_xlfn.CONCAT('8C'!$B$28, "-", '8C'!$B$30, "-", '8C'!$E$28)</f>
        <v>Bioresources liquors treated by network plus (shadow reported) -Ammonia load of liquor or partially treated liquor returned from bioresources to network plus-Value</v>
      </c>
    </row>
    <row r="3573" spans="1:15">
      <c r="A3573" t="s">
        <v>17336</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17334</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17336</v>
      </c>
      <c r="B3574" t="str">
        <f>'8C'!$AI$37</f>
        <v>BO_780543074</v>
      </c>
      <c r="D3574" t="str">
        <f>_xlfn.CONCAT('8C'!$B$36, "-", '8C'!$B$37, "-", '8C'!$H$34, "-", '8C'!$H$33)</f>
        <v>Energy (AMP 7 shadow reported values)-Energy consumption - bioresources-MWh (0 DPs)-Total</v>
      </c>
      <c r="E3574" t="str">
        <f>'8C'!$C$37</f>
        <v>SE Column Headings</v>
      </c>
      <c r="F3574" t="s">
        <v>17334</v>
      </c>
      <c r="G3574" t="str">
        <f>'8C'!$D$37</f>
        <v>SE Column Headings</v>
      </c>
      <c r="O3574" t="str">
        <f>_xlfn.CONCAT('8C'!$B$36, "-", '8C'!$B$37, "-", '8C'!$H$34, "-", '8C'!$H$33)</f>
        <v>Energy (AMP 7 shadow reported values)-Energy consumption - bioresources-MWh (0 DPs)-Total</v>
      </c>
    </row>
    <row r="3575" spans="1:15">
      <c r="A3575" t="s">
        <v>17336</v>
      </c>
      <c r="B3575" t="str">
        <f>'8C'!$AM$37</f>
        <v>B0002ECB_TOT</v>
      </c>
      <c r="D3575" t="str">
        <f>_xlfn.CONCAT('8C'!$B$36, "-", '8C'!$B$37, "-", '8C'!$L$34, "-", '8C'!$L$33)</f>
        <v>Energy (AMP 7 shadow reported values)-Energy consumption - bioresources-£m (3 DPs)-Total</v>
      </c>
      <c r="E3575" t="str">
        <f>'8C'!$C$37</f>
        <v>SE Column Headings</v>
      </c>
      <c r="F3575" t="s">
        <v>17334</v>
      </c>
      <c r="G3575" t="str">
        <f>'8C'!$D$37</f>
        <v>SE Column Headings</v>
      </c>
      <c r="O3575" t="str">
        <f>_xlfn.CONCAT('8C'!$B$36, "-", '8C'!$B$37, "-", '8C'!$L$34, "-", '8C'!$L$33)</f>
        <v>Energy (AMP 7 shadow reported values)-Energy consumption - bioresources-£m (3 DPs)-Total</v>
      </c>
    </row>
    <row r="3576" spans="1:15">
      <c r="A3576" t="s">
        <v>17336</v>
      </c>
      <c r="B3576" t="str">
        <f>'8C'!$AF$38</f>
        <v>B0002EGB_EP</v>
      </c>
      <c r="D3576" t="str">
        <f>_xlfn.CONCAT('8C'!$B$36, "-", '8C'!$B$38, "-", '8C'!$E$34, "-", '8C'!$E$33)</f>
        <v>Energy (AMP 7 shadow reported values)-Energy generated by and used in bioresources control-MWh (0 DPs)-Electricity</v>
      </c>
      <c r="E3576" t="str">
        <f>'8C'!$C$38</f>
        <v>SE Column Headings</v>
      </c>
      <c r="F3576" t="s">
        <v>17334</v>
      </c>
      <c r="G3576" t="str">
        <f>'8C'!$D$38</f>
        <v>SE Column Headings</v>
      </c>
      <c r="O3576" t="str">
        <f>_xlfn.CONCAT('8C'!$B$36, "-", '8C'!$B$38, "-", '8C'!$E$34, "-", '8C'!$E$33)</f>
        <v>Energy (AMP 7 shadow reported values)-Energy generated by and used in bioresources control-MWh (0 DPs)-Electricity</v>
      </c>
    </row>
    <row r="3577" spans="1:15">
      <c r="A3577" t="s">
        <v>17336</v>
      </c>
      <c r="B3577" t="str">
        <f>'8C'!$AG$38</f>
        <v>B0002EGB_HP</v>
      </c>
      <c r="D3577" t="str">
        <f>_xlfn.CONCAT('8C'!$B$36, "-", '8C'!$B$38, "-", '8C'!$F$34, "-", '8C'!$F$33)</f>
        <v>Energy (AMP 7 shadow reported values)-Energy generated by and used in bioresources control-MWh (0 DPs)-Heat</v>
      </c>
      <c r="E3577" t="str">
        <f>'8C'!$C$38</f>
        <v>SE Column Headings</v>
      </c>
      <c r="F3577" t="s">
        <v>17334</v>
      </c>
      <c r="G3577" t="str">
        <f>'8C'!$D$38</f>
        <v>SE Column Headings</v>
      </c>
      <c r="O3577" t="str">
        <f>_xlfn.CONCAT('8C'!$B$36, "-", '8C'!$B$38, "-", '8C'!$F$34, "-", '8C'!$F$33)</f>
        <v>Energy (AMP 7 shadow reported values)-Energy generated by and used in bioresources control-MWh (0 DPs)-Heat</v>
      </c>
    </row>
    <row r="3578" spans="1:15">
      <c r="A3578" t="s">
        <v>17336</v>
      </c>
      <c r="B3578" t="str">
        <f>'8C'!$AH$38</f>
        <v>B0002EGB_BP</v>
      </c>
      <c r="D3578" t="str">
        <f>_xlfn.CONCAT('8C'!$B$36, "-", '8C'!$B$38, "-", '8C'!$G$34, "-", '8C'!$G$33)</f>
        <v>Energy (AMP 7 shadow reported values)-Energy generated by and used in bioresources control-MWh (0 DPs)-Biomethane</v>
      </c>
      <c r="E3578" t="str">
        <f>'8C'!$C$38</f>
        <v>SE Column Headings</v>
      </c>
      <c r="F3578" t="s">
        <v>17334</v>
      </c>
      <c r="G3578" t="str">
        <f>'8C'!$D$38</f>
        <v>SE Column Headings</v>
      </c>
      <c r="O3578" t="str">
        <f>_xlfn.CONCAT('8C'!$B$36, "-", '8C'!$B$38, "-", '8C'!$G$34, "-", '8C'!$G$33)</f>
        <v>Energy (AMP 7 shadow reported values)-Energy generated by and used in bioresources control-MWh (0 DPs)-Biomethane</v>
      </c>
    </row>
    <row r="3579" spans="1:15">
      <c r="A3579" t="s">
        <v>17336</v>
      </c>
      <c r="B3579" t="str">
        <f>'8C'!$AI$38</f>
        <v>B0002EGB_TM</v>
      </c>
      <c r="D3579" t="str">
        <f>_xlfn.CONCAT('8C'!$B$36, "-", '8C'!$B$38, "-", '8C'!$H$34, "-", '8C'!$H$33)</f>
        <v>Energy (AMP 7 shadow reported values)-Energy generated by and used in bioresources control-MWh (0 DPs)-Total</v>
      </c>
      <c r="E3579" t="str">
        <f>'8C'!$C$38</f>
        <v>SE Column Headings</v>
      </c>
      <c r="F3579" t="s">
        <v>17334</v>
      </c>
      <c r="G3579" t="str">
        <f>'8C'!$D$38</f>
        <v>SE Column Headings</v>
      </c>
      <c r="O3579" t="str">
        <f>_xlfn.CONCAT('8C'!$B$36, "-", '8C'!$B$38, "-", '8C'!$H$34, "-", '8C'!$H$33)</f>
        <v>Energy (AMP 7 shadow reported values)-Energy generated by and used in bioresources control-MWh (0 DPs)-Total</v>
      </c>
    </row>
    <row r="3580" spans="1:15">
      <c r="A3580" t="s">
        <v>17336</v>
      </c>
      <c r="B3580" t="str">
        <f>'8C'!$AJ$38</f>
        <v>B0003EGB_EP</v>
      </c>
      <c r="D3580" t="str">
        <f>_xlfn.CONCAT('8C'!$B$36, "-", '8C'!$B$38, "-", '8C'!$I$34, "-", '8C'!$I$33)</f>
        <v>Energy (AMP 7 shadow reported values)-Energy generated by and used in bioresources control-£m (3 DPs)-Electricity</v>
      </c>
      <c r="E3580" t="str">
        <f>'8C'!$C$38</f>
        <v>SE Column Headings</v>
      </c>
      <c r="F3580" t="s">
        <v>17334</v>
      </c>
      <c r="G3580" t="str">
        <f>'8C'!$D$38</f>
        <v>SE Column Headings</v>
      </c>
      <c r="O3580" t="str">
        <f>_xlfn.CONCAT('8C'!$B$36, "-", '8C'!$B$38, "-", '8C'!$I$34, "-", '8C'!$I$33)</f>
        <v>Energy (AMP 7 shadow reported values)-Energy generated by and used in bioresources control-£m (3 DPs)-Electricity</v>
      </c>
    </row>
    <row r="3581" spans="1:15">
      <c r="A3581" t="s">
        <v>17336</v>
      </c>
      <c r="B3581" t="str">
        <f>'8C'!$AK$38</f>
        <v>B0003EGB_HP</v>
      </c>
      <c r="D3581" t="str">
        <f>_xlfn.CONCAT('8C'!$B$36, "-", '8C'!$B$38, "-", '8C'!$J$34, "-", '8C'!$J$33)</f>
        <v>Energy (AMP 7 shadow reported values)-Energy generated by and used in bioresources control-£m (3 DPs)-Heat</v>
      </c>
      <c r="E3581" t="str">
        <f>'8C'!$C$38</f>
        <v>SE Column Headings</v>
      </c>
      <c r="F3581" t="s">
        <v>17334</v>
      </c>
      <c r="G3581" t="str">
        <f>'8C'!$D$38</f>
        <v>SE Column Headings</v>
      </c>
      <c r="O3581" t="str">
        <f>_xlfn.CONCAT('8C'!$B$36, "-", '8C'!$B$38, "-", '8C'!$J$34, "-", '8C'!$J$33)</f>
        <v>Energy (AMP 7 shadow reported values)-Energy generated by and used in bioresources control-£m (3 DPs)-Heat</v>
      </c>
    </row>
    <row r="3582" spans="1:15">
      <c r="A3582" t="s">
        <v>17336</v>
      </c>
      <c r="B3582" t="str">
        <f>'8C'!$AL$38</f>
        <v>B0003EGB_BP</v>
      </c>
      <c r="D3582" t="str">
        <f>_xlfn.CONCAT('8C'!$B$36, "-", '8C'!$B$38, "-", '8C'!$K$34, "-", '8C'!$K$33)</f>
        <v>Energy (AMP 7 shadow reported values)-Energy generated by and used in bioresources control-£m (3 DPs)-Biomethane</v>
      </c>
      <c r="E3582" t="str">
        <f>'8C'!$C$38</f>
        <v>SE Column Headings</v>
      </c>
      <c r="F3582" t="s">
        <v>17334</v>
      </c>
      <c r="G3582" t="str">
        <f>'8C'!$D$38</f>
        <v>SE Column Headings</v>
      </c>
      <c r="O3582" t="str">
        <f>_xlfn.CONCAT('8C'!$B$36, "-", '8C'!$B$38, "-", '8C'!$K$34, "-", '8C'!$K$33)</f>
        <v>Energy (AMP 7 shadow reported values)-Energy generated by and used in bioresources control-£m (3 DPs)-Biomethane</v>
      </c>
    </row>
    <row r="3583" spans="1:15">
      <c r="A3583" t="s">
        <v>17336</v>
      </c>
      <c r="B3583" t="str">
        <f>'8C'!$AM$38</f>
        <v>B0002EGB_TP</v>
      </c>
      <c r="D3583" t="str">
        <f>_xlfn.CONCAT('8C'!$B$36, "-", '8C'!$B$38, "-", '8C'!$L$34, "-", '8C'!$L$33)</f>
        <v>Energy (AMP 7 shadow reported values)-Energy generated by and used in bioresources control-£m (3 DPs)-Total</v>
      </c>
      <c r="E3583" t="str">
        <f>'8C'!$C$38</f>
        <v>SE Column Headings</v>
      </c>
      <c r="F3583" t="s">
        <v>17334</v>
      </c>
      <c r="G3583" t="str">
        <f>'8C'!$D$38</f>
        <v>SE Column Headings</v>
      </c>
      <c r="O3583" t="str">
        <f>_xlfn.CONCAT('8C'!$B$36, "-", '8C'!$B$38, "-", '8C'!$L$34, "-", '8C'!$L$33)</f>
        <v>Energy (AMP 7 shadow reported values)-Energy generated by and used in bioresources control-£m (3 DPs)-Total</v>
      </c>
    </row>
    <row r="3584" spans="1:15">
      <c r="A3584" t="s">
        <v>17336</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17334</v>
      </c>
      <c r="G3584" t="str">
        <f>'8C'!$D$39</f>
        <v>SE Column Headings</v>
      </c>
      <c r="O3584" t="str">
        <f>_xlfn.CONCAT('8C'!$B$36, "-", '8C'!$B$39, "-", '8C'!$E$34, "-", '8C'!$E$33)</f>
        <v>Energy (AMP 7 shadow reported values)-Energy generated by bioresources and used in network plus control-MWh (0 DPs)-Electricity</v>
      </c>
    </row>
    <row r="3585" spans="1:15">
      <c r="A3585" t="s">
        <v>17336</v>
      </c>
      <c r="B3585" t="str">
        <f>'8C'!$AG$39</f>
        <v>B0002EGBM_HP</v>
      </c>
      <c r="D3585" t="str">
        <f>_xlfn.CONCAT('8C'!$B$36, "-", '8C'!$B$39, "-", '8C'!$F$34, "-", '8C'!$F$33)</f>
        <v>Energy (AMP 7 shadow reported values)-Energy generated by bioresources and used in network plus control-MWh (0 DPs)-Heat</v>
      </c>
      <c r="E3585" t="str">
        <f>'8C'!$C$39</f>
        <v>SE Column Headings</v>
      </c>
      <c r="F3585" t="s">
        <v>17334</v>
      </c>
      <c r="G3585" t="str">
        <f>'8C'!$D$39</f>
        <v>SE Column Headings</v>
      </c>
      <c r="O3585" t="str">
        <f>_xlfn.CONCAT('8C'!$B$36, "-", '8C'!$B$39, "-", '8C'!$F$34, "-", '8C'!$F$33)</f>
        <v>Energy (AMP 7 shadow reported values)-Energy generated by bioresources and used in network plus control-MWh (0 DPs)-Heat</v>
      </c>
    </row>
    <row r="3586" spans="1:15">
      <c r="A3586" t="s">
        <v>17336</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17334</v>
      </c>
      <c r="G3586" t="str">
        <f>'8C'!$D$39</f>
        <v>SE Column Headings</v>
      </c>
      <c r="O3586" t="str">
        <f>_xlfn.CONCAT('8C'!$B$36, "-", '8C'!$B$39, "-", '8C'!$G$34, "-", '8C'!$G$33)</f>
        <v>Energy (AMP 7 shadow reported values)-Energy generated by bioresources and used in network plus control-MWh (0 DPs)-Biomethane</v>
      </c>
    </row>
    <row r="3587" spans="1:15">
      <c r="A3587" t="s">
        <v>17336</v>
      </c>
      <c r="B3587" t="str">
        <f>'8C'!$AI$39</f>
        <v>B0002EGBM_TM</v>
      </c>
      <c r="D3587" t="str">
        <f>_xlfn.CONCAT('8C'!$B$36, "-", '8C'!$B$39, "-", '8C'!$H$34, "-", '8C'!$H$33)</f>
        <v>Energy (AMP 7 shadow reported values)-Energy generated by bioresources and used in network plus control-MWh (0 DPs)-Total</v>
      </c>
      <c r="E3587" t="str">
        <f>'8C'!$C$39</f>
        <v>SE Column Headings</v>
      </c>
      <c r="F3587" t="s">
        <v>17334</v>
      </c>
      <c r="G3587" t="str">
        <f>'8C'!$D$39</f>
        <v>SE Column Headings</v>
      </c>
      <c r="O3587" t="str">
        <f>_xlfn.CONCAT('8C'!$B$36, "-", '8C'!$B$39, "-", '8C'!$H$34, "-", '8C'!$H$33)</f>
        <v>Energy (AMP 7 shadow reported values)-Energy generated by bioresources and used in network plus control-MWh (0 DPs)-Total</v>
      </c>
    </row>
    <row r="3588" spans="1:15">
      <c r="A3588" t="s">
        <v>17336</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17334</v>
      </c>
      <c r="G3588" t="str">
        <f>'8C'!$D$39</f>
        <v>SE Column Headings</v>
      </c>
      <c r="O3588" t="str">
        <f>_xlfn.CONCAT('8C'!$B$36, "-", '8C'!$B$39, "-", '8C'!$I$34, "-", '8C'!$I$33)</f>
        <v>Energy (AMP 7 shadow reported values)-Energy generated by bioresources and used in network plus control-£m (3 DPs)-Electricity</v>
      </c>
    </row>
    <row r="3589" spans="1:15">
      <c r="A3589" t="s">
        <v>17336</v>
      </c>
      <c r="B3589" t="str">
        <f>'8C'!$AK$39</f>
        <v>B0003EGBM_HP</v>
      </c>
      <c r="D3589" t="str">
        <f>_xlfn.CONCAT('8C'!$B$36, "-", '8C'!$B$39, "-", '8C'!$J$34, "-", '8C'!$J$33)</f>
        <v>Energy (AMP 7 shadow reported values)-Energy generated by bioresources and used in network plus control-£m (3 DPs)-Heat</v>
      </c>
      <c r="E3589" t="str">
        <f>'8C'!$C$39</f>
        <v>SE Column Headings</v>
      </c>
      <c r="F3589" t="s">
        <v>17334</v>
      </c>
      <c r="G3589" t="str">
        <f>'8C'!$D$39</f>
        <v>SE Column Headings</v>
      </c>
      <c r="O3589" t="str">
        <f>_xlfn.CONCAT('8C'!$B$36, "-", '8C'!$B$39, "-", '8C'!$J$34, "-", '8C'!$J$33)</f>
        <v>Energy (AMP 7 shadow reported values)-Energy generated by bioresources and used in network plus control-£m (3 DPs)-Heat</v>
      </c>
    </row>
    <row r="3590" spans="1:15">
      <c r="A3590" t="s">
        <v>17336</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17334</v>
      </c>
      <c r="G3590" t="str">
        <f>'8C'!$D$39</f>
        <v>SE Column Headings</v>
      </c>
      <c r="O3590" t="str">
        <f>_xlfn.CONCAT('8C'!$B$36, "-", '8C'!$B$39, "-", '8C'!$K$34, "-", '8C'!$K$33)</f>
        <v>Energy (AMP 7 shadow reported values)-Energy generated by bioresources and used in network plus control-£m (3 DPs)-Biomethane</v>
      </c>
    </row>
    <row r="3591" spans="1:15">
      <c r="A3591" t="s">
        <v>17336</v>
      </c>
      <c r="B3591" t="str">
        <f>'8C'!$AM$39</f>
        <v>B0002EGBM_TP</v>
      </c>
      <c r="D3591" t="str">
        <f>_xlfn.CONCAT('8C'!$B$36, "-", '8C'!$B$39, "-", '8C'!$L$34, "-", '8C'!$L$33)</f>
        <v>Energy (AMP 7 shadow reported values)-Energy generated by bioresources and used in network plus control-£m (3 DPs)-Total</v>
      </c>
      <c r="E3591" t="str">
        <f>'8C'!$C$39</f>
        <v>SE Column Headings</v>
      </c>
      <c r="F3591" t="s">
        <v>17334</v>
      </c>
      <c r="G3591" t="str">
        <f>'8C'!$D$39</f>
        <v>SE Column Headings</v>
      </c>
      <c r="O3591" t="str">
        <f>_xlfn.CONCAT('8C'!$B$36, "-", '8C'!$B$39, "-", '8C'!$L$34, "-", '8C'!$L$33)</f>
        <v>Energy (AMP 7 shadow reported values)-Energy generated by bioresources and used in network plus control-£m (3 DPs)-Total</v>
      </c>
    </row>
    <row r="3592" spans="1:15">
      <c r="A3592" t="s">
        <v>17336</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17334</v>
      </c>
      <c r="G3592" t="str">
        <f>'8C'!$D$40</f>
        <v>SE Column Headings</v>
      </c>
      <c r="O3592" t="str">
        <f>_xlfn.CONCAT('8C'!$B$36, "-", '8C'!$B$40, "-", '8C'!$E$34, "-", '8C'!$E$33)</f>
        <v>Energy (AMP 7 shadow reported values)-Energy generated by bioresources and exported to the grid or third party-MWh (0 DPs)-Electricity</v>
      </c>
    </row>
    <row r="3593" spans="1:15">
      <c r="A3593" t="s">
        <v>17336</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17334</v>
      </c>
      <c r="G3593" t="str">
        <f>'8C'!$D$40</f>
        <v>SE Column Headings</v>
      </c>
      <c r="O3593" t="str">
        <f>_xlfn.CONCAT('8C'!$B$36, "-", '8C'!$B$40, "-", '8C'!$F$34, "-", '8C'!$F$33)</f>
        <v>Energy (AMP 7 shadow reported values)-Energy generated by bioresources and exported to the grid or third party-MWh (0 DPs)-Heat</v>
      </c>
    </row>
    <row r="3594" spans="1:15">
      <c r="A3594" t="s">
        <v>17336</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17334</v>
      </c>
      <c r="G3594" t="str">
        <f>'8C'!$D$40</f>
        <v>SE Column Headings</v>
      </c>
      <c r="O3594" t="str">
        <f>_xlfn.CONCAT('8C'!$B$36, "-", '8C'!$B$40, "-", '8C'!$G$34, "-", '8C'!$G$33)</f>
        <v>Energy (AMP 7 shadow reported values)-Energy generated by bioresources and exported to the grid or third party-MWh (0 DPs)-Biomethane</v>
      </c>
    </row>
    <row r="3595" spans="1:15">
      <c r="A3595" t="s">
        <v>17336</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17334</v>
      </c>
      <c r="G3595" t="str">
        <f>'8C'!$D$40</f>
        <v>SE Column Headings</v>
      </c>
      <c r="O3595" t="str">
        <f>_xlfn.CONCAT('8C'!$B$36, "-", '8C'!$B$40, "-", '8C'!$H$34, "-", '8C'!$H$33)</f>
        <v>Energy (AMP 7 shadow reported values)-Energy generated by bioresources and exported to the grid or third party-MWh (0 DPs)-Total</v>
      </c>
    </row>
    <row r="3596" spans="1:15">
      <c r="A3596" t="s">
        <v>17336</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17334</v>
      </c>
      <c r="G3596" t="str">
        <f>'8C'!$D$40</f>
        <v>SE Column Headings</v>
      </c>
      <c r="O3596" t="str">
        <f>_xlfn.CONCAT('8C'!$B$36, "-", '8C'!$B$40, "-", '8C'!$I$34, "-", '8C'!$I$33)</f>
        <v>Energy (AMP 7 shadow reported values)-Energy generated by bioresources and exported to the grid or third party-£m (3 DPs)-Electricity</v>
      </c>
    </row>
    <row r="3597" spans="1:15">
      <c r="A3597" t="s">
        <v>17336</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17334</v>
      </c>
      <c r="G3597" t="str">
        <f>'8C'!$D$40</f>
        <v>SE Column Headings</v>
      </c>
      <c r="O3597" t="str">
        <f>_xlfn.CONCAT('8C'!$B$36, "-", '8C'!$B$40, "-", '8C'!$J$34, "-", '8C'!$J$33)</f>
        <v>Energy (AMP 7 shadow reported values)-Energy generated by bioresources and exported to the grid or third party-£m (3 DPs)-Heat</v>
      </c>
    </row>
    <row r="3598" spans="1:15">
      <c r="A3598" t="s">
        <v>17336</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17334</v>
      </c>
      <c r="G3598" t="str">
        <f>'8C'!$D$40</f>
        <v>SE Column Headings</v>
      </c>
      <c r="O3598" t="str">
        <f>_xlfn.CONCAT('8C'!$B$36, "-", '8C'!$B$40, "-", '8C'!$K$34, "-", '8C'!$K$33)</f>
        <v>Energy (AMP 7 shadow reported values)-Energy generated by bioresources and exported to the grid or third party-£m (3 DPs)-Biomethane</v>
      </c>
    </row>
    <row r="3599" spans="1:15">
      <c r="A3599" t="s">
        <v>17336</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17334</v>
      </c>
      <c r="G3599" t="str">
        <f>'8C'!$D$40</f>
        <v>SE Column Headings</v>
      </c>
      <c r="O3599" t="str">
        <f>_xlfn.CONCAT('8C'!$B$36, "-", '8C'!$B$40, "-", '8C'!$L$34, "-", '8C'!$L$33)</f>
        <v>Energy (AMP 7 shadow reported values)-Energy generated by bioresources and exported to the grid or third party-£m (3 DPs)-Total</v>
      </c>
    </row>
    <row r="3600" spans="1:15">
      <c r="A3600" t="s">
        <v>17336</v>
      </c>
      <c r="B3600" t="str">
        <f>'8C'!$AF$41</f>
        <v>B0002EGBU_EP</v>
      </c>
      <c r="D3600" t="str">
        <f>_xlfn.CONCAT('8C'!$B$36, "-", '8C'!$B$41, "-", '8C'!$E$34, "-", '8C'!$E$33)</f>
        <v>Energy (AMP 7 shadow reported values)-Energy generated by bioresources that is unused-MWh (0 DPs)-Electricity</v>
      </c>
      <c r="E3600" t="str">
        <f>'8C'!$C$41</f>
        <v>SE Column Headings</v>
      </c>
      <c r="F3600" t="s">
        <v>17334</v>
      </c>
      <c r="G3600" t="str">
        <f>'8C'!$D$41</f>
        <v>SE Column Headings</v>
      </c>
      <c r="O3600" t="str">
        <f>_xlfn.CONCAT('8C'!$B$36, "-", '8C'!$B$41, "-", '8C'!$E$34, "-", '8C'!$E$33)</f>
        <v>Energy (AMP 7 shadow reported values)-Energy generated by bioresources that is unused-MWh (0 DPs)-Electricity</v>
      </c>
    </row>
    <row r="3601" spans="1:15">
      <c r="A3601" t="s">
        <v>17336</v>
      </c>
      <c r="B3601" t="str">
        <f>'8C'!$AG$41</f>
        <v>B0002EGBU_HP</v>
      </c>
      <c r="D3601" t="str">
        <f>_xlfn.CONCAT('8C'!$B$36, "-", '8C'!$B$41, "-", '8C'!$F$34, "-", '8C'!$F$33)</f>
        <v>Energy (AMP 7 shadow reported values)-Energy generated by bioresources that is unused-MWh (0 DPs)-Heat</v>
      </c>
      <c r="E3601" t="str">
        <f>'8C'!$C$41</f>
        <v>SE Column Headings</v>
      </c>
      <c r="F3601" t="s">
        <v>17334</v>
      </c>
      <c r="G3601" t="str">
        <f>'8C'!$D$41</f>
        <v>SE Column Headings</v>
      </c>
      <c r="O3601" t="str">
        <f>_xlfn.CONCAT('8C'!$B$36, "-", '8C'!$B$41, "-", '8C'!$F$34, "-", '8C'!$F$33)</f>
        <v>Energy (AMP 7 shadow reported values)-Energy generated by bioresources that is unused-MWh (0 DPs)-Heat</v>
      </c>
    </row>
    <row r="3602" spans="1:15">
      <c r="A3602" t="s">
        <v>17336</v>
      </c>
      <c r="B3602" t="str">
        <f>'8C'!$AH$41</f>
        <v>B0002EGBU_BP</v>
      </c>
      <c r="D3602" t="str">
        <f>_xlfn.CONCAT('8C'!$B$36, "-", '8C'!$B$41, "-", '8C'!$G$34, "-", '8C'!$G$33)</f>
        <v>Energy (AMP 7 shadow reported values)-Energy generated by bioresources that is unused-MWh (0 DPs)-Biomethane</v>
      </c>
      <c r="E3602" t="str">
        <f>'8C'!$C$41</f>
        <v>SE Column Headings</v>
      </c>
      <c r="F3602" t="s">
        <v>17334</v>
      </c>
      <c r="G3602" t="str">
        <f>'8C'!$D$41</f>
        <v>SE Column Headings</v>
      </c>
      <c r="O3602" t="str">
        <f>_xlfn.CONCAT('8C'!$B$36, "-", '8C'!$B$41, "-", '8C'!$G$34, "-", '8C'!$G$33)</f>
        <v>Energy (AMP 7 shadow reported values)-Energy generated by bioresources that is unused-MWh (0 DPs)-Biomethane</v>
      </c>
    </row>
    <row r="3603" spans="1:15">
      <c r="A3603" t="s">
        <v>17336</v>
      </c>
      <c r="B3603" t="str">
        <f>'8C'!$AI$41</f>
        <v>B0002EGBU_TM</v>
      </c>
      <c r="D3603" t="str">
        <f>_xlfn.CONCAT('8C'!$B$36, "-", '8C'!$B$41, "-", '8C'!$H$34, "-", '8C'!$H$33)</f>
        <v>Energy (AMP 7 shadow reported values)-Energy generated by bioresources that is unused-MWh (0 DPs)-Total</v>
      </c>
      <c r="E3603" t="str">
        <f>'8C'!$C$41</f>
        <v>SE Column Headings</v>
      </c>
      <c r="F3603" t="s">
        <v>17334</v>
      </c>
      <c r="G3603" t="str">
        <f>'8C'!$D$41</f>
        <v>SE Column Headings</v>
      </c>
      <c r="O3603" t="str">
        <f>_xlfn.CONCAT('8C'!$B$36, "-", '8C'!$B$41, "-", '8C'!$H$34, "-", '8C'!$H$33)</f>
        <v>Energy (AMP 7 shadow reported values)-Energy generated by bioresources that is unused-MWh (0 DPs)-Total</v>
      </c>
    </row>
    <row r="3604" spans="1:15">
      <c r="A3604" t="s">
        <v>17336</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17334</v>
      </c>
      <c r="G3604" t="str">
        <f>'8C'!$D$42</f>
        <v>SE Column Headings</v>
      </c>
      <c r="O3604" t="str">
        <f>_xlfn.CONCAT('8C'!$B$36, "-", '8C'!$B$42, "-", '8C'!$E$34, "-", '8C'!$E$33)</f>
        <v>Energy (AMP 7 shadow reported values)-Energy bought from grid or third party and used in bioresources control-MWh (0 DPs)-Electricity</v>
      </c>
    </row>
    <row r="3605" spans="1:15">
      <c r="A3605" t="s">
        <v>17336</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17334</v>
      </c>
      <c r="G3605" t="str">
        <f>'8C'!$D$42</f>
        <v>SE Column Headings</v>
      </c>
      <c r="O3605" t="str">
        <f>_xlfn.CONCAT('8C'!$B$36, "-", '8C'!$B$42, "-", '8C'!$F$34, "-", '8C'!$F$33)</f>
        <v>Energy (AMP 7 shadow reported values)-Energy bought from grid or third party and used in bioresources control-MWh (0 DPs)-Heat</v>
      </c>
    </row>
    <row r="3606" spans="1:15">
      <c r="A3606" t="s">
        <v>17336</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17334</v>
      </c>
      <c r="G3606" t="str">
        <f>'8C'!$D$42</f>
        <v>SE Column Headings</v>
      </c>
      <c r="O3606" t="str">
        <f>_xlfn.CONCAT('8C'!$B$36, "-", '8C'!$B$42, "-", '8C'!$G$34, "-", '8C'!$G$33)</f>
        <v>Energy (AMP 7 shadow reported values)-Energy bought from grid or third party and used in bioresources control-MWh (0 DPs)-Biomethane</v>
      </c>
    </row>
    <row r="3607" spans="1:15">
      <c r="A3607" t="s">
        <v>17336</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17334</v>
      </c>
      <c r="G3607" t="str">
        <f>'8C'!$D$42</f>
        <v>SE Column Headings</v>
      </c>
      <c r="O3607" t="str">
        <f>_xlfn.CONCAT('8C'!$B$36, "-", '8C'!$B$42, "-", '8C'!$H$34, "-", '8C'!$H$33)</f>
        <v>Energy (AMP 7 shadow reported values)-Energy bought from grid or third party and used in bioresources control-MWh (0 DPs)-Total</v>
      </c>
    </row>
    <row r="3608" spans="1:15">
      <c r="A3608" t="s">
        <v>17336</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17334</v>
      </c>
      <c r="G3608" t="str">
        <f>'8C'!$D$42</f>
        <v>SE Column Headings</v>
      </c>
      <c r="O3608" t="str">
        <f>_xlfn.CONCAT('8C'!$B$36, "-", '8C'!$B$42, "-", '8C'!$I$34, "-", '8C'!$I$33)</f>
        <v>Energy (AMP 7 shadow reported values)-Energy bought from grid or third party and used in bioresources control-£m (3 DPs)-Electricity</v>
      </c>
    </row>
    <row r="3609" spans="1:15">
      <c r="A3609" t="s">
        <v>17336</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17334</v>
      </c>
      <c r="G3609" t="str">
        <f>'8C'!$D$42</f>
        <v>SE Column Headings</v>
      </c>
      <c r="O3609" t="str">
        <f>_xlfn.CONCAT('8C'!$B$36, "-", '8C'!$B$42, "-", '8C'!$J$34, "-", '8C'!$J$33)</f>
        <v>Energy (AMP 7 shadow reported values)-Energy bought from grid or third party and used in bioresources control-£m (3 DPs)-Heat</v>
      </c>
    </row>
    <row r="3610" spans="1:15">
      <c r="A3610" t="s">
        <v>17336</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17334</v>
      </c>
      <c r="G3610" t="str">
        <f>'8C'!$D$42</f>
        <v>SE Column Headings</v>
      </c>
      <c r="O3610" t="str">
        <f>_xlfn.CONCAT('8C'!$B$36, "-", '8C'!$B$42, "-", '8C'!$K$34, "-", '8C'!$K$33)</f>
        <v>Energy (AMP 7 shadow reported values)-Energy bought from grid or third party and used in bioresources control-£m (3 DPs)-Biomethane</v>
      </c>
    </row>
    <row r="3611" spans="1:15">
      <c r="A3611" t="s">
        <v>17336</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17334</v>
      </c>
      <c r="G3611" t="str">
        <f>'8C'!$D$42</f>
        <v>SE Column Headings</v>
      </c>
      <c r="O3611" t="str">
        <f>_xlfn.CONCAT('8C'!$B$36, "-", '8C'!$B$42, "-", '8C'!$L$34, "-", '8C'!$L$33)</f>
        <v>Energy (AMP 7 shadow reported values)-Energy bought from grid or third party and used in bioresources control-£m (3 DPs)-Total</v>
      </c>
    </row>
    <row r="3612" spans="1:15">
      <c r="A3612" t="s">
        <v>17344</v>
      </c>
      <c r="B3612" t="str">
        <f>'9A'!$AK$8</f>
        <v>IC5001CYA</v>
      </c>
      <c r="D3612" t="str">
        <f>_xlfn.CONCAT('9A'!$B$7, "-", '9A'!$B$8, "-", '9A'!$E$5)</f>
        <v>Allowed-Allocated innovation competition fund price control revenue-Current year</v>
      </c>
      <c r="E3612" t="str">
        <f>'9A'!$C$8</f>
        <v>£m</v>
      </c>
      <c r="F3612" t="s">
        <v>17334</v>
      </c>
      <c r="G3612">
        <f>'9A'!$D$8</f>
        <v>3</v>
      </c>
      <c r="O3612" t="str">
        <f>_xlfn.CONCAT('9A'!$B$7, "-", '9A'!$B$8, "-", '9A'!$E$5)</f>
        <v>Allowed-Allocated innovation competition fund price control revenue-Current year</v>
      </c>
    </row>
    <row r="3613" spans="1:15">
      <c r="A3613" t="s">
        <v>17344</v>
      </c>
      <c r="B3613" t="str">
        <f>'9A'!$AK$11</f>
        <v>IC5002CYA</v>
      </c>
      <c r="D3613" t="str">
        <f>_xlfn.CONCAT('9A'!$B$10, "-", '9A'!$B$11, "-", '9A'!$E$5)</f>
        <v>Revenue collected for the purposes of the innovation competition-Innovation fund income from customers -Current year</v>
      </c>
      <c r="E3613" t="str">
        <f>'9A'!$C$11</f>
        <v>£m</v>
      </c>
      <c r="F3613" t="s">
        <v>17334</v>
      </c>
      <c r="G3613">
        <f>'9A'!$D$11</f>
        <v>3</v>
      </c>
      <c r="O3613" t="str">
        <f>_xlfn.CONCAT('9A'!$B$10, "-", '9A'!$B$11, "-", '9A'!$E$5)</f>
        <v>Revenue collected for the purposes of the innovation competition-Innovation fund income from customers -Current year</v>
      </c>
    </row>
    <row r="3614" spans="1:15">
      <c r="A3614" t="s">
        <v>17344</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17334</v>
      </c>
      <c r="G3614">
        <f>'9A'!$D$12</f>
        <v>3</v>
      </c>
      <c r="O3614" t="str">
        <f>_xlfn.CONCAT('9A'!$B$10, "-", '9A'!$B$12, "-", '9A'!$E$5)</f>
        <v>Revenue collected for the purposes of the innovation competition-Income from customers to fund innovation projects the company is leading on-Current year</v>
      </c>
    </row>
    <row r="3615" spans="1:15">
      <c r="A3615" t="s">
        <v>17344</v>
      </c>
      <c r="B3615" t="str">
        <f>'9A'!$AK$13</f>
        <v>BO_9784058</v>
      </c>
      <c r="D3615" t="str">
        <f>_xlfn.CONCAT('9A'!$B$10, "-", '9A'!$B$13, "-", '9A'!$E$5)</f>
        <v>Revenue collected for the purposes of the innovation competition-Income from customers as part of the inflation top-up mechanism-Current year</v>
      </c>
      <c r="E3615" t="str">
        <f>'9A'!$C$13</f>
        <v>£m</v>
      </c>
      <c r="F3615" t="s">
        <v>17334</v>
      </c>
      <c r="G3615">
        <f>'9A'!$D$13</f>
        <v>3</v>
      </c>
      <c r="O3615" t="str">
        <f>_xlfn.CONCAT('9A'!$B$10, "-", '9A'!$B$13, "-", '9A'!$E$5)</f>
        <v>Revenue collected for the purposes of the innovation competition-Income from customers as part of the inflation top-up mechanism-Current year</v>
      </c>
    </row>
    <row r="3616" spans="1:15">
      <c r="A3616" t="s">
        <v>17344</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17334</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17344</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17334</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17344</v>
      </c>
      <c r="B3618" t="str">
        <f>'9A'!$AK$16</f>
        <v>IC5006CYA</v>
      </c>
      <c r="D3618" t="str">
        <f>_xlfn.CONCAT('9A'!$B$10, "-", '9A'!$B$16, "-", '9A'!$E$5)</f>
        <v>Revenue collected for the purposes of the innovation competition-Non-price control revenue (e.g. royalties)-Current year</v>
      </c>
      <c r="E3618" t="str">
        <f>'9A'!$C$16</f>
        <v>£m</v>
      </c>
      <c r="F3618" t="s">
        <v>17334</v>
      </c>
      <c r="G3618">
        <f>'9A'!$D$16</f>
        <v>3</v>
      </c>
      <c r="O3618" t="str">
        <f>_xlfn.CONCAT('9A'!$B$10, "-", '9A'!$B$16, "-", '9A'!$E$5)</f>
        <v>Revenue collected for the purposes of the innovation competition-Non-price control revenue (e.g. royalties)-Current year</v>
      </c>
    </row>
    <row r="3619" spans="1:15">
      <c r="A3619" t="s">
        <v>17344</v>
      </c>
      <c r="B3619" t="str">
        <f>'9A'!$AK$19</f>
        <v>BO_2962522</v>
      </c>
      <c r="D3619" t="str">
        <f>_xlfn.CONCAT('9A'!$B$18, "-", '9A'!$B$19, "-", '9A'!$E$5)</f>
        <v>Administration-Administration charge for innovation partner-Current year</v>
      </c>
      <c r="E3619" t="str">
        <f>'9A'!$C$19</f>
        <v>£m</v>
      </c>
      <c r="F3619" t="s">
        <v>17334</v>
      </c>
      <c r="G3619">
        <f>'9A'!$D$19</f>
        <v>3</v>
      </c>
      <c r="O3619" t="str">
        <f>_xlfn.CONCAT('9A'!$B$18, "-", '9A'!$B$19, "-", '9A'!$E$5)</f>
        <v>Administration-Administration charge for innovation partner-Current year</v>
      </c>
    </row>
    <row r="3620" spans="1:15">
      <c r="A3620" s="2607" t="s">
        <v>17344</v>
      </c>
      <c r="B3620" t="str">
        <f>'9A'!$AK$25</f>
        <v>BO_4593973</v>
      </c>
      <c r="D3620" s="2607" t="s">
        <v>17930</v>
      </c>
      <c r="E3620" t="s">
        <v>4215</v>
      </c>
      <c r="F3620" t="s">
        <v>17334</v>
      </c>
      <c r="G3620">
        <v>3</v>
      </c>
      <c r="O3620" t="str">
        <f>D3620</f>
        <v>Innovation project 1 -Total amount of funding awarded to the lead company through the innovation fund</v>
      </c>
    </row>
    <row r="3621" spans="1:15">
      <c r="A3621" s="2607" t="s">
        <v>17344</v>
      </c>
      <c r="B3621" t="str">
        <f>'9A'!$AL$25</f>
        <v>BO_6262597</v>
      </c>
      <c r="D3621" s="2607" t="s">
        <v>17931</v>
      </c>
      <c r="E3621" t="s">
        <v>4215</v>
      </c>
      <c r="F3621" t="s">
        <v>17334</v>
      </c>
      <c r="G3621">
        <v>3</v>
      </c>
      <c r="O3621" t="str">
        <f t="shared" ref="O3621:O3632" si="15">D3621</f>
        <v>Innovation project 1 -Total amount of inflation top-up funding received</v>
      </c>
    </row>
    <row r="3622" spans="1:15">
      <c r="A3622" s="2607" t="s">
        <v>17344</v>
      </c>
      <c r="B3622" t="str">
        <f>'9A'!$AM$25</f>
        <v>BO_5728166</v>
      </c>
      <c r="D3622" s="2607" t="s">
        <v>17932</v>
      </c>
      <c r="E3622" t="s">
        <v>4215</v>
      </c>
      <c r="F3622" t="s">
        <v>17334</v>
      </c>
      <c r="G3622">
        <v>3</v>
      </c>
      <c r="O3622" t="str">
        <f t="shared" si="15"/>
        <v>Innovation project 1 -Forecast expenditure on innovation fund projects in year (excl 10% partnership contribution)</v>
      </c>
    </row>
    <row r="3623" spans="1:15">
      <c r="A3623" s="2607" t="s">
        <v>17344</v>
      </c>
      <c r="B3623" t="str">
        <f>'9A'!$AN$25</f>
        <v>BO_9595975</v>
      </c>
      <c r="D3623" s="2607" t="s">
        <v>17933</v>
      </c>
      <c r="E3623" t="s">
        <v>4215</v>
      </c>
      <c r="F3623" t="s">
        <v>17334</v>
      </c>
      <c r="G3623">
        <v>3</v>
      </c>
      <c r="O3623" t="str">
        <f t="shared" si="15"/>
        <v>Innovation project 1 -Actual expenditure on innovation fund projects in year (excl 10% partnership contribution)</v>
      </c>
    </row>
    <row r="3624" spans="1:15">
      <c r="A3624" s="2607" t="s">
        <v>17344</v>
      </c>
      <c r="B3624" t="str">
        <f>'9A'!$AO$25</f>
        <v>BO_8753577</v>
      </c>
      <c r="D3624" s="2607" t="s">
        <v>17934</v>
      </c>
      <c r="E3624" t="s">
        <v>4215</v>
      </c>
      <c r="F3624" t="s">
        <v>17334</v>
      </c>
      <c r="G3624">
        <v>3</v>
      </c>
      <c r="O3624" t="str">
        <f t="shared" si="15"/>
        <v xml:space="preserve">Innovation project 1 -Difference between actual and forecast expenditure </v>
      </c>
    </row>
    <row r="3625" spans="1:15">
      <c r="A3625" s="2607" t="s">
        <v>17344</v>
      </c>
      <c r="B3625" t="str">
        <f>'9A'!$AP$25</f>
        <v>BO_7166343</v>
      </c>
      <c r="D3625" s="2607" t="s">
        <v>17935</v>
      </c>
      <c r="E3625" t="s">
        <v>4215</v>
      </c>
      <c r="F3625" t="s">
        <v>17334</v>
      </c>
      <c r="G3625">
        <v>3</v>
      </c>
      <c r="O3625" t="str">
        <f t="shared" si="15"/>
        <v>Innovation project 1 -Forecast project lifecycle expenditure on innovation fund projects (excl 10% partnership contribution)</v>
      </c>
    </row>
    <row r="3626" spans="1:15">
      <c r="A3626" s="2607" t="s">
        <v>17344</v>
      </c>
      <c r="B3626" t="str">
        <f>'9A'!$AQ$25</f>
        <v>BO_7374000</v>
      </c>
      <c r="D3626" s="2607" t="s">
        <v>17936</v>
      </c>
      <c r="E3626" t="s">
        <v>4215</v>
      </c>
      <c r="F3626" t="s">
        <v>17334</v>
      </c>
      <c r="G3626">
        <v>3</v>
      </c>
      <c r="O3626" t="str">
        <f t="shared" si="15"/>
        <v>Innovation project 1 -Cumulative actual expenditure on innovation fund projects (excl 10% partnership contribution)</v>
      </c>
    </row>
    <row r="3627" spans="1:15">
      <c r="A3627" s="2607" t="s">
        <v>17344</v>
      </c>
      <c r="B3627" t="str">
        <f>'9A'!$AR$25</f>
        <v>BO_2253155</v>
      </c>
      <c r="D3627" s="2607" t="s">
        <v>17934</v>
      </c>
      <c r="E3627" t="s">
        <v>4215</v>
      </c>
      <c r="F3627" t="s">
        <v>17334</v>
      </c>
      <c r="G3627">
        <v>3</v>
      </c>
      <c r="O3627" t="str">
        <f t="shared" si="15"/>
        <v xml:space="preserve">Innovation project 1 -Difference between actual and forecast expenditure </v>
      </c>
    </row>
    <row r="3628" spans="1:15">
      <c r="A3628" s="2607" t="s">
        <v>17344</v>
      </c>
      <c r="B3628" t="str">
        <f>'9A'!$AS$25</f>
        <v>BO_3373114</v>
      </c>
      <c r="D3628" s="2607" t="s">
        <v>17937</v>
      </c>
      <c r="E3628" t="s">
        <v>4215</v>
      </c>
      <c r="F3628" t="s">
        <v>17334</v>
      </c>
      <c r="G3628">
        <v>3</v>
      </c>
      <c r="O3628" t="str">
        <f t="shared" si="15"/>
        <v>Innovation project 1 -Allowed future expenditure on innovation fund projects (excl 10% partnership contribution)</v>
      </c>
    </row>
    <row r="3629" spans="1:15">
      <c r="A3629" s="2607" t="s">
        <v>17344</v>
      </c>
      <c r="B3629" t="str">
        <f>'9A'!$AT$25</f>
        <v>BO_7640563</v>
      </c>
      <c r="D3629" s="2608" t="s">
        <v>17941</v>
      </c>
      <c r="E3629" t="s">
        <v>4215</v>
      </c>
      <c r="F3629" t="s">
        <v>17334</v>
      </c>
      <c r="G3629">
        <v>3</v>
      </c>
      <c r="O3629" t="str">
        <f t="shared" si="15"/>
        <v>Innovation project 1 -In year expenditure on innovation projects funded by shareholders of the lead water company</v>
      </c>
    </row>
    <row r="3630" spans="1:15">
      <c r="A3630" s="2607" t="s">
        <v>17344</v>
      </c>
      <c r="B3630" t="str">
        <f>'9A'!$AU$25</f>
        <v>BO23_7640563</v>
      </c>
      <c r="D3630" s="2608" t="s">
        <v>17942</v>
      </c>
      <c r="E3630" t="s">
        <v>4215</v>
      </c>
      <c r="F3630" t="s">
        <v>17334</v>
      </c>
      <c r="G3630">
        <v>3</v>
      </c>
      <c r="O3630" t="str">
        <f t="shared" si="15"/>
        <v>Innovation project 1 -In year expenditure on innovation projects funded by project  partner contributions</v>
      </c>
    </row>
    <row r="3631" spans="1:15">
      <c r="A3631" s="2607" t="s">
        <v>17344</v>
      </c>
      <c r="B3631" t="str">
        <f>'9A'!$AV$25</f>
        <v>BO_3165168</v>
      </c>
      <c r="D3631" s="2607" t="s">
        <v>17938</v>
      </c>
      <c r="E3631" t="s">
        <v>4215</v>
      </c>
      <c r="F3631" t="s">
        <v>17334</v>
      </c>
      <c r="G3631">
        <v>3</v>
      </c>
      <c r="O3631" t="str">
        <f t="shared" si="15"/>
        <v>Innovation project 1 -Cumulative expenditure on innovation projects funded by shareholders of the lead water company</v>
      </c>
    </row>
    <row r="3632" spans="1:15">
      <c r="A3632" s="2607" t="s">
        <v>17344</v>
      </c>
      <c r="B3632" t="str">
        <f>'9A'!$AW$25</f>
        <v>BO23_3165168</v>
      </c>
      <c r="D3632" s="2607" t="s">
        <v>17939</v>
      </c>
      <c r="E3632" t="s">
        <v>4215</v>
      </c>
      <c r="F3632" t="s">
        <v>17334</v>
      </c>
      <c r="G3632">
        <v>3</v>
      </c>
      <c r="O3632" t="str">
        <f t="shared" si="15"/>
        <v>Innovation project 1 -Cumulative expenditure on innovation projects funded by project partner contributions</v>
      </c>
    </row>
    <row r="3633" spans="1:15">
      <c r="A3633" t="s">
        <v>17344</v>
      </c>
      <c r="B3633" t="str">
        <f>'9A'!$AK$26</f>
        <v>BO_1864509</v>
      </c>
      <c r="D3633" s="2607" t="s">
        <v>17943</v>
      </c>
      <c r="E3633" t="s">
        <v>4215</v>
      </c>
      <c r="F3633" t="s">
        <v>17334</v>
      </c>
      <c r="G3633">
        <v>3</v>
      </c>
      <c r="O3633" t="str">
        <f>D3633</f>
        <v>Innovation project 2 -Total amount of funding awarded to the lead company through the innovation fund</v>
      </c>
    </row>
    <row r="3634" spans="1:15">
      <c r="A3634" t="s">
        <v>17344</v>
      </c>
      <c r="B3634" t="str">
        <f>'9A'!$AL$26</f>
        <v>BO_4539015</v>
      </c>
      <c r="D3634" s="2607" t="s">
        <v>17944</v>
      </c>
      <c r="E3634" t="s">
        <v>4215</v>
      </c>
      <c r="F3634" t="s">
        <v>17334</v>
      </c>
      <c r="G3634">
        <v>3</v>
      </c>
      <c r="O3634" t="str">
        <f t="shared" ref="O3634:O3645" si="16">D3634</f>
        <v>Innovation project 2 -Total amount of inflation top-up funding received</v>
      </c>
    </row>
    <row r="3635" spans="1:15">
      <c r="A3635" t="s">
        <v>17344</v>
      </c>
      <c r="B3635" t="str">
        <f>'9A'!$AM$26</f>
        <v>BO_3673371</v>
      </c>
      <c r="D3635" s="2607" t="s">
        <v>17971</v>
      </c>
      <c r="E3635" t="s">
        <v>4215</v>
      </c>
      <c r="F3635" t="s">
        <v>17334</v>
      </c>
      <c r="G3635">
        <v>3</v>
      </c>
      <c r="O3635" t="str">
        <f t="shared" si="16"/>
        <v>Innovation project 2 -Forecast expenditure on innovation fund projects in year (excl 10% partnership contribution)</v>
      </c>
    </row>
    <row r="3636" spans="1:15">
      <c r="A3636" t="s">
        <v>17344</v>
      </c>
      <c r="B3636" t="str">
        <f>'9A'!$AN$26</f>
        <v>BO_9135301</v>
      </c>
      <c r="D3636" s="2607" t="s">
        <v>17972</v>
      </c>
      <c r="E3636" t="s">
        <v>4215</v>
      </c>
      <c r="F3636" t="s">
        <v>17334</v>
      </c>
      <c r="G3636">
        <v>3</v>
      </c>
      <c r="O3636" t="str">
        <f t="shared" si="16"/>
        <v>Innovation project 2 -Actual expenditure on innovation fund projects in year (excl 10% partnership contribution)</v>
      </c>
    </row>
    <row r="3637" spans="1:15">
      <c r="A3637" t="s">
        <v>17344</v>
      </c>
      <c r="B3637" t="str">
        <f>'9A'!$AO$26</f>
        <v>BO_5022348</v>
      </c>
      <c r="D3637" s="2607" t="s">
        <v>17945</v>
      </c>
      <c r="E3637" t="s">
        <v>4215</v>
      </c>
      <c r="F3637" t="s">
        <v>17334</v>
      </c>
      <c r="G3637">
        <v>3</v>
      </c>
      <c r="O3637" t="str">
        <f t="shared" si="16"/>
        <v xml:space="preserve">Innovation project 2 -Difference between actual and forecast expenditure </v>
      </c>
    </row>
    <row r="3638" spans="1:15">
      <c r="A3638" t="s">
        <v>17344</v>
      </c>
      <c r="B3638" t="str">
        <f>'9A'!$AP$26</f>
        <v>BO_297806</v>
      </c>
      <c r="D3638" s="2607" t="s">
        <v>17973</v>
      </c>
      <c r="E3638" t="s">
        <v>4215</v>
      </c>
      <c r="F3638" t="s">
        <v>17334</v>
      </c>
      <c r="G3638">
        <v>3</v>
      </c>
      <c r="O3638" t="str">
        <f t="shared" si="16"/>
        <v>Innovation project 2 -Forecast project lifecycle expenditure on innovation fund projects (excl 10% partnership contribution)</v>
      </c>
    </row>
    <row r="3639" spans="1:15">
      <c r="A3639" t="s">
        <v>17344</v>
      </c>
      <c r="B3639" t="str">
        <f>'9A'!$AQ$26</f>
        <v>BO_1679948</v>
      </c>
      <c r="D3639" s="2607" t="s">
        <v>17974</v>
      </c>
      <c r="E3639" t="s">
        <v>4215</v>
      </c>
      <c r="F3639" t="s">
        <v>17334</v>
      </c>
      <c r="G3639">
        <v>3</v>
      </c>
      <c r="O3639" t="str">
        <f t="shared" si="16"/>
        <v>Innovation project 2 -Cumulative actual expenditure on innovation fund projects (excl 10% partnership contribution)</v>
      </c>
    </row>
    <row r="3640" spans="1:15">
      <c r="A3640" t="s">
        <v>17344</v>
      </c>
      <c r="B3640" t="str">
        <f>'9A'!$AR$26</f>
        <v>BO_1088090</v>
      </c>
      <c r="D3640" s="2607" t="s">
        <v>17945</v>
      </c>
      <c r="E3640" t="s">
        <v>4215</v>
      </c>
      <c r="F3640" t="s">
        <v>17334</v>
      </c>
      <c r="G3640">
        <v>3</v>
      </c>
      <c r="O3640" t="str">
        <f t="shared" si="16"/>
        <v xml:space="preserve">Innovation project 2 -Difference between actual and forecast expenditure </v>
      </c>
    </row>
    <row r="3641" spans="1:15">
      <c r="A3641" t="s">
        <v>17344</v>
      </c>
      <c r="B3641" t="str">
        <f>'9A'!$AS$26</f>
        <v>BO_943397</v>
      </c>
      <c r="D3641" s="2607" t="s">
        <v>17975</v>
      </c>
      <c r="E3641" t="s">
        <v>4215</v>
      </c>
      <c r="F3641" t="s">
        <v>17334</v>
      </c>
      <c r="G3641">
        <v>3</v>
      </c>
      <c r="O3641" t="str">
        <f t="shared" si="16"/>
        <v>Innovation project 2 -Allowed future expenditure on innovation fund projects (excl 10% partnership contribution)</v>
      </c>
    </row>
    <row r="3642" spans="1:15">
      <c r="A3642" t="s">
        <v>17344</v>
      </c>
      <c r="B3642" t="str">
        <f>'9A'!$AT$26</f>
        <v>BO_487889</v>
      </c>
      <c r="D3642" s="2608" t="s">
        <v>17946</v>
      </c>
      <c r="E3642" t="s">
        <v>4215</v>
      </c>
      <c r="F3642" t="s">
        <v>17334</v>
      </c>
      <c r="G3642">
        <v>3</v>
      </c>
      <c r="O3642" t="str">
        <f t="shared" si="16"/>
        <v>Innovation project 2 -In year expenditure on innovation projects funded by shareholders of the lead water company</v>
      </c>
    </row>
    <row r="3643" spans="1:15">
      <c r="A3643" t="s">
        <v>17344</v>
      </c>
      <c r="B3643" t="str">
        <f>'9A'!$AU$26</f>
        <v>BO23_487889</v>
      </c>
      <c r="D3643" s="2608" t="s">
        <v>17947</v>
      </c>
      <c r="E3643" t="s">
        <v>4215</v>
      </c>
      <c r="F3643" t="s">
        <v>17334</v>
      </c>
      <c r="G3643">
        <v>3</v>
      </c>
      <c r="O3643" t="str">
        <f t="shared" si="16"/>
        <v>Innovation project 2 -In year expenditure on innovation projects funded by project  partner contributions</v>
      </c>
    </row>
    <row r="3644" spans="1:15">
      <c r="A3644" t="s">
        <v>17344</v>
      </c>
      <c r="B3644" t="str">
        <f>'9A'!$AV$26</f>
        <v>BO_3137918</v>
      </c>
      <c r="D3644" s="2607" t="s">
        <v>17948</v>
      </c>
      <c r="E3644" t="s">
        <v>4215</v>
      </c>
      <c r="F3644" t="s">
        <v>17334</v>
      </c>
      <c r="G3644">
        <v>3</v>
      </c>
      <c r="O3644" t="str">
        <f t="shared" si="16"/>
        <v>Innovation project 2 -Cumulative expenditure on innovation projects funded by shareholders of the lead water company</v>
      </c>
    </row>
    <row r="3645" spans="1:15">
      <c r="A3645" t="s">
        <v>17344</v>
      </c>
      <c r="B3645" t="str">
        <f>'9A'!$AW$26</f>
        <v>BO23_3137918</v>
      </c>
      <c r="D3645" s="2607" t="s">
        <v>17949</v>
      </c>
      <c r="E3645" t="s">
        <v>4215</v>
      </c>
      <c r="F3645" t="s">
        <v>17334</v>
      </c>
      <c r="G3645">
        <v>3</v>
      </c>
      <c r="O3645" t="str">
        <f t="shared" si="16"/>
        <v>Innovation project 2 -Cumulative expenditure on innovation projects funded by project partner contributions</v>
      </c>
    </row>
    <row r="3646" spans="1:15">
      <c r="A3646" t="s">
        <v>17344</v>
      </c>
      <c r="B3646" t="str">
        <f>'9A'!$AK$27</f>
        <v>BO_6235227</v>
      </c>
      <c r="D3646" s="2607" t="s">
        <v>17950</v>
      </c>
      <c r="E3646" t="s">
        <v>4215</v>
      </c>
      <c r="F3646" t="s">
        <v>17334</v>
      </c>
      <c r="G3646">
        <v>3</v>
      </c>
      <c r="O3646" t="str">
        <f>D3646</f>
        <v>Innovation project 3 -Total amount of funding awarded to the lead company through the innovation fund</v>
      </c>
    </row>
    <row r="3647" spans="1:15">
      <c r="A3647" t="s">
        <v>17344</v>
      </c>
      <c r="B3647" t="str">
        <f>'9A'!$AL$27</f>
        <v>BO_626958</v>
      </c>
      <c r="D3647" s="2607" t="s">
        <v>17951</v>
      </c>
      <c r="E3647" t="s">
        <v>4215</v>
      </c>
      <c r="F3647" t="s">
        <v>17334</v>
      </c>
      <c r="G3647">
        <v>3</v>
      </c>
      <c r="O3647" t="str">
        <f t="shared" ref="O3647:O3658" si="17">D3647</f>
        <v>Innovation project 3 -Total amount of inflation top-up funding received</v>
      </c>
    </row>
    <row r="3648" spans="1:15">
      <c r="A3648" t="s">
        <v>17344</v>
      </c>
      <c r="B3648" t="str">
        <f>'9A'!$AM$27</f>
        <v>BO_3551548</v>
      </c>
      <c r="D3648" s="2607" t="s">
        <v>17976</v>
      </c>
      <c r="E3648" t="s">
        <v>4215</v>
      </c>
      <c r="F3648" t="s">
        <v>17334</v>
      </c>
      <c r="G3648">
        <v>3</v>
      </c>
      <c r="O3648" t="str">
        <f t="shared" si="17"/>
        <v>Innovation project 3 -Forecast expenditure on innovation fund projects in year (excl 10% partnership contribution)</v>
      </c>
    </row>
    <row r="3649" spans="1:15">
      <c r="A3649" t="s">
        <v>17344</v>
      </c>
      <c r="B3649" t="str">
        <f>'9A'!$AN$27</f>
        <v>BO_592209</v>
      </c>
      <c r="D3649" s="2607" t="s">
        <v>17977</v>
      </c>
      <c r="E3649" t="s">
        <v>4215</v>
      </c>
      <c r="F3649" t="s">
        <v>17334</v>
      </c>
      <c r="G3649">
        <v>3</v>
      </c>
      <c r="O3649" t="str">
        <f t="shared" si="17"/>
        <v>Innovation project 3 -Actual expenditure on innovation fund projects in year (excl 10% partnership contribution)</v>
      </c>
    </row>
    <row r="3650" spans="1:15">
      <c r="A3650" t="s">
        <v>17344</v>
      </c>
      <c r="B3650" t="str">
        <f>'9A'!$AO$27</f>
        <v>BO_9994906</v>
      </c>
      <c r="D3650" s="2607" t="s">
        <v>17952</v>
      </c>
      <c r="E3650" t="s">
        <v>4215</v>
      </c>
      <c r="F3650" t="s">
        <v>17334</v>
      </c>
      <c r="G3650">
        <v>3</v>
      </c>
      <c r="O3650" t="str">
        <f t="shared" si="17"/>
        <v xml:space="preserve">Innovation project 3 -Difference between actual and forecast expenditure </v>
      </c>
    </row>
    <row r="3651" spans="1:15">
      <c r="A3651" t="s">
        <v>17344</v>
      </c>
      <c r="B3651" t="str">
        <f>'9A'!$AP$27</f>
        <v>BO_8735056</v>
      </c>
      <c r="D3651" s="2607" t="s">
        <v>17978</v>
      </c>
      <c r="E3651" t="s">
        <v>4215</v>
      </c>
      <c r="F3651" t="s">
        <v>17334</v>
      </c>
      <c r="G3651">
        <v>3</v>
      </c>
      <c r="O3651" t="str">
        <f t="shared" si="17"/>
        <v>Innovation project 3 -Forecast project lifecycle expenditure on innovation fund projects (excl 10% partnership contribution)</v>
      </c>
    </row>
    <row r="3652" spans="1:15">
      <c r="A3652" t="s">
        <v>17344</v>
      </c>
      <c r="B3652" t="str">
        <f>'9A'!$AQ$27</f>
        <v>BO_4236024</v>
      </c>
      <c r="D3652" s="2607" t="s">
        <v>17979</v>
      </c>
      <c r="E3652" t="s">
        <v>4215</v>
      </c>
      <c r="F3652" t="s">
        <v>17334</v>
      </c>
      <c r="G3652">
        <v>3</v>
      </c>
      <c r="O3652" t="str">
        <f t="shared" si="17"/>
        <v>Innovation project 3 -Cumulative actual expenditure on innovation fund projects (excl 10% partnership contribution)</v>
      </c>
    </row>
    <row r="3653" spans="1:15">
      <c r="A3653" t="s">
        <v>17344</v>
      </c>
      <c r="B3653" t="str">
        <f>'9A'!$AR$27</f>
        <v>BO_366046</v>
      </c>
      <c r="D3653" s="2607" t="s">
        <v>17952</v>
      </c>
      <c r="E3653" t="s">
        <v>4215</v>
      </c>
      <c r="F3653" t="s">
        <v>17334</v>
      </c>
      <c r="G3653">
        <v>3</v>
      </c>
      <c r="O3653" t="str">
        <f t="shared" si="17"/>
        <v xml:space="preserve">Innovation project 3 -Difference between actual and forecast expenditure </v>
      </c>
    </row>
    <row r="3654" spans="1:15">
      <c r="A3654" t="s">
        <v>17344</v>
      </c>
      <c r="B3654" t="str">
        <f>'9A'!$AS$27</f>
        <v>BO_9666744</v>
      </c>
      <c r="D3654" s="2607" t="s">
        <v>17980</v>
      </c>
      <c r="E3654" t="s">
        <v>4215</v>
      </c>
      <c r="F3654" t="s">
        <v>17334</v>
      </c>
      <c r="G3654">
        <v>3</v>
      </c>
      <c r="O3654" t="str">
        <f t="shared" si="17"/>
        <v>Innovation project 3 -Allowed future expenditure on innovation fund projects (excl 10% partnership contribution)</v>
      </c>
    </row>
    <row r="3655" spans="1:15">
      <c r="A3655" t="s">
        <v>17344</v>
      </c>
      <c r="B3655" t="str">
        <f>'9A'!$AT$27</f>
        <v>BO_1126087</v>
      </c>
      <c r="D3655" s="2608" t="s">
        <v>17953</v>
      </c>
      <c r="E3655" t="s">
        <v>4215</v>
      </c>
      <c r="F3655" t="s">
        <v>17334</v>
      </c>
      <c r="G3655">
        <v>3</v>
      </c>
      <c r="O3655" t="str">
        <f t="shared" si="17"/>
        <v>Innovation project 3 -In year expenditure on innovation projects funded by shareholders of the lead water company</v>
      </c>
    </row>
    <row r="3656" spans="1:15">
      <c r="A3656" t="s">
        <v>17344</v>
      </c>
      <c r="B3656" t="str">
        <f>'9A'!$AU$27</f>
        <v>BO23_1126087</v>
      </c>
      <c r="D3656" s="2608" t="s">
        <v>17954</v>
      </c>
      <c r="E3656" t="s">
        <v>4215</v>
      </c>
      <c r="F3656" t="s">
        <v>17334</v>
      </c>
      <c r="G3656">
        <v>3</v>
      </c>
      <c r="O3656" t="str">
        <f t="shared" si="17"/>
        <v>Innovation project 3 -In year expenditure on innovation projects funded by project  partner contributions</v>
      </c>
    </row>
    <row r="3657" spans="1:15">
      <c r="A3657" t="s">
        <v>17344</v>
      </c>
      <c r="B3657" t="str">
        <f>'9A'!$AV$27</f>
        <v>BO_8687860</v>
      </c>
      <c r="D3657" s="2607" t="s">
        <v>17955</v>
      </c>
      <c r="E3657" t="s">
        <v>4215</v>
      </c>
      <c r="F3657" t="s">
        <v>17334</v>
      </c>
      <c r="G3657">
        <v>3</v>
      </c>
      <c r="O3657" t="str">
        <f t="shared" si="17"/>
        <v>Innovation project 3 -Cumulative expenditure on innovation projects funded by shareholders of the lead water company</v>
      </c>
    </row>
    <row r="3658" spans="1:15">
      <c r="A3658" t="s">
        <v>17344</v>
      </c>
      <c r="B3658" t="str">
        <f>'9A'!$AW$27</f>
        <v>BO23_8687860</v>
      </c>
      <c r="D3658" s="2607" t="s">
        <v>17956</v>
      </c>
      <c r="E3658" t="s">
        <v>4215</v>
      </c>
      <c r="F3658" t="s">
        <v>17334</v>
      </c>
      <c r="G3658">
        <v>3</v>
      </c>
      <c r="O3658" t="str">
        <f t="shared" si="17"/>
        <v>Innovation project 3 -Cumulative expenditure on innovation projects funded by project partner contributions</v>
      </c>
    </row>
    <row r="3659" spans="1:15">
      <c r="A3659" t="s">
        <v>17344</v>
      </c>
      <c r="B3659" t="str">
        <f>'9A'!$AK$28</f>
        <v>BO_1343884</v>
      </c>
      <c r="D3659" s="2607" t="s">
        <v>17957</v>
      </c>
      <c r="E3659" t="s">
        <v>4215</v>
      </c>
      <c r="F3659" t="s">
        <v>17334</v>
      </c>
      <c r="G3659">
        <v>3</v>
      </c>
      <c r="O3659" t="str">
        <f>D3659</f>
        <v>Innovation project 4 -Total amount of funding awarded to the lead company through the innovation fund</v>
      </c>
    </row>
    <row r="3660" spans="1:15">
      <c r="A3660" t="s">
        <v>17344</v>
      </c>
      <c r="B3660" t="str">
        <f>'9A'!$AL$28</f>
        <v>BO_3435854</v>
      </c>
      <c r="D3660" s="2607" t="s">
        <v>17958</v>
      </c>
      <c r="E3660" t="s">
        <v>4215</v>
      </c>
      <c r="F3660" t="s">
        <v>17334</v>
      </c>
      <c r="G3660">
        <v>3</v>
      </c>
      <c r="O3660" t="str">
        <f t="shared" ref="O3660:O3671" si="18">D3660</f>
        <v>Innovation project 4 -Total amount of inflation top-up funding received</v>
      </c>
    </row>
    <row r="3661" spans="1:15">
      <c r="A3661" t="s">
        <v>17344</v>
      </c>
      <c r="B3661" t="str">
        <f>'9A'!$AM$28</f>
        <v>BO_8245468</v>
      </c>
      <c r="D3661" s="2607" t="s">
        <v>17981</v>
      </c>
      <c r="E3661" t="s">
        <v>4215</v>
      </c>
      <c r="F3661" t="s">
        <v>17334</v>
      </c>
      <c r="G3661">
        <v>3</v>
      </c>
      <c r="O3661" t="str">
        <f t="shared" si="18"/>
        <v>Innovation project 4 -Forecast expenditure on innovation fund projects in year (excl 10% partnership contribution)</v>
      </c>
    </row>
    <row r="3662" spans="1:15">
      <c r="A3662" t="s">
        <v>17344</v>
      </c>
      <c r="B3662" t="str">
        <f>'9A'!$AN$28</f>
        <v>BO_5801516</v>
      </c>
      <c r="D3662" s="2607" t="s">
        <v>17982</v>
      </c>
      <c r="E3662" t="s">
        <v>4215</v>
      </c>
      <c r="F3662" t="s">
        <v>17334</v>
      </c>
      <c r="G3662">
        <v>3</v>
      </c>
      <c r="O3662" t="str">
        <f t="shared" si="18"/>
        <v>Innovation project 4 -Actual expenditure on innovation fund projects in year (excl 10% partnership contribution)</v>
      </c>
    </row>
    <row r="3663" spans="1:15">
      <c r="A3663" t="s">
        <v>17344</v>
      </c>
      <c r="B3663" t="str">
        <f>'9A'!$AO$28</f>
        <v>BO_4235757</v>
      </c>
      <c r="D3663" s="2607" t="s">
        <v>17959</v>
      </c>
      <c r="E3663" t="s">
        <v>4215</v>
      </c>
      <c r="F3663" t="s">
        <v>17334</v>
      </c>
      <c r="G3663">
        <v>3</v>
      </c>
      <c r="O3663" t="str">
        <f t="shared" si="18"/>
        <v xml:space="preserve">Innovation project 4 -Difference between actual and forecast expenditure </v>
      </c>
    </row>
    <row r="3664" spans="1:15">
      <c r="A3664" t="s">
        <v>17344</v>
      </c>
      <c r="B3664" t="str">
        <f>'9A'!$AP$28</f>
        <v>BO_1697609</v>
      </c>
      <c r="D3664" s="2607" t="s">
        <v>17983</v>
      </c>
      <c r="E3664" t="s">
        <v>4215</v>
      </c>
      <c r="F3664" t="s">
        <v>17334</v>
      </c>
      <c r="G3664">
        <v>3</v>
      </c>
      <c r="O3664" t="str">
        <f t="shared" si="18"/>
        <v>Innovation project 4 -Forecast project lifecycle expenditure on innovation fund projects (excl 10% partnership contribution)</v>
      </c>
    </row>
    <row r="3665" spans="1:15">
      <c r="A3665" t="s">
        <v>17344</v>
      </c>
      <c r="B3665" t="str">
        <f>'9A'!$AQ$28</f>
        <v>BO_1263220</v>
      </c>
      <c r="D3665" s="2607" t="s">
        <v>17984</v>
      </c>
      <c r="E3665" t="s">
        <v>4215</v>
      </c>
      <c r="F3665" t="s">
        <v>17334</v>
      </c>
      <c r="G3665">
        <v>3</v>
      </c>
      <c r="O3665" t="str">
        <f t="shared" si="18"/>
        <v>Innovation project 4 -Cumulative actual expenditure on innovation fund projects (excl 10% partnership contribution)</v>
      </c>
    </row>
    <row r="3666" spans="1:15">
      <c r="A3666" t="s">
        <v>17344</v>
      </c>
      <c r="B3666" t="str">
        <f>'9A'!$AR$28</f>
        <v>BO_3803198</v>
      </c>
      <c r="D3666" s="2607" t="s">
        <v>17959</v>
      </c>
      <c r="E3666" t="s">
        <v>4215</v>
      </c>
      <c r="F3666" t="s">
        <v>17334</v>
      </c>
      <c r="G3666">
        <v>3</v>
      </c>
      <c r="O3666" t="str">
        <f t="shared" si="18"/>
        <v xml:space="preserve">Innovation project 4 -Difference between actual and forecast expenditure </v>
      </c>
    </row>
    <row r="3667" spans="1:15">
      <c r="A3667" t="s">
        <v>17344</v>
      </c>
      <c r="B3667" t="str">
        <f>'9A'!$AS$28</f>
        <v>BO_6300866</v>
      </c>
      <c r="D3667" s="2607" t="s">
        <v>17985</v>
      </c>
      <c r="E3667" t="s">
        <v>4215</v>
      </c>
      <c r="F3667" t="s">
        <v>17334</v>
      </c>
      <c r="G3667">
        <v>3</v>
      </c>
      <c r="O3667" t="str">
        <f t="shared" si="18"/>
        <v>Innovation project 4 -Allowed future expenditure on innovation fund projects (excl 10% partnership contribution)</v>
      </c>
    </row>
    <row r="3668" spans="1:15">
      <c r="A3668" t="s">
        <v>17344</v>
      </c>
      <c r="B3668" t="str">
        <f>'9A'!$AT$28</f>
        <v>BO_2005000</v>
      </c>
      <c r="D3668" s="2608" t="s">
        <v>17960</v>
      </c>
      <c r="E3668" t="s">
        <v>4215</v>
      </c>
      <c r="F3668" t="s">
        <v>17334</v>
      </c>
      <c r="G3668">
        <v>3</v>
      </c>
      <c r="O3668" t="str">
        <f t="shared" si="18"/>
        <v>Innovation project 4 -In year expenditure on innovation projects funded by shareholders of the lead water company</v>
      </c>
    </row>
    <row r="3669" spans="1:15">
      <c r="A3669" t="s">
        <v>17344</v>
      </c>
      <c r="B3669" t="str">
        <f>'9A'!$AU$28</f>
        <v>BO23_2005000</v>
      </c>
      <c r="D3669" s="2608" t="s">
        <v>17961</v>
      </c>
      <c r="E3669" t="s">
        <v>4215</v>
      </c>
      <c r="F3669" t="s">
        <v>17334</v>
      </c>
      <c r="G3669">
        <v>3</v>
      </c>
      <c r="O3669" t="str">
        <f t="shared" si="18"/>
        <v>Innovation project 4 -In year expenditure on innovation projects funded by project  partner contributions</v>
      </c>
    </row>
    <row r="3670" spans="1:15">
      <c r="A3670" t="s">
        <v>17344</v>
      </c>
      <c r="B3670" t="str">
        <f>'9A'!$AV$28</f>
        <v>BO_3004429</v>
      </c>
      <c r="D3670" s="2607" t="s">
        <v>17962</v>
      </c>
      <c r="E3670" t="s">
        <v>4215</v>
      </c>
      <c r="F3670" t="s">
        <v>17334</v>
      </c>
      <c r="G3670">
        <v>3</v>
      </c>
      <c r="O3670" t="str">
        <f t="shared" si="18"/>
        <v>Innovation project 4 -Cumulative expenditure on innovation projects funded by shareholders of the lead water company</v>
      </c>
    </row>
    <row r="3671" spans="1:15">
      <c r="A3671" t="s">
        <v>17344</v>
      </c>
      <c r="B3671" t="str">
        <f>'9A'!$AW$28</f>
        <v>BO23_3004429</v>
      </c>
      <c r="D3671" s="2607" t="s">
        <v>17963</v>
      </c>
      <c r="E3671" t="s">
        <v>4215</v>
      </c>
      <c r="F3671" t="s">
        <v>17334</v>
      </c>
      <c r="G3671">
        <v>3</v>
      </c>
      <c r="O3671" t="str">
        <f t="shared" si="18"/>
        <v>Innovation project 4 -Cumulative expenditure on innovation projects funded by project partner contributions</v>
      </c>
    </row>
    <row r="3672" spans="1:15">
      <c r="A3672" t="s">
        <v>17344</v>
      </c>
      <c r="B3672" t="str">
        <f>'9A'!$AK$29</f>
        <v>BO_9121046</v>
      </c>
      <c r="D3672" s="2607" t="s">
        <v>17964</v>
      </c>
      <c r="E3672" t="s">
        <v>4215</v>
      </c>
      <c r="F3672" t="s">
        <v>17334</v>
      </c>
      <c r="G3672">
        <v>3</v>
      </c>
      <c r="O3672" t="str">
        <f>D3672</f>
        <v>Innovation project 5 -Total amount of funding awarded to the lead company through the innovation fund</v>
      </c>
    </row>
    <row r="3673" spans="1:15">
      <c r="A3673" t="s">
        <v>17344</v>
      </c>
      <c r="B3673" t="str">
        <f>'9A'!$AL$29</f>
        <v>BO_1037964</v>
      </c>
      <c r="D3673" s="2607" t="s">
        <v>17965</v>
      </c>
      <c r="E3673" t="s">
        <v>4215</v>
      </c>
      <c r="F3673" t="s">
        <v>17334</v>
      </c>
      <c r="G3673">
        <v>3</v>
      </c>
      <c r="O3673" t="str">
        <f t="shared" ref="O3673:O3684" si="19">D3673</f>
        <v>Innovation project 5 -Total amount of inflation top-up funding received</v>
      </c>
    </row>
    <row r="3674" spans="1:15">
      <c r="A3674" t="s">
        <v>17344</v>
      </c>
      <c r="B3674" t="str">
        <f>'9A'!$AM$29</f>
        <v>BO_9197207</v>
      </c>
      <c r="D3674" s="2607" t="s">
        <v>17986</v>
      </c>
      <c r="E3674" t="s">
        <v>4215</v>
      </c>
      <c r="F3674" t="s">
        <v>17334</v>
      </c>
      <c r="G3674">
        <v>3</v>
      </c>
      <c r="O3674" t="str">
        <f t="shared" si="19"/>
        <v>Innovation project 5 -Forecast expenditure on innovation fund projects in year (excl 10% partnership contribution)</v>
      </c>
    </row>
    <row r="3675" spans="1:15">
      <c r="A3675" t="s">
        <v>17344</v>
      </c>
      <c r="B3675" t="str">
        <f>'9A'!$AN$29</f>
        <v>BO_7748929</v>
      </c>
      <c r="D3675" s="2607" t="s">
        <v>17987</v>
      </c>
      <c r="E3675" t="s">
        <v>4215</v>
      </c>
      <c r="F3675" t="s">
        <v>17334</v>
      </c>
      <c r="G3675">
        <v>3</v>
      </c>
      <c r="O3675" t="str">
        <f t="shared" si="19"/>
        <v>Innovation project 5 -Actual expenditure on innovation fund projects in year (excl 10% partnership contribution)</v>
      </c>
    </row>
    <row r="3676" spans="1:15">
      <c r="A3676" t="s">
        <v>17344</v>
      </c>
      <c r="B3676" t="str">
        <f>'9A'!$AO$29</f>
        <v>BO_2536664</v>
      </c>
      <c r="D3676" s="2607" t="s">
        <v>17966</v>
      </c>
      <c r="E3676" t="s">
        <v>4215</v>
      </c>
      <c r="F3676" t="s">
        <v>17334</v>
      </c>
      <c r="G3676">
        <v>3</v>
      </c>
      <c r="O3676" t="str">
        <f t="shared" si="19"/>
        <v xml:space="preserve">Innovation project 5 -Difference between actual and forecast expenditure </v>
      </c>
    </row>
    <row r="3677" spans="1:15">
      <c r="A3677" t="s">
        <v>17344</v>
      </c>
      <c r="B3677" t="str">
        <f>'9A'!$AP$29</f>
        <v>BO_3860065</v>
      </c>
      <c r="D3677" s="2607" t="s">
        <v>17988</v>
      </c>
      <c r="E3677" t="s">
        <v>4215</v>
      </c>
      <c r="F3677" t="s">
        <v>17334</v>
      </c>
      <c r="G3677">
        <v>3</v>
      </c>
      <c r="O3677" t="str">
        <f t="shared" si="19"/>
        <v>Innovation project 5 -Forecast project lifecycle expenditure on innovation fund projects (excl 10% partnership contribution)</v>
      </c>
    </row>
    <row r="3678" spans="1:15">
      <c r="A3678" t="s">
        <v>17344</v>
      </c>
      <c r="B3678" t="str">
        <f>'9A'!$AQ$29</f>
        <v>BO_9321288</v>
      </c>
      <c r="D3678" s="2607" t="s">
        <v>17989</v>
      </c>
      <c r="E3678" t="s">
        <v>4215</v>
      </c>
      <c r="F3678" t="s">
        <v>17334</v>
      </c>
      <c r="G3678">
        <v>3</v>
      </c>
      <c r="O3678" t="str">
        <f t="shared" si="19"/>
        <v>Innovation project 5 -Cumulative actual expenditure on innovation fund projects (excl 10% partnership contribution)</v>
      </c>
    </row>
    <row r="3679" spans="1:15">
      <c r="A3679" t="s">
        <v>17344</v>
      </c>
      <c r="B3679" t="str">
        <f>'9A'!$AR$29</f>
        <v>BO_1269653</v>
      </c>
      <c r="D3679" s="2607" t="s">
        <v>17966</v>
      </c>
      <c r="E3679" t="s">
        <v>4215</v>
      </c>
      <c r="F3679" t="s">
        <v>17334</v>
      </c>
      <c r="G3679">
        <v>3</v>
      </c>
      <c r="O3679" t="str">
        <f t="shared" si="19"/>
        <v xml:space="preserve">Innovation project 5 -Difference between actual and forecast expenditure </v>
      </c>
    </row>
    <row r="3680" spans="1:15">
      <c r="A3680" t="s">
        <v>17344</v>
      </c>
      <c r="B3680" t="str">
        <f>'9A'!$AS$29</f>
        <v>BO_1927262</v>
      </c>
      <c r="D3680" s="2607" t="s">
        <v>17990</v>
      </c>
      <c r="E3680" t="s">
        <v>4215</v>
      </c>
      <c r="F3680" t="s">
        <v>17334</v>
      </c>
      <c r="G3680">
        <v>3</v>
      </c>
      <c r="O3680" t="str">
        <f t="shared" si="19"/>
        <v>Innovation project 5 -Allowed future expenditure on innovation fund projects (excl 10% partnership contribution)</v>
      </c>
    </row>
    <row r="3681" spans="1:15">
      <c r="A3681" t="s">
        <v>17344</v>
      </c>
      <c r="B3681" t="str">
        <f>'9A'!$AT$29</f>
        <v>BO_1925837</v>
      </c>
      <c r="D3681" s="2608" t="s">
        <v>17967</v>
      </c>
      <c r="E3681" t="s">
        <v>4215</v>
      </c>
      <c r="F3681" t="s">
        <v>17334</v>
      </c>
      <c r="G3681">
        <v>3</v>
      </c>
      <c r="O3681" t="str">
        <f t="shared" si="19"/>
        <v>Innovation project 5 -In year expenditure on innovation projects funded by shareholders of the lead water company</v>
      </c>
    </row>
    <row r="3682" spans="1:15">
      <c r="A3682" t="s">
        <v>17344</v>
      </c>
      <c r="B3682" t="str">
        <f>'9A'!$AU$29</f>
        <v>BO23_1925837</v>
      </c>
      <c r="D3682" s="2608" t="s">
        <v>17968</v>
      </c>
      <c r="E3682" t="s">
        <v>4215</v>
      </c>
      <c r="F3682" t="s">
        <v>17334</v>
      </c>
      <c r="G3682">
        <v>3</v>
      </c>
      <c r="O3682" t="str">
        <f t="shared" si="19"/>
        <v>Innovation project 5 -In year expenditure on innovation projects funded by project  partner contributions</v>
      </c>
    </row>
    <row r="3683" spans="1:15">
      <c r="A3683" t="s">
        <v>17344</v>
      </c>
      <c r="B3683" t="str">
        <f>'9A'!$AV$29</f>
        <v>BO_3695559</v>
      </c>
      <c r="D3683" s="2607" t="s">
        <v>17969</v>
      </c>
      <c r="E3683" t="s">
        <v>4215</v>
      </c>
      <c r="F3683" t="s">
        <v>17334</v>
      </c>
      <c r="G3683">
        <v>3</v>
      </c>
      <c r="O3683" t="str">
        <f t="shared" si="19"/>
        <v>Innovation project 5 -Cumulative expenditure on innovation projects funded by shareholders of the lead water company</v>
      </c>
    </row>
    <row r="3684" spans="1:15">
      <c r="A3684" t="s">
        <v>17344</v>
      </c>
      <c r="B3684" t="str">
        <f>'9A'!$AW$29</f>
        <v>BO23_3695559</v>
      </c>
      <c r="D3684" s="2607" t="s">
        <v>17970</v>
      </c>
      <c r="E3684" t="s">
        <v>4215</v>
      </c>
      <c r="F3684" t="s">
        <v>17334</v>
      </c>
      <c r="G3684">
        <v>3</v>
      </c>
      <c r="O3684" t="str">
        <f t="shared" si="19"/>
        <v>Innovation project 5 -Cumulative expenditure on innovation projects funded by project partner contributions</v>
      </c>
    </row>
    <row r="3685" spans="1:15">
      <c r="A3685" t="s">
        <v>17344</v>
      </c>
      <c r="B3685" t="str">
        <f>'9A'!$AK$30</f>
        <v>BO_2655321</v>
      </c>
      <c r="D3685" s="2607" t="s">
        <v>17991</v>
      </c>
      <c r="E3685" t="s">
        <v>4215</v>
      </c>
      <c r="F3685" t="s">
        <v>17334</v>
      </c>
      <c r="G3685">
        <v>3</v>
      </c>
      <c r="O3685" t="str">
        <f>D3685</f>
        <v>Innovation project 6 -Total amount of funding awarded to the lead company through the innovation fund</v>
      </c>
    </row>
    <row r="3686" spans="1:15">
      <c r="A3686" t="s">
        <v>17344</v>
      </c>
      <c r="B3686" t="str">
        <f>'9A'!$AL$30</f>
        <v>BO_2415159</v>
      </c>
      <c r="D3686" s="2607" t="s">
        <v>17992</v>
      </c>
      <c r="E3686" t="s">
        <v>4215</v>
      </c>
      <c r="F3686" t="s">
        <v>17334</v>
      </c>
      <c r="G3686">
        <v>3</v>
      </c>
      <c r="O3686" t="str">
        <f t="shared" ref="O3686:O3697" si="20">D3686</f>
        <v>Innovation project 6 -Total amount of inflation top-up funding received</v>
      </c>
    </row>
    <row r="3687" spans="1:15">
      <c r="A3687" t="s">
        <v>17344</v>
      </c>
      <c r="B3687" t="str">
        <f>'9A'!$AM$30</f>
        <v>BO_5377351</v>
      </c>
      <c r="D3687" s="2607" t="s">
        <v>17993</v>
      </c>
      <c r="E3687" t="s">
        <v>4215</v>
      </c>
      <c r="F3687" t="s">
        <v>17334</v>
      </c>
      <c r="G3687">
        <v>3</v>
      </c>
      <c r="O3687" t="str">
        <f t="shared" si="20"/>
        <v>Innovation project 6 -Forecast expenditure on innovation fund projects in year (excl 10% partnership contribution)</v>
      </c>
    </row>
    <row r="3688" spans="1:15">
      <c r="A3688" t="s">
        <v>17344</v>
      </c>
      <c r="B3688" t="str">
        <f>'9A'!$AN$30</f>
        <v>BO_3494612</v>
      </c>
      <c r="D3688" s="2607" t="s">
        <v>17994</v>
      </c>
      <c r="E3688" t="s">
        <v>4215</v>
      </c>
      <c r="F3688" t="s">
        <v>17334</v>
      </c>
      <c r="G3688">
        <v>3</v>
      </c>
      <c r="O3688" t="str">
        <f t="shared" si="20"/>
        <v>Innovation project 6 -Actual expenditure on innovation fund projects in year (excl 10% partnership contribution)</v>
      </c>
    </row>
    <row r="3689" spans="1:15">
      <c r="A3689" t="s">
        <v>17344</v>
      </c>
      <c r="B3689" t="str">
        <f>'9A'!$AO$30</f>
        <v>BO_9074</v>
      </c>
      <c r="D3689" s="2607" t="s">
        <v>17995</v>
      </c>
      <c r="E3689" t="s">
        <v>4215</v>
      </c>
      <c r="F3689" t="s">
        <v>17334</v>
      </c>
      <c r="G3689">
        <v>3</v>
      </c>
      <c r="O3689" t="str">
        <f t="shared" si="20"/>
        <v xml:space="preserve">Innovation project 6 -Difference between actual and forecast expenditure </v>
      </c>
    </row>
    <row r="3690" spans="1:15">
      <c r="A3690" t="s">
        <v>17344</v>
      </c>
      <c r="B3690" t="str">
        <f>'9A'!$AP$30</f>
        <v>BO_405946</v>
      </c>
      <c r="D3690" s="2607" t="s">
        <v>17996</v>
      </c>
      <c r="E3690" t="s">
        <v>4215</v>
      </c>
      <c r="F3690" t="s">
        <v>17334</v>
      </c>
      <c r="G3690">
        <v>3</v>
      </c>
      <c r="O3690" t="str">
        <f t="shared" si="20"/>
        <v>Innovation project 6 -Forecast project lifecycle expenditure on innovation fund projects (excl 10% partnership contribution)</v>
      </c>
    </row>
    <row r="3691" spans="1:15">
      <c r="A3691" t="s">
        <v>17344</v>
      </c>
      <c r="B3691" t="str">
        <f>'9A'!$AQ$30</f>
        <v>BO_1870993</v>
      </c>
      <c r="D3691" s="2607" t="s">
        <v>17997</v>
      </c>
      <c r="E3691" t="s">
        <v>4215</v>
      </c>
      <c r="F3691" t="s">
        <v>17334</v>
      </c>
      <c r="G3691">
        <v>3</v>
      </c>
      <c r="O3691" t="str">
        <f t="shared" si="20"/>
        <v>Innovation project 6 -Cumulative actual expenditure on innovation fund projects (excl 10% partnership contribution)</v>
      </c>
    </row>
    <row r="3692" spans="1:15">
      <c r="A3692" t="s">
        <v>17344</v>
      </c>
      <c r="B3692" t="str">
        <f>'9A'!$AR$30</f>
        <v>BO_9357011</v>
      </c>
      <c r="D3692" s="2607" t="s">
        <v>17995</v>
      </c>
      <c r="E3692" t="s">
        <v>4215</v>
      </c>
      <c r="F3692" t="s">
        <v>17334</v>
      </c>
      <c r="G3692">
        <v>3</v>
      </c>
      <c r="O3692" t="str">
        <f t="shared" si="20"/>
        <v xml:space="preserve">Innovation project 6 -Difference between actual and forecast expenditure </v>
      </c>
    </row>
    <row r="3693" spans="1:15">
      <c r="A3693" t="s">
        <v>17344</v>
      </c>
      <c r="B3693" t="str">
        <f>'9A'!$AS$30</f>
        <v>BO_5573103</v>
      </c>
      <c r="D3693" s="2607" t="s">
        <v>17998</v>
      </c>
      <c r="E3693" t="s">
        <v>4215</v>
      </c>
      <c r="F3693" t="s">
        <v>17334</v>
      </c>
      <c r="G3693">
        <v>3</v>
      </c>
      <c r="O3693" t="str">
        <f t="shared" si="20"/>
        <v>Innovation project 6 -Allowed future expenditure on innovation fund projects (excl 10% partnership contribution)</v>
      </c>
    </row>
    <row r="3694" spans="1:15">
      <c r="A3694" t="s">
        <v>17344</v>
      </c>
      <c r="B3694" t="str">
        <f>'9A'!$AT$30</f>
        <v>BO_618668</v>
      </c>
      <c r="D3694" s="2608" t="s">
        <v>17999</v>
      </c>
      <c r="E3694" t="s">
        <v>4215</v>
      </c>
      <c r="F3694" t="s">
        <v>17334</v>
      </c>
      <c r="G3694">
        <v>3</v>
      </c>
      <c r="O3694" t="str">
        <f t="shared" si="20"/>
        <v>Innovation project 6 -In year expenditure on innovation projects funded by shareholders of the lead water company</v>
      </c>
    </row>
    <row r="3695" spans="1:15">
      <c r="A3695" t="s">
        <v>17344</v>
      </c>
      <c r="B3695" t="str">
        <f>'9A'!$AU$30</f>
        <v>BO23_618668</v>
      </c>
      <c r="D3695" s="2608" t="s">
        <v>18000</v>
      </c>
      <c r="E3695" t="s">
        <v>4215</v>
      </c>
      <c r="F3695" t="s">
        <v>17334</v>
      </c>
      <c r="G3695">
        <v>3</v>
      </c>
      <c r="O3695" t="str">
        <f t="shared" si="20"/>
        <v>Innovation project 6 -In year expenditure on innovation projects funded by project  partner contributions</v>
      </c>
    </row>
    <row r="3696" spans="1:15">
      <c r="A3696" t="s">
        <v>17344</v>
      </c>
      <c r="B3696" t="str">
        <f>'9A'!$AV$30</f>
        <v>BO_3075702</v>
      </c>
      <c r="D3696" s="2607" t="s">
        <v>18001</v>
      </c>
      <c r="E3696" t="s">
        <v>4215</v>
      </c>
      <c r="F3696" t="s">
        <v>17334</v>
      </c>
      <c r="G3696">
        <v>3</v>
      </c>
      <c r="O3696" t="str">
        <f t="shared" si="20"/>
        <v>Innovation project 6 -Cumulative expenditure on innovation projects funded by shareholders of the lead water company</v>
      </c>
    </row>
    <row r="3697" spans="1:15">
      <c r="A3697" t="s">
        <v>17344</v>
      </c>
      <c r="B3697" t="str">
        <f>'9A'!$AW$30</f>
        <v>BO23_3075702</v>
      </c>
      <c r="D3697" s="2607" t="s">
        <v>18002</v>
      </c>
      <c r="E3697" t="s">
        <v>4215</v>
      </c>
      <c r="F3697" t="s">
        <v>17334</v>
      </c>
      <c r="G3697">
        <v>3</v>
      </c>
      <c r="O3697" t="str">
        <f t="shared" si="20"/>
        <v>Innovation project 6 -Cumulative expenditure on innovation projects funded by project partner contributions</v>
      </c>
    </row>
    <row r="3698" spans="1:15">
      <c r="A3698" t="s">
        <v>17344</v>
      </c>
      <c r="B3698" t="str">
        <f>'9A'!$AK$31</f>
        <v>BO_6408764</v>
      </c>
      <c r="D3698" s="2607" t="s">
        <v>18003</v>
      </c>
      <c r="E3698" t="s">
        <v>4215</v>
      </c>
      <c r="F3698" t="s">
        <v>17334</v>
      </c>
      <c r="G3698">
        <v>3</v>
      </c>
      <c r="O3698" t="str">
        <f>D3698</f>
        <v>Innovation project 7 -Total amount of funding awarded to the lead company through the innovation fund</v>
      </c>
    </row>
    <row r="3699" spans="1:15">
      <c r="A3699" t="s">
        <v>17344</v>
      </c>
      <c r="B3699" t="str">
        <f>'9A'!$AL$31</f>
        <v>BO_7046757</v>
      </c>
      <c r="D3699" s="2607" t="s">
        <v>18004</v>
      </c>
      <c r="E3699" t="s">
        <v>4215</v>
      </c>
      <c r="F3699" t="s">
        <v>17334</v>
      </c>
      <c r="G3699">
        <v>3</v>
      </c>
      <c r="O3699" t="str">
        <f t="shared" ref="O3699:O3710" si="21">D3699</f>
        <v>Innovation project 7 -Total amount of inflation top-up funding received</v>
      </c>
    </row>
    <row r="3700" spans="1:15">
      <c r="A3700" t="s">
        <v>17344</v>
      </c>
      <c r="B3700" t="str">
        <f>'9A'!$AM$31</f>
        <v>BO_8070684</v>
      </c>
      <c r="D3700" s="2607" t="s">
        <v>18005</v>
      </c>
      <c r="E3700" t="s">
        <v>4215</v>
      </c>
      <c r="F3700" t="s">
        <v>17334</v>
      </c>
      <c r="G3700">
        <v>3</v>
      </c>
      <c r="O3700" t="str">
        <f t="shared" si="21"/>
        <v>Innovation project 7 -Forecast expenditure on innovation fund projects in year (excl 10% partnership contribution)</v>
      </c>
    </row>
    <row r="3701" spans="1:15">
      <c r="A3701" t="s">
        <v>17344</v>
      </c>
      <c r="B3701" t="str">
        <f>'9A'!$AN$31</f>
        <v>BO_5129958</v>
      </c>
      <c r="D3701" s="2607" t="s">
        <v>18006</v>
      </c>
      <c r="E3701" t="s">
        <v>4215</v>
      </c>
      <c r="F3701" t="s">
        <v>17334</v>
      </c>
      <c r="G3701">
        <v>3</v>
      </c>
      <c r="O3701" t="str">
        <f t="shared" si="21"/>
        <v>Innovation project 7 -Actual expenditure on innovation fund projects in year (excl 10% partnership contribution)</v>
      </c>
    </row>
    <row r="3702" spans="1:15">
      <c r="A3702" t="s">
        <v>17344</v>
      </c>
      <c r="B3702" t="str">
        <f>'9A'!$AO$31</f>
        <v>BO_323549</v>
      </c>
      <c r="D3702" s="2607" t="s">
        <v>18007</v>
      </c>
      <c r="E3702" t="s">
        <v>4215</v>
      </c>
      <c r="F3702" t="s">
        <v>17334</v>
      </c>
      <c r="G3702">
        <v>3</v>
      </c>
      <c r="O3702" t="str">
        <f t="shared" si="21"/>
        <v xml:space="preserve">Innovation project 7 -Difference between actual and forecast expenditure </v>
      </c>
    </row>
    <row r="3703" spans="1:15">
      <c r="A3703" t="s">
        <v>17344</v>
      </c>
      <c r="B3703" t="str">
        <f>'9A'!$AP$31</f>
        <v>BO_9922869</v>
      </c>
      <c r="D3703" s="2607" t="s">
        <v>18008</v>
      </c>
      <c r="E3703" t="s">
        <v>4215</v>
      </c>
      <c r="F3703" t="s">
        <v>17334</v>
      </c>
      <c r="G3703">
        <v>3</v>
      </c>
      <c r="O3703" t="str">
        <f t="shared" si="21"/>
        <v>Innovation project 7 -Forecast project lifecycle expenditure on innovation fund projects (excl 10% partnership contribution)</v>
      </c>
    </row>
    <row r="3704" spans="1:15">
      <c r="A3704" t="s">
        <v>17344</v>
      </c>
      <c r="B3704" t="str">
        <f>'9A'!$AQ$31</f>
        <v>BO_6313663</v>
      </c>
      <c r="D3704" s="2607" t="s">
        <v>18009</v>
      </c>
      <c r="E3704" t="s">
        <v>4215</v>
      </c>
      <c r="F3704" t="s">
        <v>17334</v>
      </c>
      <c r="G3704">
        <v>3</v>
      </c>
      <c r="O3704" t="str">
        <f t="shared" si="21"/>
        <v>Innovation project 7 -Cumulative actual expenditure on innovation fund projects (excl 10% partnership contribution)</v>
      </c>
    </row>
    <row r="3705" spans="1:15">
      <c r="A3705" t="s">
        <v>17344</v>
      </c>
      <c r="B3705" t="str">
        <f>'9A'!$AR$31</f>
        <v>BO_8822674</v>
      </c>
      <c r="D3705" s="2607" t="s">
        <v>18007</v>
      </c>
      <c r="E3705" t="s">
        <v>4215</v>
      </c>
      <c r="F3705" t="s">
        <v>17334</v>
      </c>
      <c r="G3705">
        <v>3</v>
      </c>
      <c r="O3705" t="str">
        <f t="shared" si="21"/>
        <v xml:space="preserve">Innovation project 7 -Difference between actual and forecast expenditure </v>
      </c>
    </row>
    <row r="3706" spans="1:15">
      <c r="A3706" t="s">
        <v>17344</v>
      </c>
      <c r="B3706" t="str">
        <f>'9A'!$AS$31</f>
        <v>BO_5993266</v>
      </c>
      <c r="D3706" s="2607" t="s">
        <v>18010</v>
      </c>
      <c r="E3706" t="s">
        <v>4215</v>
      </c>
      <c r="F3706" t="s">
        <v>17334</v>
      </c>
      <c r="G3706">
        <v>3</v>
      </c>
      <c r="O3706" t="str">
        <f t="shared" si="21"/>
        <v>Innovation project 7 -Allowed future expenditure on innovation fund projects (excl 10% partnership contribution)</v>
      </c>
    </row>
    <row r="3707" spans="1:15">
      <c r="A3707" t="s">
        <v>17344</v>
      </c>
      <c r="B3707" t="str">
        <f>'9A'!$AT$31</f>
        <v>BO_7283530</v>
      </c>
      <c r="D3707" s="2608" t="s">
        <v>18011</v>
      </c>
      <c r="E3707" t="s">
        <v>4215</v>
      </c>
      <c r="F3707" t="s">
        <v>17334</v>
      </c>
      <c r="G3707">
        <v>3</v>
      </c>
      <c r="O3707" t="str">
        <f t="shared" si="21"/>
        <v>Innovation project 7 -In year expenditure on innovation projects funded by shareholders of the lead water company</v>
      </c>
    </row>
    <row r="3708" spans="1:15">
      <c r="A3708" t="s">
        <v>17344</v>
      </c>
      <c r="B3708" t="str">
        <f>'9A'!$AU$31</f>
        <v>BO23_7283530</v>
      </c>
      <c r="D3708" s="2608" t="s">
        <v>18012</v>
      </c>
      <c r="E3708" t="s">
        <v>4215</v>
      </c>
      <c r="F3708" t="s">
        <v>17334</v>
      </c>
      <c r="G3708">
        <v>3</v>
      </c>
      <c r="O3708" t="str">
        <f t="shared" si="21"/>
        <v>Innovation project 7 -In year expenditure on innovation projects funded by project  partner contributions</v>
      </c>
    </row>
    <row r="3709" spans="1:15">
      <c r="A3709" t="s">
        <v>17344</v>
      </c>
      <c r="B3709" t="str">
        <f>'9A'!$AV$31</f>
        <v>BO_7464120</v>
      </c>
      <c r="D3709" s="2607" t="s">
        <v>18013</v>
      </c>
      <c r="E3709" t="s">
        <v>4215</v>
      </c>
      <c r="F3709" t="s">
        <v>17334</v>
      </c>
      <c r="G3709">
        <v>3</v>
      </c>
      <c r="O3709" t="str">
        <f t="shared" si="21"/>
        <v>Innovation project 7 -Cumulative expenditure on innovation projects funded by shareholders of the lead water company</v>
      </c>
    </row>
    <row r="3710" spans="1:15">
      <c r="A3710" t="s">
        <v>17344</v>
      </c>
      <c r="B3710" t="str">
        <f>'9A'!$AW$31</f>
        <v>BO23_7464120</v>
      </c>
      <c r="D3710" s="2607" t="s">
        <v>18014</v>
      </c>
      <c r="E3710" t="s">
        <v>4215</v>
      </c>
      <c r="F3710" t="s">
        <v>17334</v>
      </c>
      <c r="G3710">
        <v>3</v>
      </c>
      <c r="O3710" t="str">
        <f t="shared" si="21"/>
        <v>Innovation project 7 -Cumulative expenditure on innovation projects funded by project partner contributions</v>
      </c>
    </row>
    <row r="3711" spans="1:15">
      <c r="A3711" t="s">
        <v>17344</v>
      </c>
      <c r="B3711" t="str">
        <f>'9A'!$AK$32</f>
        <v>BO_2082771</v>
      </c>
      <c r="D3711" s="2607" t="s">
        <v>18015</v>
      </c>
      <c r="E3711" t="s">
        <v>4215</v>
      </c>
      <c r="F3711" t="s">
        <v>17334</v>
      </c>
      <c r="G3711">
        <v>3</v>
      </c>
      <c r="O3711" t="str">
        <f>D3711</f>
        <v>Innovation project 8 -Total amount of funding awarded to the lead company through the innovation fund</v>
      </c>
    </row>
    <row r="3712" spans="1:15">
      <c r="A3712" t="s">
        <v>17344</v>
      </c>
      <c r="B3712" t="str">
        <f>'9A'!$AL$32</f>
        <v>BO_3632391</v>
      </c>
      <c r="D3712" s="2607" t="s">
        <v>18016</v>
      </c>
      <c r="E3712" t="s">
        <v>4215</v>
      </c>
      <c r="F3712" t="s">
        <v>17334</v>
      </c>
      <c r="G3712">
        <v>3</v>
      </c>
      <c r="O3712" t="str">
        <f t="shared" ref="O3712:O3723" si="22">D3712</f>
        <v>Innovation project 8 -Total amount of inflation top-up funding received</v>
      </c>
    </row>
    <row r="3713" spans="1:15">
      <c r="A3713" t="s">
        <v>17344</v>
      </c>
      <c r="B3713" t="str">
        <f>'9A'!$AM$32</f>
        <v>BO_1257261</v>
      </c>
      <c r="D3713" s="2607" t="s">
        <v>18017</v>
      </c>
      <c r="E3713" t="s">
        <v>4215</v>
      </c>
      <c r="F3713" t="s">
        <v>17334</v>
      </c>
      <c r="G3713">
        <v>3</v>
      </c>
      <c r="O3713" t="str">
        <f t="shared" si="22"/>
        <v>Innovation project 8 -Forecast expenditure on innovation fund projects in year (excl 10% partnership contribution)</v>
      </c>
    </row>
    <row r="3714" spans="1:15">
      <c r="A3714" t="s">
        <v>17344</v>
      </c>
      <c r="B3714" t="str">
        <f>'9A'!$AN$32</f>
        <v>BO_6407105</v>
      </c>
      <c r="D3714" s="2607" t="s">
        <v>18018</v>
      </c>
      <c r="E3714" t="s">
        <v>4215</v>
      </c>
      <c r="F3714" t="s">
        <v>17334</v>
      </c>
      <c r="G3714">
        <v>3</v>
      </c>
      <c r="O3714" t="str">
        <f t="shared" si="22"/>
        <v>Innovation project 8 -Actual expenditure on innovation fund projects in year (excl 10% partnership contribution)</v>
      </c>
    </row>
    <row r="3715" spans="1:15">
      <c r="A3715" t="s">
        <v>17344</v>
      </c>
      <c r="B3715" t="str">
        <f>'9A'!$AO$32</f>
        <v>BO_1493422</v>
      </c>
      <c r="D3715" s="2607" t="s">
        <v>18019</v>
      </c>
      <c r="E3715" t="s">
        <v>4215</v>
      </c>
      <c r="F3715" t="s">
        <v>17334</v>
      </c>
      <c r="G3715">
        <v>3</v>
      </c>
      <c r="O3715" t="str">
        <f t="shared" si="22"/>
        <v xml:space="preserve">Innovation project 8 -Difference between actual and forecast expenditure </v>
      </c>
    </row>
    <row r="3716" spans="1:15">
      <c r="A3716" t="s">
        <v>17344</v>
      </c>
      <c r="B3716" t="str">
        <f>'9A'!$AP$32</f>
        <v>BO_8423500</v>
      </c>
      <c r="D3716" s="2607" t="s">
        <v>18020</v>
      </c>
      <c r="E3716" t="s">
        <v>4215</v>
      </c>
      <c r="F3716" t="s">
        <v>17334</v>
      </c>
      <c r="G3716">
        <v>3</v>
      </c>
      <c r="O3716" t="str">
        <f t="shared" si="22"/>
        <v>Innovation project 8 -Forecast project lifecycle expenditure on innovation fund projects (excl 10% partnership contribution)</v>
      </c>
    </row>
    <row r="3717" spans="1:15">
      <c r="A3717" t="s">
        <v>17344</v>
      </c>
      <c r="B3717" t="str">
        <f>'9A'!$AQ$32</f>
        <v>BO_8600925</v>
      </c>
      <c r="D3717" s="2607" t="s">
        <v>18021</v>
      </c>
      <c r="E3717" t="s">
        <v>4215</v>
      </c>
      <c r="F3717" t="s">
        <v>17334</v>
      </c>
      <c r="G3717">
        <v>3</v>
      </c>
      <c r="O3717" t="str">
        <f t="shared" si="22"/>
        <v>Innovation project 8 -Cumulative actual expenditure on innovation fund projects (excl 10% partnership contribution)</v>
      </c>
    </row>
    <row r="3718" spans="1:15">
      <c r="A3718" t="s">
        <v>17344</v>
      </c>
      <c r="B3718" t="str">
        <f>'9A'!$AR$32</f>
        <v>BO_7655329</v>
      </c>
      <c r="D3718" s="2607" t="s">
        <v>18019</v>
      </c>
      <c r="E3718" t="s">
        <v>4215</v>
      </c>
      <c r="F3718" t="s">
        <v>17334</v>
      </c>
      <c r="G3718">
        <v>3</v>
      </c>
      <c r="O3718" t="str">
        <f t="shared" si="22"/>
        <v xml:space="preserve">Innovation project 8 -Difference between actual and forecast expenditure </v>
      </c>
    </row>
    <row r="3719" spans="1:15">
      <c r="A3719" t="s">
        <v>17344</v>
      </c>
      <c r="B3719" t="str">
        <f>'9A'!$AS$32</f>
        <v>BO_5254575</v>
      </c>
      <c r="D3719" s="2607" t="s">
        <v>18022</v>
      </c>
      <c r="E3719" t="s">
        <v>4215</v>
      </c>
      <c r="F3719" t="s">
        <v>17334</v>
      </c>
      <c r="G3719">
        <v>3</v>
      </c>
      <c r="O3719" t="str">
        <f t="shared" si="22"/>
        <v>Innovation project 8 -Allowed future expenditure on innovation fund projects (excl 10% partnership contribution)</v>
      </c>
    </row>
    <row r="3720" spans="1:15">
      <c r="A3720" t="s">
        <v>17344</v>
      </c>
      <c r="B3720" t="str">
        <f>'9A'!$AT$32</f>
        <v>BO_6653491</v>
      </c>
      <c r="D3720" s="2608" t="s">
        <v>18023</v>
      </c>
      <c r="E3720" t="s">
        <v>4215</v>
      </c>
      <c r="F3720" t="s">
        <v>17334</v>
      </c>
      <c r="G3720">
        <v>3</v>
      </c>
      <c r="O3720" t="str">
        <f t="shared" si="22"/>
        <v>Innovation project 8 -In year expenditure on innovation projects funded by shareholders of the lead water company</v>
      </c>
    </row>
    <row r="3721" spans="1:15">
      <c r="A3721" t="s">
        <v>17344</v>
      </c>
      <c r="B3721" t="str">
        <f>'9A'!$AU$32</f>
        <v>BO23_6653491</v>
      </c>
      <c r="D3721" s="2608" t="s">
        <v>18024</v>
      </c>
      <c r="E3721" t="s">
        <v>4215</v>
      </c>
      <c r="F3721" t="s">
        <v>17334</v>
      </c>
      <c r="G3721">
        <v>3</v>
      </c>
      <c r="O3721" t="str">
        <f t="shared" si="22"/>
        <v>Innovation project 8 -In year expenditure on innovation projects funded by project  partner contributions</v>
      </c>
    </row>
    <row r="3722" spans="1:15">
      <c r="A3722" t="s">
        <v>17344</v>
      </c>
      <c r="B3722" t="str">
        <f>'9A'!$AV$32</f>
        <v>BO_1705208</v>
      </c>
      <c r="D3722" s="2607" t="s">
        <v>18025</v>
      </c>
      <c r="E3722" t="s">
        <v>4215</v>
      </c>
      <c r="F3722" t="s">
        <v>17334</v>
      </c>
      <c r="G3722">
        <v>3</v>
      </c>
      <c r="O3722" t="str">
        <f t="shared" si="22"/>
        <v>Innovation project 8 -Cumulative expenditure on innovation projects funded by shareholders of the lead water company</v>
      </c>
    </row>
    <row r="3723" spans="1:15">
      <c r="A3723" t="s">
        <v>17344</v>
      </c>
      <c r="B3723" t="str">
        <f>'9A'!$AW$32</f>
        <v>BO23_1705208</v>
      </c>
      <c r="D3723" s="2607" t="s">
        <v>18026</v>
      </c>
      <c r="E3723" t="s">
        <v>4215</v>
      </c>
      <c r="F3723" t="s">
        <v>17334</v>
      </c>
      <c r="G3723">
        <v>3</v>
      </c>
      <c r="O3723" t="str">
        <f t="shared" si="22"/>
        <v>Innovation project 8 -Cumulative expenditure on innovation projects funded by project partner contributions</v>
      </c>
    </row>
    <row r="3724" spans="1:15">
      <c r="A3724" t="s">
        <v>17344</v>
      </c>
      <c r="B3724" t="str">
        <f>'9A'!$AK$33</f>
        <v>BO_8134703</v>
      </c>
      <c r="D3724" s="2607" t="s">
        <v>18027</v>
      </c>
      <c r="E3724" t="s">
        <v>4215</v>
      </c>
      <c r="F3724" t="s">
        <v>17334</v>
      </c>
      <c r="G3724">
        <v>3</v>
      </c>
      <c r="O3724" t="str">
        <f>D3724</f>
        <v>Innovation project 9 -Total amount of funding awarded to the lead company through the innovation fund</v>
      </c>
    </row>
    <row r="3725" spans="1:15">
      <c r="A3725" t="s">
        <v>17344</v>
      </c>
      <c r="B3725" t="str">
        <f>'9A'!$AL$33</f>
        <v>BO_4346510</v>
      </c>
      <c r="D3725" s="2607" t="s">
        <v>18028</v>
      </c>
      <c r="E3725" t="s">
        <v>4215</v>
      </c>
      <c r="F3725" t="s">
        <v>17334</v>
      </c>
      <c r="G3725">
        <v>3</v>
      </c>
      <c r="O3725" t="str">
        <f t="shared" ref="O3725:O3736" si="23">D3725</f>
        <v>Innovation project 9 -Total amount of inflation top-up funding received</v>
      </c>
    </row>
    <row r="3726" spans="1:15">
      <c r="A3726" t="s">
        <v>17344</v>
      </c>
      <c r="B3726" t="str">
        <f>'9A'!$AM$33</f>
        <v>BO_6296208</v>
      </c>
      <c r="D3726" s="2607" t="s">
        <v>18029</v>
      </c>
      <c r="E3726" t="s">
        <v>4215</v>
      </c>
      <c r="F3726" t="s">
        <v>17334</v>
      </c>
      <c r="G3726">
        <v>3</v>
      </c>
      <c r="O3726" t="str">
        <f t="shared" si="23"/>
        <v>Innovation project 9 -Forecast expenditure on innovation fund projects in year (excl 10% partnership contribution)</v>
      </c>
    </row>
    <row r="3727" spans="1:15">
      <c r="A3727" t="s">
        <v>17344</v>
      </c>
      <c r="B3727" t="str">
        <f>'9A'!$AN$33</f>
        <v>BO_7223700</v>
      </c>
      <c r="D3727" s="2607" t="s">
        <v>18030</v>
      </c>
      <c r="E3727" t="s">
        <v>4215</v>
      </c>
      <c r="F3727" t="s">
        <v>17334</v>
      </c>
      <c r="G3727">
        <v>3</v>
      </c>
      <c r="O3727" t="str">
        <f t="shared" si="23"/>
        <v>Innovation project 9 -Actual expenditure on innovation fund projects in year (excl 10% partnership contribution)</v>
      </c>
    </row>
    <row r="3728" spans="1:15">
      <c r="A3728" t="s">
        <v>17344</v>
      </c>
      <c r="B3728" t="str">
        <f>'9A'!$AO$33</f>
        <v>BO_7530883</v>
      </c>
      <c r="D3728" s="2607" t="s">
        <v>18031</v>
      </c>
      <c r="E3728" t="s">
        <v>4215</v>
      </c>
      <c r="F3728" t="s">
        <v>17334</v>
      </c>
      <c r="G3728">
        <v>3</v>
      </c>
      <c r="O3728" t="str">
        <f t="shared" si="23"/>
        <v xml:space="preserve">Innovation project 9 -Difference between actual and forecast expenditure </v>
      </c>
    </row>
    <row r="3729" spans="1:15">
      <c r="A3729" t="s">
        <v>17344</v>
      </c>
      <c r="B3729" t="str">
        <f>'9A'!$AP$33</f>
        <v>BO_7174882</v>
      </c>
      <c r="D3729" s="2607" t="s">
        <v>18032</v>
      </c>
      <c r="E3729" t="s">
        <v>4215</v>
      </c>
      <c r="F3729" t="s">
        <v>17334</v>
      </c>
      <c r="G3729">
        <v>3</v>
      </c>
      <c r="O3729" t="str">
        <f t="shared" si="23"/>
        <v>Innovation project 9 -Forecast project lifecycle expenditure on innovation fund projects (excl 10% partnership contribution)</v>
      </c>
    </row>
    <row r="3730" spans="1:15">
      <c r="A3730" t="s">
        <v>17344</v>
      </c>
      <c r="B3730" t="str">
        <f>'9A'!$AQ$33</f>
        <v>BO_8230060</v>
      </c>
      <c r="D3730" s="2607" t="s">
        <v>18033</v>
      </c>
      <c r="E3730" t="s">
        <v>4215</v>
      </c>
      <c r="F3730" t="s">
        <v>17334</v>
      </c>
      <c r="G3730">
        <v>3</v>
      </c>
      <c r="O3730" t="str">
        <f t="shared" si="23"/>
        <v>Innovation project 9 -Cumulative actual expenditure on innovation fund projects (excl 10% partnership contribution)</v>
      </c>
    </row>
    <row r="3731" spans="1:15">
      <c r="A3731" t="s">
        <v>17344</v>
      </c>
      <c r="B3731" t="str">
        <f>'9A'!$AR$33</f>
        <v>BO_9163631</v>
      </c>
      <c r="D3731" s="2607" t="s">
        <v>18031</v>
      </c>
      <c r="E3731" t="s">
        <v>4215</v>
      </c>
      <c r="F3731" t="s">
        <v>17334</v>
      </c>
      <c r="G3731">
        <v>3</v>
      </c>
      <c r="O3731" t="str">
        <f t="shared" si="23"/>
        <v xml:space="preserve">Innovation project 9 -Difference between actual and forecast expenditure </v>
      </c>
    </row>
    <row r="3732" spans="1:15">
      <c r="A3732" t="s">
        <v>17344</v>
      </c>
      <c r="B3732" t="str">
        <f>'9A'!$AS$33</f>
        <v>BO_2722774</v>
      </c>
      <c r="D3732" s="2607" t="s">
        <v>18034</v>
      </c>
      <c r="E3732" t="s">
        <v>4215</v>
      </c>
      <c r="F3732" t="s">
        <v>17334</v>
      </c>
      <c r="G3732">
        <v>3</v>
      </c>
      <c r="O3732" t="str">
        <f t="shared" si="23"/>
        <v>Innovation project 9 -Allowed future expenditure on innovation fund projects (excl 10% partnership contribution)</v>
      </c>
    </row>
    <row r="3733" spans="1:15">
      <c r="A3733" t="s">
        <v>17344</v>
      </c>
      <c r="B3733" t="str">
        <f>'9A'!$AT$33</f>
        <v>BO_2630441</v>
      </c>
      <c r="D3733" s="2608" t="s">
        <v>18035</v>
      </c>
      <c r="E3733" t="s">
        <v>4215</v>
      </c>
      <c r="F3733" t="s">
        <v>17334</v>
      </c>
      <c r="G3733">
        <v>3</v>
      </c>
      <c r="O3733" t="str">
        <f t="shared" si="23"/>
        <v>Innovation project 9 -In year expenditure on innovation projects funded by shareholders of the lead water company</v>
      </c>
    </row>
    <row r="3734" spans="1:15">
      <c r="A3734" t="s">
        <v>17344</v>
      </c>
      <c r="B3734" t="str">
        <f>'9A'!$AU$33</f>
        <v>BO23_2630441</v>
      </c>
      <c r="D3734" s="2608" t="s">
        <v>18036</v>
      </c>
      <c r="E3734" t="s">
        <v>4215</v>
      </c>
      <c r="F3734" t="s">
        <v>17334</v>
      </c>
      <c r="G3734">
        <v>3</v>
      </c>
      <c r="O3734" t="str">
        <f t="shared" si="23"/>
        <v>Innovation project 9 -In year expenditure on innovation projects funded by project  partner contributions</v>
      </c>
    </row>
    <row r="3735" spans="1:15">
      <c r="A3735" t="s">
        <v>17344</v>
      </c>
      <c r="B3735" t="str">
        <f>'9A'!$AV$33</f>
        <v>BO_1540196</v>
      </c>
      <c r="D3735" s="2607" t="s">
        <v>18037</v>
      </c>
      <c r="E3735" t="s">
        <v>4215</v>
      </c>
      <c r="F3735" t="s">
        <v>17334</v>
      </c>
      <c r="G3735">
        <v>3</v>
      </c>
      <c r="O3735" t="str">
        <f t="shared" si="23"/>
        <v>Innovation project 9 -Cumulative expenditure on innovation projects funded by shareholders of the lead water company</v>
      </c>
    </row>
    <row r="3736" spans="1:15">
      <c r="A3736" t="s">
        <v>17344</v>
      </c>
      <c r="B3736" t="str">
        <f>'9A'!$AW$33</f>
        <v>BO23_1540196</v>
      </c>
      <c r="D3736" s="2607" t="s">
        <v>18038</v>
      </c>
      <c r="E3736" t="s">
        <v>4215</v>
      </c>
      <c r="F3736" t="s">
        <v>17334</v>
      </c>
      <c r="G3736">
        <v>3</v>
      </c>
      <c r="O3736" t="str">
        <f t="shared" si="23"/>
        <v>Innovation project 9 -Cumulative expenditure on innovation projects funded by project partner contributions</v>
      </c>
    </row>
    <row r="3737" spans="1:15">
      <c r="A3737" t="s">
        <v>17344</v>
      </c>
      <c r="B3737" t="str">
        <f>'9A'!$AK$34</f>
        <v>BO_6374780</v>
      </c>
      <c r="D3737" s="2607" t="s">
        <v>18039</v>
      </c>
      <c r="E3737" t="s">
        <v>4215</v>
      </c>
      <c r="F3737" t="s">
        <v>17334</v>
      </c>
      <c r="G3737">
        <v>3</v>
      </c>
      <c r="O3737" t="str">
        <f>D3737</f>
        <v>Innovation project 10 -Total amount of funding awarded to the lead company through the innovation fund</v>
      </c>
    </row>
    <row r="3738" spans="1:15">
      <c r="A3738" t="s">
        <v>17344</v>
      </c>
      <c r="B3738" t="str">
        <f>'9A'!$AL$34</f>
        <v>BO_8020127</v>
      </c>
      <c r="D3738" s="2607" t="s">
        <v>18040</v>
      </c>
      <c r="E3738" t="s">
        <v>4215</v>
      </c>
      <c r="F3738" t="s">
        <v>17334</v>
      </c>
      <c r="G3738">
        <v>3</v>
      </c>
      <c r="O3738" t="str">
        <f t="shared" ref="O3738:O3749" si="24">D3738</f>
        <v>Innovation project 10 -Total amount of inflation top-up funding received</v>
      </c>
    </row>
    <row r="3739" spans="1:15">
      <c r="A3739" t="s">
        <v>17344</v>
      </c>
      <c r="B3739" t="str">
        <f>'9A'!$AM$34</f>
        <v>BO_5705578</v>
      </c>
      <c r="D3739" s="2607" t="s">
        <v>18041</v>
      </c>
      <c r="E3739" t="s">
        <v>4215</v>
      </c>
      <c r="F3739" t="s">
        <v>17334</v>
      </c>
      <c r="G3739">
        <v>3</v>
      </c>
      <c r="O3739" t="str">
        <f t="shared" si="24"/>
        <v>Innovation project 10 -Forecast expenditure on innovation fund projects in year (excl 10% partnership contribution)</v>
      </c>
    </row>
    <row r="3740" spans="1:15">
      <c r="A3740" t="s">
        <v>17344</v>
      </c>
      <c r="B3740" t="str">
        <f>'9A'!$AN$34</f>
        <v>BO_4023311</v>
      </c>
      <c r="D3740" s="2607" t="s">
        <v>18042</v>
      </c>
      <c r="E3740" t="s">
        <v>4215</v>
      </c>
      <c r="F3740" t="s">
        <v>17334</v>
      </c>
      <c r="G3740">
        <v>3</v>
      </c>
      <c r="O3740" t="str">
        <f t="shared" si="24"/>
        <v>Innovation project 10 -Actual expenditure on innovation fund projects in year (excl 10% partnership contribution)</v>
      </c>
    </row>
    <row r="3741" spans="1:15">
      <c r="A3741" t="s">
        <v>17344</v>
      </c>
      <c r="B3741" t="str">
        <f>'9A'!$AO$34</f>
        <v>BO_1210533</v>
      </c>
      <c r="D3741" s="2607" t="s">
        <v>18043</v>
      </c>
      <c r="E3741" t="s">
        <v>4215</v>
      </c>
      <c r="F3741" t="s">
        <v>17334</v>
      </c>
      <c r="G3741">
        <v>3</v>
      </c>
      <c r="O3741" t="str">
        <f t="shared" si="24"/>
        <v xml:space="preserve">Innovation project 10 -Difference between actual and forecast expenditure </v>
      </c>
    </row>
    <row r="3742" spans="1:15">
      <c r="A3742" t="s">
        <v>17344</v>
      </c>
      <c r="B3742" t="str">
        <f>'9A'!$AP$34</f>
        <v>BO_8087259</v>
      </c>
      <c r="D3742" s="2607" t="s">
        <v>18044</v>
      </c>
      <c r="E3742" t="s">
        <v>4215</v>
      </c>
      <c r="F3742" t="s">
        <v>17334</v>
      </c>
      <c r="G3742">
        <v>3</v>
      </c>
      <c r="O3742" t="str">
        <f t="shared" si="24"/>
        <v>Innovation project 10 -Forecast project lifecycle expenditure on innovation fund projects (excl 10% partnership contribution)</v>
      </c>
    </row>
    <row r="3743" spans="1:15">
      <c r="A3743" t="s">
        <v>17344</v>
      </c>
      <c r="B3743" t="str">
        <f>'9A'!$AQ$34</f>
        <v>BO_9510142</v>
      </c>
      <c r="D3743" s="2607" t="s">
        <v>18045</v>
      </c>
      <c r="E3743" t="s">
        <v>4215</v>
      </c>
      <c r="F3743" t="s">
        <v>17334</v>
      </c>
      <c r="G3743">
        <v>3</v>
      </c>
      <c r="O3743" t="str">
        <f t="shared" si="24"/>
        <v>Innovation project 10 -Cumulative actual expenditure on innovation fund projects (excl 10% partnership contribution)</v>
      </c>
    </row>
    <row r="3744" spans="1:15">
      <c r="A3744" t="s">
        <v>17344</v>
      </c>
      <c r="B3744" t="str">
        <f>'9A'!$AR$34</f>
        <v>BO_6391882</v>
      </c>
      <c r="D3744" s="2607" t="s">
        <v>18043</v>
      </c>
      <c r="E3744" t="s">
        <v>4215</v>
      </c>
      <c r="F3744" t="s">
        <v>17334</v>
      </c>
      <c r="G3744">
        <v>3</v>
      </c>
      <c r="O3744" t="str">
        <f t="shared" si="24"/>
        <v xml:space="preserve">Innovation project 10 -Difference between actual and forecast expenditure </v>
      </c>
    </row>
    <row r="3745" spans="1:15">
      <c r="A3745" t="s">
        <v>17344</v>
      </c>
      <c r="B3745" t="str">
        <f>'9A'!$AS$34</f>
        <v>BO_2663033</v>
      </c>
      <c r="D3745" s="2607" t="s">
        <v>18046</v>
      </c>
      <c r="E3745" t="s">
        <v>4215</v>
      </c>
      <c r="F3745" t="s">
        <v>17334</v>
      </c>
      <c r="G3745">
        <v>3</v>
      </c>
      <c r="O3745" t="str">
        <f t="shared" si="24"/>
        <v>Innovation project 10 -Allowed future expenditure on innovation fund projects (excl 10% partnership contribution)</v>
      </c>
    </row>
    <row r="3746" spans="1:15">
      <c r="A3746" t="s">
        <v>17344</v>
      </c>
      <c r="B3746" t="str">
        <f>'9A'!$AT$34</f>
        <v>BO_3559155</v>
      </c>
      <c r="D3746" s="2608" t="s">
        <v>18047</v>
      </c>
      <c r="E3746" t="s">
        <v>4215</v>
      </c>
      <c r="F3746" t="s">
        <v>17334</v>
      </c>
      <c r="G3746">
        <v>3</v>
      </c>
      <c r="O3746" t="str">
        <f t="shared" si="24"/>
        <v>Innovation project 10 -In year expenditure on innovation projects funded by shareholders of the lead water company</v>
      </c>
    </row>
    <row r="3747" spans="1:15">
      <c r="A3747" t="s">
        <v>17344</v>
      </c>
      <c r="B3747" t="str">
        <f>'9A'!$AU$34</f>
        <v>BO23_3559155</v>
      </c>
      <c r="D3747" s="2608" t="s">
        <v>18048</v>
      </c>
      <c r="E3747" t="s">
        <v>4215</v>
      </c>
      <c r="F3747" t="s">
        <v>17334</v>
      </c>
      <c r="G3747">
        <v>3</v>
      </c>
      <c r="O3747" t="str">
        <f t="shared" si="24"/>
        <v>Innovation project 10 -In year expenditure on innovation projects funded by project  partner contributions</v>
      </c>
    </row>
    <row r="3748" spans="1:15">
      <c r="A3748" t="s">
        <v>17344</v>
      </c>
      <c r="B3748" t="str">
        <f>'9A'!$AV$34</f>
        <v>BO_2100314</v>
      </c>
      <c r="D3748" s="2607" t="s">
        <v>18049</v>
      </c>
      <c r="E3748" t="s">
        <v>4215</v>
      </c>
      <c r="F3748" t="s">
        <v>17334</v>
      </c>
      <c r="G3748">
        <v>3</v>
      </c>
      <c r="O3748" t="str">
        <f t="shared" si="24"/>
        <v>Innovation project 10 -Cumulative expenditure on innovation projects funded by shareholders of the lead water company</v>
      </c>
    </row>
    <row r="3749" spans="1:15">
      <c r="A3749" t="s">
        <v>17344</v>
      </c>
      <c r="B3749" t="str">
        <f>'9A'!$AW$34</f>
        <v>BO23_2100314</v>
      </c>
      <c r="D3749" s="2607" t="s">
        <v>18050</v>
      </c>
      <c r="E3749" t="s">
        <v>4215</v>
      </c>
      <c r="F3749" t="s">
        <v>17334</v>
      </c>
      <c r="G3749">
        <v>3</v>
      </c>
      <c r="O3749" t="str">
        <f t="shared" si="24"/>
        <v>Innovation project 10 -Cumulative expenditure on innovation projects funded by project partner contributions</v>
      </c>
    </row>
    <row r="3750" spans="1:15">
      <c r="A3750" t="s">
        <v>17344</v>
      </c>
      <c r="B3750" t="str">
        <f>'9A'!$AK$35</f>
        <v>BO_6251759</v>
      </c>
      <c r="D3750" s="2607" t="s">
        <v>18051</v>
      </c>
      <c r="E3750" t="s">
        <v>4215</v>
      </c>
      <c r="F3750" t="s">
        <v>17334</v>
      </c>
      <c r="G3750">
        <v>3</v>
      </c>
      <c r="O3750" t="str">
        <f>D3750</f>
        <v>Innovation project 11 -Total amount of funding awarded to the lead company through the innovation fund</v>
      </c>
    </row>
    <row r="3751" spans="1:15">
      <c r="A3751" t="s">
        <v>17344</v>
      </c>
      <c r="B3751" t="str">
        <f>'9A'!$AL$35</f>
        <v>BO_745587</v>
      </c>
      <c r="D3751" s="2607" t="s">
        <v>18052</v>
      </c>
      <c r="E3751" t="s">
        <v>4215</v>
      </c>
      <c r="F3751" t="s">
        <v>17334</v>
      </c>
      <c r="G3751">
        <v>3</v>
      </c>
      <c r="O3751" t="str">
        <f t="shared" ref="O3751:O3762" si="25">D3751</f>
        <v>Innovation project 11 -Total amount of inflation top-up funding received</v>
      </c>
    </row>
    <row r="3752" spans="1:15">
      <c r="A3752" t="s">
        <v>17344</v>
      </c>
      <c r="B3752" t="str">
        <f>'9A'!$AM$35</f>
        <v>BO_4469775</v>
      </c>
      <c r="D3752" s="2607" t="s">
        <v>18053</v>
      </c>
      <c r="E3752" t="s">
        <v>4215</v>
      </c>
      <c r="F3752" t="s">
        <v>17334</v>
      </c>
      <c r="G3752">
        <v>3</v>
      </c>
      <c r="O3752" t="str">
        <f t="shared" si="25"/>
        <v>Innovation project 11 -Forecast expenditure on innovation fund projects in year (excl 10% partnership contribution)</v>
      </c>
    </row>
    <row r="3753" spans="1:15">
      <c r="A3753" t="s">
        <v>17344</v>
      </c>
      <c r="B3753" t="str">
        <f>'9A'!$AN$35</f>
        <v>BO_10110</v>
      </c>
      <c r="D3753" s="2607" t="s">
        <v>18054</v>
      </c>
      <c r="E3753" t="s">
        <v>4215</v>
      </c>
      <c r="F3753" t="s">
        <v>17334</v>
      </c>
      <c r="G3753">
        <v>3</v>
      </c>
      <c r="O3753" t="str">
        <f t="shared" si="25"/>
        <v>Innovation project 11 -Actual expenditure on innovation fund projects in year (excl 10% partnership contribution)</v>
      </c>
    </row>
    <row r="3754" spans="1:15">
      <c r="A3754" t="s">
        <v>17344</v>
      </c>
      <c r="B3754" t="str">
        <f>'9A'!$AO$35</f>
        <v>BO_7918081</v>
      </c>
      <c r="D3754" s="2607" t="s">
        <v>18055</v>
      </c>
      <c r="E3754" t="s">
        <v>4215</v>
      </c>
      <c r="F3754" t="s">
        <v>17334</v>
      </c>
      <c r="G3754">
        <v>3</v>
      </c>
      <c r="O3754" t="str">
        <f t="shared" si="25"/>
        <v xml:space="preserve">Innovation project 11 -Difference between actual and forecast expenditure </v>
      </c>
    </row>
    <row r="3755" spans="1:15">
      <c r="A3755" t="s">
        <v>17344</v>
      </c>
      <c r="B3755" t="str">
        <f>'9A'!$AP$35</f>
        <v>BO_8556865</v>
      </c>
      <c r="D3755" s="2607" t="s">
        <v>18056</v>
      </c>
      <c r="E3755" t="s">
        <v>4215</v>
      </c>
      <c r="F3755" t="s">
        <v>17334</v>
      </c>
      <c r="G3755">
        <v>3</v>
      </c>
      <c r="O3755" t="str">
        <f t="shared" si="25"/>
        <v>Innovation project 11 -Forecast project lifecycle expenditure on innovation fund projects (excl 10% partnership contribution)</v>
      </c>
    </row>
    <row r="3756" spans="1:15">
      <c r="A3756" t="s">
        <v>17344</v>
      </c>
      <c r="B3756" t="str">
        <f>'9A'!$AQ$35</f>
        <v>BO_2184147</v>
      </c>
      <c r="D3756" s="2607" t="s">
        <v>18057</v>
      </c>
      <c r="E3756" t="s">
        <v>4215</v>
      </c>
      <c r="F3756" t="s">
        <v>17334</v>
      </c>
      <c r="G3756">
        <v>3</v>
      </c>
      <c r="O3756" t="str">
        <f t="shared" si="25"/>
        <v>Innovation project 11 -Cumulative actual expenditure on innovation fund projects (excl 10% partnership contribution)</v>
      </c>
    </row>
    <row r="3757" spans="1:15">
      <c r="A3757" t="s">
        <v>17344</v>
      </c>
      <c r="B3757" t="str">
        <f>'9A'!$AR$35</f>
        <v>BO_2556962</v>
      </c>
      <c r="D3757" s="2607" t="s">
        <v>18055</v>
      </c>
      <c r="E3757" t="s">
        <v>4215</v>
      </c>
      <c r="F3757" t="s">
        <v>17334</v>
      </c>
      <c r="G3757">
        <v>3</v>
      </c>
      <c r="O3757" t="str">
        <f t="shared" si="25"/>
        <v xml:space="preserve">Innovation project 11 -Difference between actual and forecast expenditure </v>
      </c>
    </row>
    <row r="3758" spans="1:15">
      <c r="A3758" t="s">
        <v>17344</v>
      </c>
      <c r="B3758" t="str">
        <f>'9A'!$AS$35</f>
        <v>BO_3292677</v>
      </c>
      <c r="D3758" s="2607" t="s">
        <v>18058</v>
      </c>
      <c r="E3758" t="s">
        <v>4215</v>
      </c>
      <c r="F3758" t="s">
        <v>17334</v>
      </c>
      <c r="G3758">
        <v>3</v>
      </c>
      <c r="O3758" t="str">
        <f t="shared" si="25"/>
        <v>Innovation project 11 -Allowed future expenditure on innovation fund projects (excl 10% partnership contribution)</v>
      </c>
    </row>
    <row r="3759" spans="1:15">
      <c r="A3759" t="s">
        <v>17344</v>
      </c>
      <c r="B3759" t="str">
        <f>'9A'!$AT$35</f>
        <v>BO_9805370</v>
      </c>
      <c r="D3759" s="2608" t="s">
        <v>18059</v>
      </c>
      <c r="E3759" t="s">
        <v>4215</v>
      </c>
      <c r="F3759" t="s">
        <v>17334</v>
      </c>
      <c r="G3759">
        <v>3</v>
      </c>
      <c r="O3759" t="str">
        <f t="shared" si="25"/>
        <v>Innovation project 11 -In year expenditure on innovation projects funded by shareholders of the lead water company</v>
      </c>
    </row>
    <row r="3760" spans="1:15">
      <c r="A3760" t="s">
        <v>17344</v>
      </c>
      <c r="B3760" t="str">
        <f>'9A'!$AU$35</f>
        <v>BO23_9805370</v>
      </c>
      <c r="D3760" s="2608" t="s">
        <v>18060</v>
      </c>
      <c r="E3760" t="s">
        <v>4215</v>
      </c>
      <c r="F3760" t="s">
        <v>17334</v>
      </c>
      <c r="G3760">
        <v>3</v>
      </c>
      <c r="O3760" t="str">
        <f t="shared" si="25"/>
        <v>Innovation project 11 -In year expenditure on innovation projects funded by project  partner contributions</v>
      </c>
    </row>
    <row r="3761" spans="1:15">
      <c r="A3761" t="s">
        <v>17344</v>
      </c>
      <c r="B3761" t="str">
        <f>'9A'!$AV$35</f>
        <v>BO_9271376</v>
      </c>
      <c r="D3761" s="2607" t="s">
        <v>18061</v>
      </c>
      <c r="E3761" t="s">
        <v>4215</v>
      </c>
      <c r="F3761" t="s">
        <v>17334</v>
      </c>
      <c r="G3761">
        <v>3</v>
      </c>
      <c r="O3761" t="str">
        <f t="shared" si="25"/>
        <v>Innovation project 11 -Cumulative expenditure on innovation projects funded by shareholders of the lead water company</v>
      </c>
    </row>
    <row r="3762" spans="1:15">
      <c r="A3762" t="s">
        <v>17344</v>
      </c>
      <c r="B3762" t="str">
        <f>'9A'!$AW$35</f>
        <v>BO23_9271376</v>
      </c>
      <c r="D3762" s="2607" t="s">
        <v>18062</v>
      </c>
      <c r="E3762" t="s">
        <v>4215</v>
      </c>
      <c r="F3762" t="s">
        <v>17334</v>
      </c>
      <c r="G3762">
        <v>3</v>
      </c>
      <c r="O3762" t="str">
        <f t="shared" si="25"/>
        <v>Innovation project 11 -Cumulative expenditure on innovation projects funded by project partner contributions</v>
      </c>
    </row>
    <row r="3763" spans="1:15">
      <c r="A3763" t="s">
        <v>17344</v>
      </c>
      <c r="B3763" t="str">
        <f>'9A'!$AK$36</f>
        <v>BO_6759356</v>
      </c>
      <c r="D3763" s="2607" t="s">
        <v>18063</v>
      </c>
      <c r="E3763" t="s">
        <v>4215</v>
      </c>
      <c r="F3763" t="s">
        <v>17334</v>
      </c>
      <c r="G3763">
        <v>3</v>
      </c>
      <c r="O3763" t="str">
        <f>D3763</f>
        <v>Innovation project 12 -Total amount of funding awarded to the lead company through the innovation fund</v>
      </c>
    </row>
    <row r="3764" spans="1:15">
      <c r="A3764" t="s">
        <v>17344</v>
      </c>
      <c r="B3764" t="str">
        <f>'9A'!$AL$36</f>
        <v>BO_3558456</v>
      </c>
      <c r="D3764" s="2607" t="s">
        <v>18064</v>
      </c>
      <c r="E3764" t="s">
        <v>4215</v>
      </c>
      <c r="F3764" t="s">
        <v>17334</v>
      </c>
      <c r="G3764">
        <v>3</v>
      </c>
      <c r="O3764" t="str">
        <f t="shared" ref="O3764:O3775" si="26">D3764</f>
        <v>Innovation project 12 -Total amount of inflation top-up funding received</v>
      </c>
    </row>
    <row r="3765" spans="1:15">
      <c r="A3765" t="s">
        <v>17344</v>
      </c>
      <c r="B3765" t="str">
        <f>'9A'!$AM$36</f>
        <v>BO_7518192</v>
      </c>
      <c r="D3765" s="2607" t="s">
        <v>18065</v>
      </c>
      <c r="E3765" t="s">
        <v>4215</v>
      </c>
      <c r="F3765" t="s">
        <v>17334</v>
      </c>
      <c r="G3765">
        <v>3</v>
      </c>
      <c r="O3765" t="str">
        <f t="shared" si="26"/>
        <v>Innovation project 12 -Forecast expenditure on innovation fund projects in year (excl 10% partnership contribution)</v>
      </c>
    </row>
    <row r="3766" spans="1:15">
      <c r="A3766" t="s">
        <v>17344</v>
      </c>
      <c r="B3766" t="str">
        <f>'9A'!$AN$36</f>
        <v>BO_7923913</v>
      </c>
      <c r="D3766" s="2607" t="s">
        <v>18066</v>
      </c>
      <c r="E3766" t="s">
        <v>4215</v>
      </c>
      <c r="F3766" t="s">
        <v>17334</v>
      </c>
      <c r="G3766">
        <v>3</v>
      </c>
      <c r="O3766" t="str">
        <f t="shared" si="26"/>
        <v>Innovation project 12 -Actual expenditure on innovation fund projects in year (excl 10% partnership contribution)</v>
      </c>
    </row>
    <row r="3767" spans="1:15">
      <c r="A3767" t="s">
        <v>17344</v>
      </c>
      <c r="B3767" t="str">
        <f>'9A'!$AO$36</f>
        <v>BO_787784</v>
      </c>
      <c r="D3767" s="2607" t="s">
        <v>18067</v>
      </c>
      <c r="E3767" t="s">
        <v>4215</v>
      </c>
      <c r="F3767" t="s">
        <v>17334</v>
      </c>
      <c r="G3767">
        <v>3</v>
      </c>
      <c r="O3767" t="str">
        <f t="shared" si="26"/>
        <v xml:space="preserve">Innovation project 12 -Difference between actual and forecast expenditure </v>
      </c>
    </row>
    <row r="3768" spans="1:15">
      <c r="A3768" t="s">
        <v>17344</v>
      </c>
      <c r="B3768" t="str">
        <f>'9A'!$AP$36</f>
        <v>BO_3376575</v>
      </c>
      <c r="D3768" s="2607" t="s">
        <v>18068</v>
      </c>
      <c r="E3768" t="s">
        <v>4215</v>
      </c>
      <c r="F3768" t="s">
        <v>17334</v>
      </c>
      <c r="G3768">
        <v>3</v>
      </c>
      <c r="O3768" t="str">
        <f t="shared" si="26"/>
        <v>Innovation project 12 -Forecast project lifecycle expenditure on innovation fund projects (excl 10% partnership contribution)</v>
      </c>
    </row>
    <row r="3769" spans="1:15">
      <c r="A3769" t="s">
        <v>17344</v>
      </c>
      <c r="B3769" t="str">
        <f>'9A'!$AQ$36</f>
        <v>BO_8703282</v>
      </c>
      <c r="D3769" s="2607" t="s">
        <v>18069</v>
      </c>
      <c r="E3769" t="s">
        <v>4215</v>
      </c>
      <c r="F3769" t="s">
        <v>17334</v>
      </c>
      <c r="G3769">
        <v>3</v>
      </c>
      <c r="O3769" t="str">
        <f t="shared" si="26"/>
        <v>Innovation project 12 -Cumulative actual expenditure on innovation fund projects (excl 10% partnership contribution)</v>
      </c>
    </row>
    <row r="3770" spans="1:15">
      <c r="A3770" t="s">
        <v>17344</v>
      </c>
      <c r="B3770" t="str">
        <f>'9A'!$AR$36</f>
        <v>BO_8716304</v>
      </c>
      <c r="D3770" s="2607" t="s">
        <v>18067</v>
      </c>
      <c r="E3770" t="s">
        <v>4215</v>
      </c>
      <c r="F3770" t="s">
        <v>17334</v>
      </c>
      <c r="G3770">
        <v>3</v>
      </c>
      <c r="O3770" t="str">
        <f t="shared" si="26"/>
        <v xml:space="preserve">Innovation project 12 -Difference between actual and forecast expenditure </v>
      </c>
    </row>
    <row r="3771" spans="1:15">
      <c r="A3771" t="s">
        <v>17344</v>
      </c>
      <c r="B3771" t="str">
        <f>'9A'!$AS$36</f>
        <v>BO_8240280</v>
      </c>
      <c r="D3771" s="2607" t="s">
        <v>18070</v>
      </c>
      <c r="E3771" t="s">
        <v>4215</v>
      </c>
      <c r="F3771" t="s">
        <v>17334</v>
      </c>
      <c r="G3771">
        <v>3</v>
      </c>
      <c r="O3771" t="str">
        <f t="shared" si="26"/>
        <v>Innovation project 12 -Allowed future expenditure on innovation fund projects (excl 10% partnership contribution)</v>
      </c>
    </row>
    <row r="3772" spans="1:15">
      <c r="A3772" t="s">
        <v>17344</v>
      </c>
      <c r="B3772" t="str">
        <f>'9A'!$AT$36</f>
        <v>BO_259386</v>
      </c>
      <c r="D3772" s="2608" t="s">
        <v>18071</v>
      </c>
      <c r="E3772" t="s">
        <v>4215</v>
      </c>
      <c r="F3772" t="s">
        <v>17334</v>
      </c>
      <c r="G3772">
        <v>3</v>
      </c>
      <c r="O3772" t="str">
        <f t="shared" si="26"/>
        <v>Innovation project 12 -In year expenditure on innovation projects funded by shareholders of the lead water company</v>
      </c>
    </row>
    <row r="3773" spans="1:15">
      <c r="A3773" t="s">
        <v>17344</v>
      </c>
      <c r="B3773" t="str">
        <f>'9A'!$AU$36</f>
        <v>BO23_259386</v>
      </c>
      <c r="D3773" s="2608" t="s">
        <v>18072</v>
      </c>
      <c r="E3773" t="s">
        <v>4215</v>
      </c>
      <c r="F3773" t="s">
        <v>17334</v>
      </c>
      <c r="G3773">
        <v>3</v>
      </c>
      <c r="O3773" t="str">
        <f t="shared" si="26"/>
        <v>Innovation project 12 -In year expenditure on innovation projects funded by project  partner contributions</v>
      </c>
    </row>
    <row r="3774" spans="1:15">
      <c r="A3774" t="s">
        <v>17344</v>
      </c>
      <c r="B3774" t="str">
        <f>'9A'!$AV$36</f>
        <v>BO_1062786</v>
      </c>
      <c r="D3774" s="2607" t="s">
        <v>18073</v>
      </c>
      <c r="E3774" t="s">
        <v>4215</v>
      </c>
      <c r="F3774" t="s">
        <v>17334</v>
      </c>
      <c r="G3774">
        <v>3</v>
      </c>
      <c r="O3774" t="str">
        <f t="shared" si="26"/>
        <v>Innovation project 12 -Cumulative expenditure on innovation projects funded by shareholders of the lead water company</v>
      </c>
    </row>
    <row r="3775" spans="1:15">
      <c r="A3775" t="s">
        <v>17344</v>
      </c>
      <c r="B3775" t="str">
        <f>'9A'!$AW$36</f>
        <v>BO23_1062786</v>
      </c>
      <c r="D3775" s="2607" t="s">
        <v>18074</v>
      </c>
      <c r="E3775" t="s">
        <v>4215</v>
      </c>
      <c r="F3775" t="s">
        <v>17334</v>
      </c>
      <c r="G3775">
        <v>3</v>
      </c>
      <c r="O3775" t="str">
        <f t="shared" si="26"/>
        <v>Innovation project 12 -Cumulative expenditure on innovation projects funded by project partner contributions</v>
      </c>
    </row>
    <row r="3776" spans="1:15">
      <c r="A3776" t="s">
        <v>17344</v>
      </c>
      <c r="B3776" t="str">
        <f>'9A'!$AK$37</f>
        <v>BO_9330663</v>
      </c>
      <c r="D3776" s="2607" t="s">
        <v>18075</v>
      </c>
      <c r="E3776" t="s">
        <v>4215</v>
      </c>
      <c r="F3776" t="s">
        <v>17334</v>
      </c>
      <c r="G3776">
        <v>3</v>
      </c>
      <c r="O3776" t="str">
        <f>D3776</f>
        <v>Innovation project 13 -Total amount of funding awarded to the lead company through the innovation fund</v>
      </c>
    </row>
    <row r="3777" spans="1:15">
      <c r="A3777" t="s">
        <v>17344</v>
      </c>
      <c r="B3777" t="str">
        <f>'9A'!$AL$37</f>
        <v>BO_3554136</v>
      </c>
      <c r="D3777" s="2607" t="s">
        <v>18076</v>
      </c>
      <c r="E3777" t="s">
        <v>4215</v>
      </c>
      <c r="F3777" t="s">
        <v>17334</v>
      </c>
      <c r="G3777">
        <v>3</v>
      </c>
      <c r="O3777" t="str">
        <f t="shared" ref="O3777:O3788" si="27">D3777</f>
        <v>Innovation project 13 -Total amount of inflation top-up funding received</v>
      </c>
    </row>
    <row r="3778" spans="1:15">
      <c r="A3778" t="s">
        <v>17344</v>
      </c>
      <c r="B3778" t="str">
        <f>'9A'!$AM$37</f>
        <v>BO_5025681</v>
      </c>
      <c r="D3778" s="2607" t="s">
        <v>18077</v>
      </c>
      <c r="E3778" t="s">
        <v>4215</v>
      </c>
      <c r="F3778" t="s">
        <v>17334</v>
      </c>
      <c r="G3778">
        <v>3</v>
      </c>
      <c r="O3778" t="str">
        <f t="shared" si="27"/>
        <v>Innovation project 13 -Forecast expenditure on innovation fund projects in year (excl 10% partnership contribution)</v>
      </c>
    </row>
    <row r="3779" spans="1:15">
      <c r="A3779" t="s">
        <v>17344</v>
      </c>
      <c r="B3779" t="str">
        <f>'9A'!$AN$37</f>
        <v>BO_6958429</v>
      </c>
      <c r="D3779" s="2607" t="s">
        <v>18078</v>
      </c>
      <c r="E3779" t="s">
        <v>4215</v>
      </c>
      <c r="F3779" t="s">
        <v>17334</v>
      </c>
      <c r="G3779">
        <v>3</v>
      </c>
      <c r="O3779" t="str">
        <f t="shared" si="27"/>
        <v>Innovation project 13 -Actual expenditure on innovation fund projects in year (excl 10% partnership contribution)</v>
      </c>
    </row>
    <row r="3780" spans="1:15">
      <c r="A3780" t="s">
        <v>17344</v>
      </c>
      <c r="B3780" t="str">
        <f>'9A'!$AO$37</f>
        <v>BO_2003405</v>
      </c>
      <c r="D3780" s="2607" t="s">
        <v>18079</v>
      </c>
      <c r="E3780" t="s">
        <v>4215</v>
      </c>
      <c r="F3780" t="s">
        <v>17334</v>
      </c>
      <c r="G3780">
        <v>3</v>
      </c>
      <c r="O3780" t="str">
        <f t="shared" si="27"/>
        <v xml:space="preserve">Innovation project 13 -Difference between actual and forecast expenditure </v>
      </c>
    </row>
    <row r="3781" spans="1:15">
      <c r="A3781" t="s">
        <v>17344</v>
      </c>
      <c r="B3781" t="str">
        <f>'9A'!$AP$37</f>
        <v>BO_1254519</v>
      </c>
      <c r="D3781" s="2607" t="s">
        <v>18080</v>
      </c>
      <c r="E3781" t="s">
        <v>4215</v>
      </c>
      <c r="F3781" t="s">
        <v>17334</v>
      </c>
      <c r="G3781">
        <v>3</v>
      </c>
      <c r="O3781" t="str">
        <f t="shared" si="27"/>
        <v>Innovation project 13 -Forecast project lifecycle expenditure on innovation fund projects (excl 10% partnership contribution)</v>
      </c>
    </row>
    <row r="3782" spans="1:15">
      <c r="A3782" t="s">
        <v>17344</v>
      </c>
      <c r="B3782" t="str">
        <f>'9A'!$AQ$37</f>
        <v>BO_8344663</v>
      </c>
      <c r="D3782" s="2607" t="s">
        <v>18081</v>
      </c>
      <c r="E3782" t="s">
        <v>4215</v>
      </c>
      <c r="F3782" t="s">
        <v>17334</v>
      </c>
      <c r="G3782">
        <v>3</v>
      </c>
      <c r="O3782" t="str">
        <f t="shared" si="27"/>
        <v>Innovation project 13 -Cumulative actual expenditure on innovation fund projects (excl 10% partnership contribution)</v>
      </c>
    </row>
    <row r="3783" spans="1:15">
      <c r="A3783" t="s">
        <v>17344</v>
      </c>
      <c r="B3783" t="str">
        <f>'9A'!$AR$37</f>
        <v>BO_2012486</v>
      </c>
      <c r="D3783" s="2607" t="s">
        <v>18079</v>
      </c>
      <c r="E3783" t="s">
        <v>4215</v>
      </c>
      <c r="F3783" t="s">
        <v>17334</v>
      </c>
      <c r="G3783">
        <v>3</v>
      </c>
      <c r="O3783" t="str">
        <f t="shared" si="27"/>
        <v xml:space="preserve">Innovation project 13 -Difference between actual and forecast expenditure </v>
      </c>
    </row>
    <row r="3784" spans="1:15">
      <c r="A3784" t="s">
        <v>17344</v>
      </c>
      <c r="B3784" t="str">
        <f>'9A'!$AS$37</f>
        <v>BO_6485641</v>
      </c>
      <c r="D3784" s="2607" t="s">
        <v>18082</v>
      </c>
      <c r="E3784" t="s">
        <v>4215</v>
      </c>
      <c r="F3784" t="s">
        <v>17334</v>
      </c>
      <c r="G3784">
        <v>3</v>
      </c>
      <c r="O3784" t="str">
        <f t="shared" si="27"/>
        <v>Innovation project 13 -Allowed future expenditure on innovation fund projects (excl 10% partnership contribution)</v>
      </c>
    </row>
    <row r="3785" spans="1:15">
      <c r="A3785" t="s">
        <v>17344</v>
      </c>
      <c r="B3785" t="str">
        <f>'9A'!$AT$37</f>
        <v>BO_7648524</v>
      </c>
      <c r="D3785" s="2608" t="s">
        <v>18083</v>
      </c>
      <c r="E3785" t="s">
        <v>4215</v>
      </c>
      <c r="F3785" t="s">
        <v>17334</v>
      </c>
      <c r="G3785">
        <v>3</v>
      </c>
      <c r="O3785" t="str">
        <f t="shared" si="27"/>
        <v>Innovation project 13 -In year expenditure on innovation projects funded by shareholders of the lead water company</v>
      </c>
    </row>
    <row r="3786" spans="1:15">
      <c r="A3786" t="s">
        <v>17344</v>
      </c>
      <c r="B3786" t="str">
        <f>'9A'!$AU$37</f>
        <v>BO23_7648524</v>
      </c>
      <c r="D3786" s="2608" t="s">
        <v>18084</v>
      </c>
      <c r="E3786" t="s">
        <v>4215</v>
      </c>
      <c r="F3786" t="s">
        <v>17334</v>
      </c>
      <c r="G3786">
        <v>3</v>
      </c>
      <c r="O3786" t="str">
        <f t="shared" si="27"/>
        <v>Innovation project 13 -In year expenditure on innovation projects funded by project  partner contributions</v>
      </c>
    </row>
    <row r="3787" spans="1:15">
      <c r="A3787" t="s">
        <v>17344</v>
      </c>
      <c r="B3787" t="str">
        <f>'9A'!$AV$37</f>
        <v>BO_954522</v>
      </c>
      <c r="D3787" s="2607" t="s">
        <v>18085</v>
      </c>
      <c r="E3787" t="s">
        <v>4215</v>
      </c>
      <c r="F3787" t="s">
        <v>17334</v>
      </c>
      <c r="G3787">
        <v>3</v>
      </c>
      <c r="O3787" t="str">
        <f t="shared" si="27"/>
        <v>Innovation project 13 -Cumulative expenditure on innovation projects funded by shareholders of the lead water company</v>
      </c>
    </row>
    <row r="3788" spans="1:15">
      <c r="A3788" t="s">
        <v>17344</v>
      </c>
      <c r="B3788" t="str">
        <f>'9A'!$AW$37</f>
        <v>BO23_954522</v>
      </c>
      <c r="D3788" s="2607" t="s">
        <v>18086</v>
      </c>
      <c r="E3788" t="s">
        <v>4215</v>
      </c>
      <c r="F3788" t="s">
        <v>17334</v>
      </c>
      <c r="G3788">
        <v>3</v>
      </c>
      <c r="O3788" t="str">
        <f t="shared" si="27"/>
        <v>Innovation project 13 -Cumulative expenditure on innovation projects funded by project partner contributions</v>
      </c>
    </row>
    <row r="3789" spans="1:15">
      <c r="A3789" t="s">
        <v>17344</v>
      </c>
      <c r="B3789" t="str">
        <f>'9A'!$AK$38</f>
        <v>BO_7697659</v>
      </c>
      <c r="D3789" s="2607" t="s">
        <v>18087</v>
      </c>
      <c r="E3789" t="s">
        <v>4215</v>
      </c>
      <c r="F3789" t="s">
        <v>17334</v>
      </c>
      <c r="G3789">
        <v>3</v>
      </c>
      <c r="O3789" t="str">
        <f>D3789</f>
        <v>Innovation project 14 -Total amount of funding awarded to the lead company through the innovation fund</v>
      </c>
    </row>
    <row r="3790" spans="1:15">
      <c r="A3790" t="s">
        <v>17344</v>
      </c>
      <c r="B3790" t="str">
        <f>'9A'!$AL$38</f>
        <v>BO_2445707</v>
      </c>
      <c r="D3790" s="2607" t="s">
        <v>18088</v>
      </c>
      <c r="E3790" t="s">
        <v>4215</v>
      </c>
      <c r="F3790" t="s">
        <v>17334</v>
      </c>
      <c r="G3790">
        <v>3</v>
      </c>
      <c r="O3790" t="str">
        <f t="shared" ref="O3790:O3801" si="28">D3790</f>
        <v>Innovation project 14 -Total amount of inflation top-up funding received</v>
      </c>
    </row>
    <row r="3791" spans="1:15">
      <c r="A3791" t="s">
        <v>17344</v>
      </c>
      <c r="B3791" t="str">
        <f>'9A'!$AM$38</f>
        <v>BO_9617921</v>
      </c>
      <c r="D3791" s="2607" t="s">
        <v>18089</v>
      </c>
      <c r="E3791" t="s">
        <v>4215</v>
      </c>
      <c r="F3791" t="s">
        <v>17334</v>
      </c>
      <c r="G3791">
        <v>3</v>
      </c>
      <c r="O3791" t="str">
        <f t="shared" si="28"/>
        <v>Innovation project 14 -Forecast expenditure on innovation fund projects in year (excl 10% partnership contribution)</v>
      </c>
    </row>
    <row r="3792" spans="1:15">
      <c r="A3792" t="s">
        <v>17344</v>
      </c>
      <c r="B3792" t="str">
        <f>'9A'!$AN$38</f>
        <v>BO_9359394</v>
      </c>
      <c r="D3792" s="2607" t="s">
        <v>18090</v>
      </c>
      <c r="E3792" t="s">
        <v>4215</v>
      </c>
      <c r="F3792" t="s">
        <v>17334</v>
      </c>
      <c r="G3792">
        <v>3</v>
      </c>
      <c r="O3792" t="str">
        <f t="shared" si="28"/>
        <v>Innovation project 14 -Actual expenditure on innovation fund projects in year (excl 10% partnership contribution)</v>
      </c>
    </row>
    <row r="3793" spans="1:15">
      <c r="A3793" t="s">
        <v>17344</v>
      </c>
      <c r="B3793" t="str">
        <f>'9A'!$AO$38</f>
        <v>BO_4164238</v>
      </c>
      <c r="D3793" s="2607" t="s">
        <v>18091</v>
      </c>
      <c r="E3793" t="s">
        <v>4215</v>
      </c>
      <c r="F3793" t="s">
        <v>17334</v>
      </c>
      <c r="G3793">
        <v>3</v>
      </c>
      <c r="O3793" t="str">
        <f t="shared" si="28"/>
        <v xml:space="preserve">Innovation project 14 -Difference between actual and forecast expenditure </v>
      </c>
    </row>
    <row r="3794" spans="1:15">
      <c r="A3794" t="s">
        <v>17344</v>
      </c>
      <c r="B3794" t="str">
        <f>'9A'!$AP$38</f>
        <v>BO_6175034</v>
      </c>
      <c r="D3794" s="2607" t="s">
        <v>18092</v>
      </c>
      <c r="E3794" t="s">
        <v>4215</v>
      </c>
      <c r="F3794" t="s">
        <v>17334</v>
      </c>
      <c r="G3794">
        <v>3</v>
      </c>
      <c r="O3794" t="str">
        <f t="shared" si="28"/>
        <v>Innovation project 14 -Forecast project lifecycle expenditure on innovation fund projects (excl 10% partnership contribution)</v>
      </c>
    </row>
    <row r="3795" spans="1:15">
      <c r="A3795" t="s">
        <v>17344</v>
      </c>
      <c r="B3795" t="str">
        <f>'9A'!$AQ$38</f>
        <v>BO_5881970</v>
      </c>
      <c r="D3795" s="2607" t="s">
        <v>18093</v>
      </c>
      <c r="E3795" t="s">
        <v>4215</v>
      </c>
      <c r="F3795" t="s">
        <v>17334</v>
      </c>
      <c r="G3795">
        <v>3</v>
      </c>
      <c r="O3795" t="str">
        <f t="shared" si="28"/>
        <v>Innovation project 14 -Cumulative actual expenditure on innovation fund projects (excl 10% partnership contribution)</v>
      </c>
    </row>
    <row r="3796" spans="1:15">
      <c r="A3796" t="s">
        <v>17344</v>
      </c>
      <c r="B3796" t="str">
        <f>'9A'!$AR$38</f>
        <v>BO_6508247</v>
      </c>
      <c r="D3796" s="2607" t="s">
        <v>18091</v>
      </c>
      <c r="E3796" t="s">
        <v>4215</v>
      </c>
      <c r="F3796" t="s">
        <v>17334</v>
      </c>
      <c r="G3796">
        <v>3</v>
      </c>
      <c r="O3796" t="str">
        <f t="shared" si="28"/>
        <v xml:space="preserve">Innovation project 14 -Difference between actual and forecast expenditure </v>
      </c>
    </row>
    <row r="3797" spans="1:15">
      <c r="A3797" t="s">
        <v>17344</v>
      </c>
      <c r="B3797" t="str">
        <f>'9A'!$AS$38</f>
        <v>BO_8701815</v>
      </c>
      <c r="D3797" s="2607" t="s">
        <v>18094</v>
      </c>
      <c r="E3797" t="s">
        <v>4215</v>
      </c>
      <c r="F3797" t="s">
        <v>17334</v>
      </c>
      <c r="G3797">
        <v>3</v>
      </c>
      <c r="O3797" t="str">
        <f t="shared" si="28"/>
        <v>Innovation project 14 -Allowed future expenditure on innovation fund projects (excl 10% partnership contribution)</v>
      </c>
    </row>
    <row r="3798" spans="1:15">
      <c r="A3798" t="s">
        <v>17344</v>
      </c>
      <c r="B3798" t="str">
        <f>'9A'!$AT$38</f>
        <v>BO_6148232</v>
      </c>
      <c r="D3798" s="2608" t="s">
        <v>18095</v>
      </c>
      <c r="E3798" t="s">
        <v>4215</v>
      </c>
      <c r="F3798" t="s">
        <v>17334</v>
      </c>
      <c r="G3798">
        <v>3</v>
      </c>
      <c r="O3798" t="str">
        <f t="shared" si="28"/>
        <v>Innovation project 14 -In year expenditure on innovation projects funded by shareholders of the lead water company</v>
      </c>
    </row>
    <row r="3799" spans="1:15">
      <c r="A3799" t="s">
        <v>17344</v>
      </c>
      <c r="B3799" t="str">
        <f>'9A'!$AU$38</f>
        <v>BO23_6148232</v>
      </c>
      <c r="D3799" s="2608" t="s">
        <v>18096</v>
      </c>
      <c r="E3799" t="s">
        <v>4215</v>
      </c>
      <c r="F3799" t="s">
        <v>17334</v>
      </c>
      <c r="G3799">
        <v>3</v>
      </c>
      <c r="O3799" t="str">
        <f t="shared" si="28"/>
        <v>Innovation project 14 -In year expenditure on innovation projects funded by project  partner contributions</v>
      </c>
    </row>
    <row r="3800" spans="1:15">
      <c r="A3800" t="s">
        <v>17344</v>
      </c>
      <c r="B3800" t="str">
        <f>'9A'!$AV$38</f>
        <v>BO_7707001</v>
      </c>
      <c r="D3800" s="2607" t="s">
        <v>18097</v>
      </c>
      <c r="E3800" t="s">
        <v>4215</v>
      </c>
      <c r="F3800" t="s">
        <v>17334</v>
      </c>
      <c r="G3800">
        <v>3</v>
      </c>
      <c r="O3800" t="str">
        <f t="shared" si="28"/>
        <v>Innovation project 14 -Cumulative expenditure on innovation projects funded by shareholders of the lead water company</v>
      </c>
    </row>
    <row r="3801" spans="1:15">
      <c r="A3801" t="s">
        <v>17344</v>
      </c>
      <c r="B3801" t="str">
        <f>'9A'!$AW$38</f>
        <v>BO23_7707001</v>
      </c>
      <c r="D3801" s="2607" t="s">
        <v>18098</v>
      </c>
      <c r="E3801" t="s">
        <v>4215</v>
      </c>
      <c r="F3801" t="s">
        <v>17334</v>
      </c>
      <c r="G3801">
        <v>3</v>
      </c>
      <c r="O3801" t="str">
        <f t="shared" si="28"/>
        <v>Innovation project 14 -Cumulative expenditure on innovation projects funded by project partner contributions</v>
      </c>
    </row>
    <row r="3802" spans="1:15">
      <c r="A3802" t="s">
        <v>17344</v>
      </c>
      <c r="B3802" t="str">
        <f>'9A'!$AK$39</f>
        <v>BO_954151</v>
      </c>
      <c r="D3802" s="2607" t="s">
        <v>18099</v>
      </c>
      <c r="E3802" t="s">
        <v>4215</v>
      </c>
      <c r="F3802" t="s">
        <v>17334</v>
      </c>
      <c r="G3802">
        <v>3</v>
      </c>
      <c r="O3802" t="str">
        <f>D3802</f>
        <v>Innovation project 15 -Total amount of funding awarded to the lead company through the innovation fund</v>
      </c>
    </row>
    <row r="3803" spans="1:15">
      <c r="A3803" t="s">
        <v>17344</v>
      </c>
      <c r="B3803" t="str">
        <f>'9A'!$AL$39</f>
        <v>BO_9474392</v>
      </c>
      <c r="D3803" s="2607" t="s">
        <v>18100</v>
      </c>
      <c r="E3803" t="s">
        <v>4215</v>
      </c>
      <c r="F3803" t="s">
        <v>17334</v>
      </c>
      <c r="G3803">
        <v>3</v>
      </c>
      <c r="O3803" t="str">
        <f t="shared" ref="O3803:O3814" si="29">D3803</f>
        <v>Innovation project 15 -Total amount of inflation top-up funding received</v>
      </c>
    </row>
    <row r="3804" spans="1:15">
      <c r="A3804" t="s">
        <v>17344</v>
      </c>
      <c r="B3804" t="str">
        <f>'9A'!$AM$39</f>
        <v>BO_6867152</v>
      </c>
      <c r="D3804" s="2607" t="s">
        <v>18101</v>
      </c>
      <c r="E3804" t="s">
        <v>4215</v>
      </c>
      <c r="F3804" t="s">
        <v>17334</v>
      </c>
      <c r="G3804">
        <v>3</v>
      </c>
      <c r="O3804" t="str">
        <f t="shared" si="29"/>
        <v>Innovation project 15 -Forecast expenditure on innovation fund projects in year (excl 10% partnership contribution)</v>
      </c>
    </row>
    <row r="3805" spans="1:15">
      <c r="A3805" t="s">
        <v>17344</v>
      </c>
      <c r="B3805" t="str">
        <f>'9A'!$AN$39</f>
        <v>BO_6329274</v>
      </c>
      <c r="D3805" s="2607" t="s">
        <v>18102</v>
      </c>
      <c r="E3805" t="s">
        <v>4215</v>
      </c>
      <c r="F3805" t="s">
        <v>17334</v>
      </c>
      <c r="G3805">
        <v>3</v>
      </c>
      <c r="O3805" t="str">
        <f t="shared" si="29"/>
        <v>Innovation project 15 -Actual expenditure on innovation fund projects in year (excl 10% partnership contribution)</v>
      </c>
    </row>
    <row r="3806" spans="1:15">
      <c r="A3806" t="s">
        <v>17344</v>
      </c>
      <c r="B3806" t="str">
        <f>'9A'!$AO$39</f>
        <v>BO_8008024</v>
      </c>
      <c r="D3806" s="2607" t="s">
        <v>18103</v>
      </c>
      <c r="E3806" t="s">
        <v>4215</v>
      </c>
      <c r="F3806" t="s">
        <v>17334</v>
      </c>
      <c r="G3806">
        <v>3</v>
      </c>
      <c r="O3806" t="str">
        <f t="shared" si="29"/>
        <v xml:space="preserve">Innovation project 15 -Difference between actual and forecast expenditure </v>
      </c>
    </row>
    <row r="3807" spans="1:15">
      <c r="A3807" t="s">
        <v>17344</v>
      </c>
      <c r="B3807" t="str">
        <f>'9A'!$AP$39</f>
        <v>BO_4529482</v>
      </c>
      <c r="D3807" s="2607" t="s">
        <v>18104</v>
      </c>
      <c r="E3807" t="s">
        <v>4215</v>
      </c>
      <c r="F3807" t="s">
        <v>17334</v>
      </c>
      <c r="G3807">
        <v>3</v>
      </c>
      <c r="O3807" t="str">
        <f t="shared" si="29"/>
        <v>Innovation project 15 -Forecast project lifecycle expenditure on innovation fund projects (excl 10% partnership contribution)</v>
      </c>
    </row>
    <row r="3808" spans="1:15">
      <c r="A3808" t="s">
        <v>17344</v>
      </c>
      <c r="B3808" t="str">
        <f>'9A'!$AQ$39</f>
        <v>BO_6799701</v>
      </c>
      <c r="D3808" s="2607" t="s">
        <v>18105</v>
      </c>
      <c r="E3808" t="s">
        <v>4215</v>
      </c>
      <c r="F3808" t="s">
        <v>17334</v>
      </c>
      <c r="G3808">
        <v>3</v>
      </c>
      <c r="O3808" t="str">
        <f t="shared" si="29"/>
        <v>Innovation project 15 -Cumulative actual expenditure on innovation fund projects (excl 10% partnership contribution)</v>
      </c>
    </row>
    <row r="3809" spans="1:15">
      <c r="A3809" t="s">
        <v>17344</v>
      </c>
      <c r="B3809" t="str">
        <f>'9A'!$AR$39</f>
        <v>BO_5674113</v>
      </c>
      <c r="D3809" s="2607" t="s">
        <v>18103</v>
      </c>
      <c r="E3809" t="s">
        <v>4215</v>
      </c>
      <c r="F3809" t="s">
        <v>17334</v>
      </c>
      <c r="G3809">
        <v>3</v>
      </c>
      <c r="O3809" t="str">
        <f t="shared" si="29"/>
        <v xml:space="preserve">Innovation project 15 -Difference between actual and forecast expenditure </v>
      </c>
    </row>
    <row r="3810" spans="1:15">
      <c r="A3810" t="s">
        <v>17344</v>
      </c>
      <c r="B3810" t="str">
        <f>'9A'!$AS$39</f>
        <v>BO_5818165</v>
      </c>
      <c r="D3810" s="2607" t="s">
        <v>18106</v>
      </c>
      <c r="E3810" t="s">
        <v>4215</v>
      </c>
      <c r="F3810" t="s">
        <v>17334</v>
      </c>
      <c r="G3810">
        <v>3</v>
      </c>
      <c r="O3810" t="str">
        <f t="shared" si="29"/>
        <v>Innovation project 15 -Allowed future expenditure on innovation fund projects (excl 10% partnership contribution)</v>
      </c>
    </row>
    <row r="3811" spans="1:15">
      <c r="A3811" t="s">
        <v>17344</v>
      </c>
      <c r="B3811" t="str">
        <f>'9A'!$AT$39</f>
        <v>BO_5769717</v>
      </c>
      <c r="D3811" s="2608" t="s">
        <v>18107</v>
      </c>
      <c r="E3811" t="s">
        <v>4215</v>
      </c>
      <c r="F3811" t="s">
        <v>17334</v>
      </c>
      <c r="G3811">
        <v>3</v>
      </c>
      <c r="O3811" t="str">
        <f t="shared" si="29"/>
        <v>Innovation project 15 -In year expenditure on innovation projects funded by shareholders of the lead water company</v>
      </c>
    </row>
    <row r="3812" spans="1:15">
      <c r="A3812" t="s">
        <v>17344</v>
      </c>
      <c r="B3812" t="str">
        <f>'9A'!$AU$39</f>
        <v>BO23_5769717</v>
      </c>
      <c r="D3812" s="2608" t="s">
        <v>18108</v>
      </c>
      <c r="E3812" t="s">
        <v>4215</v>
      </c>
      <c r="F3812" t="s">
        <v>17334</v>
      </c>
      <c r="G3812">
        <v>3</v>
      </c>
      <c r="O3812" t="str">
        <f t="shared" si="29"/>
        <v>Innovation project 15 -In year expenditure on innovation projects funded by project  partner contributions</v>
      </c>
    </row>
    <row r="3813" spans="1:15">
      <c r="A3813" t="s">
        <v>17344</v>
      </c>
      <c r="B3813" t="str">
        <f>'9A'!$AV$39</f>
        <v>BO_7827747</v>
      </c>
      <c r="D3813" s="2607" t="s">
        <v>18109</v>
      </c>
      <c r="E3813" t="s">
        <v>4215</v>
      </c>
      <c r="F3813" t="s">
        <v>17334</v>
      </c>
      <c r="G3813">
        <v>3</v>
      </c>
      <c r="O3813" t="str">
        <f t="shared" si="29"/>
        <v>Innovation project 15 -Cumulative expenditure on innovation projects funded by shareholders of the lead water company</v>
      </c>
    </row>
    <row r="3814" spans="1:15">
      <c r="A3814" t="s">
        <v>17344</v>
      </c>
      <c r="B3814" t="str">
        <f>'9A'!$AW$39</f>
        <v>BO23_7827747</v>
      </c>
      <c r="D3814" s="2607" t="s">
        <v>18110</v>
      </c>
      <c r="E3814" t="s">
        <v>4215</v>
      </c>
      <c r="F3814" t="s">
        <v>17334</v>
      </c>
      <c r="G3814">
        <v>3</v>
      </c>
      <c r="O3814" t="str">
        <f t="shared" si="29"/>
        <v>Innovation project 15 -Cumulative expenditure on innovation projects funded by project partner contributions</v>
      </c>
    </row>
    <row r="3815" spans="1:15">
      <c r="A3815" t="s">
        <v>17344</v>
      </c>
      <c r="B3815" t="str">
        <f>'9A'!$AK$40</f>
        <v>BO_709060</v>
      </c>
      <c r="D3815" s="2607" t="s">
        <v>18111</v>
      </c>
      <c r="E3815" t="s">
        <v>4215</v>
      </c>
      <c r="F3815" t="s">
        <v>17334</v>
      </c>
      <c r="G3815">
        <v>3</v>
      </c>
      <c r="O3815" t="str">
        <f>D3815</f>
        <v>Innovation Total -Total amount of funding awarded to the lead company through the innovation fund</v>
      </c>
    </row>
    <row r="3816" spans="1:15">
      <c r="A3816" t="s">
        <v>17344</v>
      </c>
      <c r="B3816" t="str">
        <f>'9A'!$AL$40</f>
        <v>BO_8196426</v>
      </c>
      <c r="D3816" s="2607" t="s">
        <v>18112</v>
      </c>
      <c r="E3816" t="s">
        <v>4215</v>
      </c>
      <c r="F3816" t="s">
        <v>17334</v>
      </c>
      <c r="G3816">
        <v>3</v>
      </c>
      <c r="O3816" t="str">
        <f t="shared" ref="O3816:O3827" si="30">D3816</f>
        <v>Innovation Total -Total amount of inflation top-up funding received</v>
      </c>
    </row>
    <row r="3817" spans="1:15">
      <c r="A3817" t="s">
        <v>17344</v>
      </c>
      <c r="B3817" t="str">
        <f>'9A'!$AM$40</f>
        <v>BO_1993881</v>
      </c>
      <c r="D3817" s="2607" t="s">
        <v>18113</v>
      </c>
      <c r="E3817" t="s">
        <v>4215</v>
      </c>
      <c r="F3817" t="s">
        <v>17334</v>
      </c>
      <c r="G3817">
        <v>3</v>
      </c>
      <c r="O3817" t="str">
        <f t="shared" si="30"/>
        <v>Innovation Total -Forecast expenditure on innovation fund projects in year (excl 10% partnership contribution)</v>
      </c>
    </row>
    <row r="3818" spans="1:15">
      <c r="A3818" t="s">
        <v>17344</v>
      </c>
      <c r="B3818" t="str">
        <f>'9A'!$AN$40</f>
        <v>BO_8061588</v>
      </c>
      <c r="D3818" s="2607" t="s">
        <v>18114</v>
      </c>
      <c r="E3818" t="s">
        <v>4215</v>
      </c>
      <c r="F3818" t="s">
        <v>17334</v>
      </c>
      <c r="G3818">
        <v>3</v>
      </c>
      <c r="O3818" t="str">
        <f t="shared" si="30"/>
        <v>Innovation Total -Actual expenditure on innovation fund projects in year (excl 10% partnership contribution)</v>
      </c>
    </row>
    <row r="3819" spans="1:15">
      <c r="A3819" t="s">
        <v>17344</v>
      </c>
      <c r="B3819" t="str">
        <f>'9A'!$AO$40</f>
        <v>BO_2205112</v>
      </c>
      <c r="D3819" s="2607" t="s">
        <v>18115</v>
      </c>
      <c r="E3819" t="s">
        <v>4215</v>
      </c>
      <c r="F3819" t="s">
        <v>17334</v>
      </c>
      <c r="G3819">
        <v>3</v>
      </c>
      <c r="O3819" t="str">
        <f t="shared" si="30"/>
        <v xml:space="preserve">Innovation Total -Difference between actual and forecast expenditure </v>
      </c>
    </row>
    <row r="3820" spans="1:15">
      <c r="A3820" t="s">
        <v>17344</v>
      </c>
      <c r="B3820" t="str">
        <f>'9A'!$AP$40</f>
        <v>BO_2488494</v>
      </c>
      <c r="D3820" s="2607" t="s">
        <v>18116</v>
      </c>
      <c r="E3820" t="s">
        <v>4215</v>
      </c>
      <c r="F3820" t="s">
        <v>17334</v>
      </c>
      <c r="G3820">
        <v>3</v>
      </c>
      <c r="O3820" t="str">
        <f t="shared" si="30"/>
        <v>Innovation Total -Forecast project lifecycle expenditure on innovation fund projects (excl 10% partnership contribution)</v>
      </c>
    </row>
    <row r="3821" spans="1:15">
      <c r="A3821" t="s">
        <v>17344</v>
      </c>
      <c r="B3821" t="str">
        <f>'9A'!$AQ$40</f>
        <v>BO_3942593</v>
      </c>
      <c r="D3821" s="2607" t="s">
        <v>18117</v>
      </c>
      <c r="E3821" t="s">
        <v>4215</v>
      </c>
      <c r="F3821" t="s">
        <v>17334</v>
      </c>
      <c r="G3821">
        <v>3</v>
      </c>
      <c r="O3821" t="str">
        <f t="shared" si="30"/>
        <v>Innovation Total -Cumulative actual expenditure on innovation fund projects (excl 10% partnership contribution)</v>
      </c>
    </row>
    <row r="3822" spans="1:15">
      <c r="A3822" t="s">
        <v>17344</v>
      </c>
      <c r="B3822" t="str">
        <f>'9A'!$AR$40</f>
        <v>BO_7737865</v>
      </c>
      <c r="D3822" s="2607" t="s">
        <v>18115</v>
      </c>
      <c r="E3822" t="s">
        <v>4215</v>
      </c>
      <c r="F3822" t="s">
        <v>17334</v>
      </c>
      <c r="G3822">
        <v>3</v>
      </c>
      <c r="O3822" t="str">
        <f t="shared" si="30"/>
        <v xml:space="preserve">Innovation Total -Difference between actual and forecast expenditure </v>
      </c>
    </row>
    <row r="3823" spans="1:15">
      <c r="A3823" t="s">
        <v>17344</v>
      </c>
      <c r="B3823" t="str">
        <f>'9A'!$AS$40</f>
        <v>BO_9499548</v>
      </c>
      <c r="D3823" s="2607" t="s">
        <v>18118</v>
      </c>
      <c r="E3823" t="s">
        <v>4215</v>
      </c>
      <c r="F3823" t="s">
        <v>17334</v>
      </c>
      <c r="G3823">
        <v>3</v>
      </c>
      <c r="O3823" t="str">
        <f t="shared" si="30"/>
        <v>Innovation Total -Allowed future expenditure on innovation fund projects (excl 10% partnership contribution)</v>
      </c>
    </row>
    <row r="3824" spans="1:15">
      <c r="A3824" t="s">
        <v>17344</v>
      </c>
      <c r="B3824" t="str">
        <f>'9A'!$AT$40</f>
        <v>BO_9075086</v>
      </c>
      <c r="D3824" s="2608" t="s">
        <v>18119</v>
      </c>
      <c r="E3824" t="s">
        <v>4215</v>
      </c>
      <c r="F3824" t="s">
        <v>17334</v>
      </c>
      <c r="G3824">
        <v>3</v>
      </c>
      <c r="O3824" t="str">
        <f t="shared" si="30"/>
        <v>Innovation Total -In year expenditure on innovation projects funded by shareholders of the lead water company</v>
      </c>
    </row>
    <row r="3825" spans="1:15">
      <c r="A3825" t="s">
        <v>17344</v>
      </c>
      <c r="B3825" t="str">
        <f>'9A'!$AU$40</f>
        <v>BO23_9075086</v>
      </c>
      <c r="D3825" s="2608" t="s">
        <v>18120</v>
      </c>
      <c r="E3825" t="s">
        <v>4215</v>
      </c>
      <c r="F3825" t="s">
        <v>17334</v>
      </c>
      <c r="G3825">
        <v>3</v>
      </c>
      <c r="O3825" t="str">
        <f t="shared" si="30"/>
        <v>Innovation Total -In year expenditure on innovation projects funded by project  partner contributions</v>
      </c>
    </row>
    <row r="3826" spans="1:15">
      <c r="A3826" t="s">
        <v>17344</v>
      </c>
      <c r="B3826" t="str">
        <f>'9A'!$AV$40</f>
        <v>BO_2988952</v>
      </c>
      <c r="D3826" s="2607" t="s">
        <v>18121</v>
      </c>
      <c r="E3826" t="s">
        <v>4215</v>
      </c>
      <c r="F3826" t="s">
        <v>17334</v>
      </c>
      <c r="G3826">
        <v>3</v>
      </c>
      <c r="O3826" t="str">
        <f t="shared" si="30"/>
        <v>Innovation Total -Cumulative expenditure on innovation projects funded by shareholders of the lead water company</v>
      </c>
    </row>
    <row r="3827" spans="1:15">
      <c r="A3827" t="s">
        <v>17344</v>
      </c>
      <c r="B3827" t="str">
        <f>'9A'!$AW$40</f>
        <v>BO23_2988952</v>
      </c>
      <c r="D3827" s="2607" t="s">
        <v>18122</v>
      </c>
      <c r="E3827" t="s">
        <v>4215</v>
      </c>
      <c r="F3827" t="s">
        <v>17334</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1089.4639999999999</v>
      </c>
      <c r="F3828" t="s">
        <v>17334</v>
      </c>
      <c r="G3828">
        <f>'11A'!$D$11</f>
        <v>10534.447</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1089.4639999999999</v>
      </c>
      <c r="F3829" t="s">
        <v>17334</v>
      </c>
      <c r="G3829">
        <f>'11A'!$D$11</f>
        <v>10534.447</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1089.4639999999999</v>
      </c>
      <c r="F3830" t="s">
        <v>17334</v>
      </c>
      <c r="G3830">
        <f>'11A'!$D$11</f>
        <v>10534.447</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1089.4639999999999</v>
      </c>
      <c r="F3831" t="s">
        <v>17334</v>
      </c>
      <c r="G3831">
        <f>'11A'!$D$12</f>
        <v>10534.447</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1089.4639999999999</v>
      </c>
      <c r="F3832" t="s">
        <v>17334</v>
      </c>
      <c r="G3832">
        <f>'11A'!$D$12</f>
        <v>10534.447</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1089.4639999999999</v>
      </c>
      <c r="F3833" t="s">
        <v>17334</v>
      </c>
      <c r="G3833">
        <f>'11A'!$D$12</f>
        <v>10534.447</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587.61400000000003</v>
      </c>
      <c r="F3834" t="s">
        <v>17334</v>
      </c>
      <c r="G3834">
        <f>'11A'!$D$13</f>
        <v>39873.771999999997</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587.61400000000003</v>
      </c>
      <c r="F3835" t="s">
        <v>17334</v>
      </c>
      <c r="G3835">
        <f>'11A'!$D$13</f>
        <v>39873.771999999997</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587.61400000000003</v>
      </c>
      <c r="F3836" t="s">
        <v>17334</v>
      </c>
      <c r="G3836">
        <f>'11A'!$D$13</f>
        <v>39873.771999999997</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2938.6790000000001</v>
      </c>
      <c r="F3837" t="s">
        <v>17334</v>
      </c>
      <c r="G3837">
        <f>'11A'!$D$14</f>
        <v>4469.0510000000004</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2938.6790000000001</v>
      </c>
      <c r="F3838" t="s">
        <v>17334</v>
      </c>
      <c r="G3838">
        <f>'11A'!$D$14</f>
        <v>4469.0510000000004</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2938.6790000000001</v>
      </c>
      <c r="F3839" t="s">
        <v>17334</v>
      </c>
      <c r="G3839">
        <f>'11A'!$D$14</f>
        <v>4469.0510000000004</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17334</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17334</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17334</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4615.7569999999996</v>
      </c>
      <c r="F3843" t="s">
        <v>17334</v>
      </c>
      <c r="G3843">
        <f>'11A'!$D$16</f>
        <v>54877.27</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4615.7569999999996</v>
      </c>
      <c r="F3844" t="s">
        <v>17334</v>
      </c>
      <c r="G3844">
        <f>'11A'!$D$16</f>
        <v>54877.27</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4615.7569999999996</v>
      </c>
      <c r="F3845" t="s">
        <v>17334</v>
      </c>
      <c r="G3845">
        <f>'11A'!$D$16</f>
        <v>54877.27</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4615.7569999999996</v>
      </c>
      <c r="F3846" t="s">
        <v>17334</v>
      </c>
      <c r="G3846">
        <f>'11A'!$D$17</f>
        <v>54877.27</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4615.7569999999996</v>
      </c>
      <c r="F3847" t="s">
        <v>17334</v>
      </c>
      <c r="G3847">
        <f>'11A'!$D$17</f>
        <v>54877.27</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4615.7569999999996</v>
      </c>
      <c r="F3848" t="s">
        <v>17334</v>
      </c>
      <c r="G3848">
        <f>'11A'!$D$17</f>
        <v>54877.27</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3971.768</v>
      </c>
      <c r="F3849" t="s">
        <v>17334</v>
      </c>
      <c r="G3849">
        <f>'11A'!$D$19</f>
        <v>14885.169</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3971.768</v>
      </c>
      <c r="F3850" t="s">
        <v>17334</v>
      </c>
      <c r="G3850">
        <f>'11A'!$D$19</f>
        <v>14885.169</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3971.768</v>
      </c>
      <c r="F3851" t="s">
        <v>17334</v>
      </c>
      <c r="G3851">
        <f>'11A'!$D$19</f>
        <v>14885.169</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0.71899999999999997</v>
      </c>
      <c r="F3852" t="s">
        <v>17334</v>
      </c>
      <c r="G3852">
        <f>'11A'!$D$20</f>
        <v>14098.584000000001</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0.71899999999999997</v>
      </c>
      <c r="F3853" t="s">
        <v>17334</v>
      </c>
      <c r="G3853">
        <f>'11A'!$D$20</f>
        <v>14098.584000000001</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0.71899999999999997</v>
      </c>
      <c r="F3854" t="s">
        <v>17334</v>
      </c>
      <c r="G3854">
        <f>'11A'!$D$20</f>
        <v>14098.584000000001</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55.655999999999999</v>
      </c>
      <c r="F3855" t="s">
        <v>17334</v>
      </c>
      <c r="G3855">
        <f>'11A'!$D$21</f>
        <v>21409.317999999999</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55.655999999999999</v>
      </c>
      <c r="F3856" t="s">
        <v>17334</v>
      </c>
      <c r="G3856">
        <f>'11A'!$D$21</f>
        <v>21409.317999999999</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55.655999999999999</v>
      </c>
      <c r="F3857" t="s">
        <v>17334</v>
      </c>
      <c r="G3857">
        <f>'11A'!$D$21</f>
        <v>21409.317999999999</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0</v>
      </c>
      <c r="F3858" t="s">
        <v>17334</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0</v>
      </c>
      <c r="F3859" t="s">
        <v>17334</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0</v>
      </c>
      <c r="F3860" t="s">
        <v>17334</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44305.82</v>
      </c>
      <c r="F3861" t="s">
        <v>17334</v>
      </c>
      <c r="G3861">
        <f>'11A'!$D$25</f>
        <v>39557.54</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44305.82</v>
      </c>
      <c r="F3862" t="s">
        <v>17334</v>
      </c>
      <c r="G3862">
        <f>'11A'!$D$25</f>
        <v>39557.54</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44305.82</v>
      </c>
      <c r="F3863" t="s">
        <v>17334</v>
      </c>
      <c r="G3863">
        <f>'11A'!$D$25</f>
        <v>39557.54</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6261.89</v>
      </c>
      <c r="F3864" t="s">
        <v>17334</v>
      </c>
      <c r="G3864">
        <f>'11A'!$D$26</f>
        <v>5590.8</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6261.89</v>
      </c>
      <c r="F3865" t="s">
        <v>17334</v>
      </c>
      <c r="G3865">
        <f>'11A'!$D$26</f>
        <v>5590.8</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6261.89</v>
      </c>
      <c r="F3866" t="s">
        <v>17334</v>
      </c>
      <c r="G3866">
        <f>'11A'!$D$26</f>
        <v>5590.8</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17334</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17334</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17334</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17334</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17334</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17334</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17334</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17334</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17334</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44305.82</v>
      </c>
      <c r="F3876" t="s">
        <v>17334</v>
      </c>
      <c r="G3876">
        <f>'11A'!$D$30</f>
        <v>39557.54</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44305.82</v>
      </c>
      <c r="F3877" t="s">
        <v>17334</v>
      </c>
      <c r="G3877">
        <f>'11A'!$D$30</f>
        <v>39557.54</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44305.82</v>
      </c>
      <c r="F3878" t="s">
        <v>17334</v>
      </c>
      <c r="G3878">
        <f>'11A'!$D$30</f>
        <v>39557.54</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6261.89</v>
      </c>
      <c r="F3879" t="s">
        <v>17334</v>
      </c>
      <c r="G3879">
        <f>'11A'!$D$31</f>
        <v>5590.8</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6261.89</v>
      </c>
      <c r="F3880" t="s">
        <v>17334</v>
      </c>
      <c r="G3880">
        <f>'11A'!$D$31</f>
        <v>5590.8</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6261.89</v>
      </c>
      <c r="F3881" t="s">
        <v>17334</v>
      </c>
      <c r="G3881">
        <f>'11A'!$D$31</f>
        <v>5590.8</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43808.65</v>
      </c>
      <c r="F3882" t="s">
        <v>17334</v>
      </c>
      <c r="G3882">
        <f>'11A'!$D$33</f>
        <v>39113.64</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43808.65</v>
      </c>
      <c r="F3883" t="s">
        <v>17334</v>
      </c>
      <c r="G3883">
        <f>'11A'!$D$33</f>
        <v>39113.64</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43808.65</v>
      </c>
      <c r="F3884" t="s">
        <v>17334</v>
      </c>
      <c r="G3884">
        <f>'11A'!$D$33</f>
        <v>39113.64</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183.29</v>
      </c>
      <c r="F3885" t="s">
        <v>17334</v>
      </c>
      <c r="G3885">
        <f>'11A'!$D$34</f>
        <v>163.65</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183.29</v>
      </c>
      <c r="F3886" t="s">
        <v>17334</v>
      </c>
      <c r="G3886">
        <f>'11A'!$D$34</f>
        <v>163.65</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183.29</v>
      </c>
      <c r="F3887" t="s">
        <v>17334</v>
      </c>
      <c r="G3887">
        <f>'11A'!$D$34</f>
        <v>163.65</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313.88</v>
      </c>
      <c r="F3888" t="s">
        <v>17334</v>
      </c>
      <c r="G3888">
        <f>'11A'!$D$35</f>
        <v>280.25</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313.88</v>
      </c>
      <c r="F3889" t="s">
        <v>17334</v>
      </c>
      <c r="G3889">
        <f>'11A'!$D$35</f>
        <v>280.25</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313.88</v>
      </c>
      <c r="F3890" t="s">
        <v>17334</v>
      </c>
      <c r="G3890">
        <f>'11A'!$D$35</f>
        <v>280.25</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17334</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17334</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17334</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270.8</v>
      </c>
      <c r="F3894" t="s">
        <v>17334</v>
      </c>
      <c r="G3894">
        <f>'11A'!$D$39</f>
        <v>270.8</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270.8</v>
      </c>
      <c r="F3895" t="s">
        <v>17334</v>
      </c>
      <c r="G3895">
        <f>'11A'!$D$39</f>
        <v>270.8</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270.8</v>
      </c>
      <c r="F3896" t="s">
        <v>17334</v>
      </c>
      <c r="G3896">
        <f>'11A'!$D$39</f>
        <v>270.8</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1327.75</v>
      </c>
      <c r="F3897" t="s">
        <v>17334</v>
      </c>
      <c r="G3897">
        <f>'11A'!$D$40</f>
        <v>3699.68</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1327.75</v>
      </c>
      <c r="F3898" t="s">
        <v>17334</v>
      </c>
      <c r="G3898">
        <f>'11A'!$D$40</f>
        <v>3699.68</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1327.75</v>
      </c>
      <c r="F3899" t="s">
        <v>17334</v>
      </c>
      <c r="G3899">
        <f>'11A'!$D$40</f>
        <v>3699.68</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14649.61</v>
      </c>
      <c r="F3900" t="s">
        <v>17334</v>
      </c>
      <c r="G3900">
        <f>'11A'!$D$41</f>
        <v>13072.22</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14649.61</v>
      </c>
      <c r="F3901" t="s">
        <v>17334</v>
      </c>
      <c r="G3901">
        <f>'11A'!$D$41</f>
        <v>13072.22</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14649.61</v>
      </c>
      <c r="F3902" t="s">
        <v>17334</v>
      </c>
      <c r="G3902">
        <f>'11A'!$D$41</f>
        <v>13072.22</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4053</v>
      </c>
      <c r="F3903" t="s">
        <v>17334</v>
      </c>
      <c r="G3903">
        <f>'11A'!$D$42</f>
        <v>3618.64</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4053</v>
      </c>
      <c r="F3904" t="s">
        <v>17334</v>
      </c>
      <c r="G3904">
        <f>'11A'!$D$42</f>
        <v>3618.64</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4053</v>
      </c>
      <c r="F3905" t="s">
        <v>17334</v>
      </c>
      <c r="G3905">
        <f>'11A'!$D$42</f>
        <v>3618.64</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47.085000000000001</v>
      </c>
      <c r="F3906" t="s">
        <v>17334</v>
      </c>
      <c r="G3906">
        <f>'11A'!$D$43</f>
        <v>1728.335</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47.085000000000001</v>
      </c>
      <c r="F3907" t="s">
        <v>17334</v>
      </c>
      <c r="G3907">
        <f>'11A'!$D$43</f>
        <v>1728.335</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47.085000000000001</v>
      </c>
      <c r="F3908" t="s">
        <v>17334</v>
      </c>
      <c r="G3908">
        <f>'11A'!$D$43</f>
        <v>1728.335</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1624.213</v>
      </c>
      <c r="F3909" t="s">
        <v>17334</v>
      </c>
      <c r="G3909">
        <f>'11A'!$D$44</f>
        <v>1096.45</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1624.213</v>
      </c>
      <c r="F3910" t="s">
        <v>17334</v>
      </c>
      <c r="G3910">
        <f>'11A'!$D$44</f>
        <v>1096.45</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1624.213</v>
      </c>
      <c r="F3911" t="s">
        <v>17334</v>
      </c>
      <c r="G3911">
        <f>'11A'!$D$44</f>
        <v>1096.45</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3304.86</v>
      </c>
      <c r="F3912" t="s">
        <v>17334</v>
      </c>
      <c r="G3912">
        <f>'11A'!$D$45</f>
        <v>2088.9899999999998</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3304.86</v>
      </c>
      <c r="F3913" t="s">
        <v>17334</v>
      </c>
      <c r="G3913">
        <f>'11A'!$D$45</f>
        <v>2088.9899999999998</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3304.86</v>
      </c>
      <c r="F3914" t="s">
        <v>17334</v>
      </c>
      <c r="G3914">
        <f>'11A'!$D$45</f>
        <v>2088.9899999999998</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0</v>
      </c>
      <c r="F3915" t="s">
        <v>17334</v>
      </c>
      <c r="G3915">
        <f>'11A'!$D$46</f>
        <v>6431.49</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0</v>
      </c>
      <c r="F3916" t="s">
        <v>17334</v>
      </c>
      <c r="G3916">
        <f>'11A'!$D$46</f>
        <v>6431.49</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0</v>
      </c>
      <c r="F3917" t="s">
        <v>17334</v>
      </c>
      <c r="G3917">
        <f>'11A'!$D$46</f>
        <v>6431.49</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21224.317999999999</v>
      </c>
      <c r="F3918" t="s">
        <v>17334</v>
      </c>
      <c r="G3918">
        <f>'11A'!$D$47</f>
        <v>28387.964999999997</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21224.317999999999</v>
      </c>
      <c r="F3919" t="s">
        <v>17334</v>
      </c>
      <c r="G3919">
        <f>'11A'!$D$47</f>
        <v>28387.964999999997</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21224.317999999999</v>
      </c>
      <c r="F3920" t="s">
        <v>17334</v>
      </c>
      <c r="G3920">
        <f>'11A'!$D$47</f>
        <v>28387.964999999997</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10627.708000000001</v>
      </c>
      <c r="F3921" t="s">
        <v>17334</v>
      </c>
      <c r="G3921">
        <f>'11A'!$D$48</f>
        <v>18934.385000000002</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10627.708000000001</v>
      </c>
      <c r="F3922" t="s">
        <v>17334</v>
      </c>
      <c r="G3922">
        <f>'11A'!$D$48</f>
        <v>18934.385000000002</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10627.708000000001</v>
      </c>
      <c r="F3923" t="s">
        <v>17334</v>
      </c>
      <c r="G3923">
        <f>'11A'!$D$48</f>
        <v>18934.385000000002</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0</v>
      </c>
      <c r="F3924" t="s">
        <v>17334</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0</v>
      </c>
      <c r="F3925" t="s">
        <v>17334</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0</v>
      </c>
      <c r="F3926" t="s">
        <v>17334</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0</v>
      </c>
      <c r="F3927" t="s">
        <v>17334</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0</v>
      </c>
      <c r="F3928" t="s">
        <v>17334</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0</v>
      </c>
      <c r="F3929" t="s">
        <v>17334</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0</v>
      </c>
      <c r="F3930" t="s">
        <v>17334</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0</v>
      </c>
      <c r="F3931" t="s">
        <v>17334</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0</v>
      </c>
      <c r="F3932" t="s">
        <v>17334</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17334</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17334</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17334</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70145.89499999999</v>
      </c>
      <c r="F3936" t="s">
        <v>17334</v>
      </c>
      <c r="G3936">
        <f>'11A'!$D$56</f>
        <v>122822.77499999999</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70145.89499999999</v>
      </c>
      <c r="F3937" t="s">
        <v>17334</v>
      </c>
      <c r="G3937">
        <f>'11A'!$D$56</f>
        <v>122822.77499999999</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70145.89499999999</v>
      </c>
      <c r="F3938" t="s">
        <v>17334</v>
      </c>
      <c r="G3938">
        <f>'11A'!$D$56</f>
        <v>122822.77499999999</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21505.355000000003</v>
      </c>
      <c r="F3939" t="s">
        <v>17334</v>
      </c>
      <c r="G3939">
        <f>'11A'!$D$57</f>
        <v>79402.455000000002</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21505.355000000003</v>
      </c>
      <c r="F3940" t="s">
        <v>17334</v>
      </c>
      <c r="G3940">
        <f>'11A'!$D$57</f>
        <v>79402.455000000002</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21505.355000000003</v>
      </c>
      <c r="F3941" t="s">
        <v>17334</v>
      </c>
      <c r="G3941">
        <f>'11A'!$D$57</f>
        <v>79402.455000000002</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5485.17</v>
      </c>
      <c r="F3942" t="s">
        <v>17334</v>
      </c>
      <c r="G3942">
        <f>'11A'!$D$60</f>
        <v>1063.6500000000001</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5485.17</v>
      </c>
      <c r="F3943" t="s">
        <v>17334</v>
      </c>
      <c r="G3943">
        <f>'11A'!$D$60</f>
        <v>1063.6500000000001</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5485.17</v>
      </c>
      <c r="F3944" t="s">
        <v>17334</v>
      </c>
      <c r="G3944">
        <f>'11A'!$D$60</f>
        <v>1063.6500000000001</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17334</v>
      </c>
      <c r="G3945">
        <f>'11A'!$D$61</f>
        <v>3858.52</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17334</v>
      </c>
      <c r="G3946">
        <f>'11A'!$D$61</f>
        <v>3858.52</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17334</v>
      </c>
      <c r="G3947">
        <f>'11A'!$D$61</f>
        <v>3858.52</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17334</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17334</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17334</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17334</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17334</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17334</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5485.17</v>
      </c>
      <c r="F3954" t="s">
        <v>17334</v>
      </c>
      <c r="G3954">
        <f>'11A'!$D$64</f>
        <v>4922.17</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5485.17</v>
      </c>
      <c r="F3955" t="s">
        <v>17334</v>
      </c>
      <c r="G3955">
        <f>'11A'!$D$64</f>
        <v>4922.17</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5485.17</v>
      </c>
      <c r="F3956" t="s">
        <v>17334</v>
      </c>
      <c r="G3956">
        <f>'11A'!$D$64</f>
        <v>4922.17</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64660.724999999991</v>
      </c>
      <c r="F3957" t="s">
        <v>17334</v>
      </c>
      <c r="G3957">
        <f>'11A'!$D$68</f>
        <v>117900.605</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64660.724999999991</v>
      </c>
      <c r="F3958" t="s">
        <v>17334</v>
      </c>
      <c r="G3958">
        <f>'11A'!$D$68</f>
        <v>117900.605</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64660.724999999991</v>
      </c>
      <c r="F3959" t="s">
        <v>17334</v>
      </c>
      <c r="G3959">
        <f>'11A'!$D$68</f>
        <v>117900.605</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21505.355000000003</v>
      </c>
      <c r="F3960" t="s">
        <v>17334</v>
      </c>
      <c r="G3960">
        <f>'11A'!$D$69</f>
        <v>79402.455000000002</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21505.355000000003</v>
      </c>
      <c r="F3961" t="s">
        <v>17334</v>
      </c>
      <c r="G3961">
        <f>'11A'!$D$69</f>
        <v>79402.455000000002</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21505.355000000003</v>
      </c>
      <c r="F3962" t="s">
        <v>17334</v>
      </c>
      <c r="G3962">
        <f>'11A'!$D$69</f>
        <v>79402.455000000002</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134.97999999999999</v>
      </c>
      <c r="F3963" t="s">
        <v>17334</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17334</v>
      </c>
      <c r="G3964">
        <f>'11A'!$D$77</f>
        <v>166.89</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17334</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17334</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17334</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t="str">
        <f>'11A'!$C$92</f>
        <v>N/A</v>
      </c>
      <c r="F3968" t="s">
        <v>17334</v>
      </c>
      <c r="G3968" t="str">
        <f>'11A'!$D$92</f>
        <v>N/A</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t="str">
        <f>'11A'!$C$92</f>
        <v>N/A</v>
      </c>
      <c r="F3969" t="s">
        <v>17334</v>
      </c>
      <c r="G3969" t="str">
        <f>'11A'!$D$92</f>
        <v>N/A</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t="str">
        <f>'11A'!$C$92</f>
        <v>N/A</v>
      </c>
      <c r="F3970" t="s">
        <v>17334</v>
      </c>
      <c r="G3970" t="str">
        <f>'11A'!$D$92</f>
        <v>N/A</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t="str">
        <f>'11A'!$C$93</f>
        <v>N/A</v>
      </c>
      <c r="F3971" t="s">
        <v>17334</v>
      </c>
      <c r="G3971" t="str">
        <f>'11A'!$D$93</f>
        <v>N/A</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t="str">
        <f>'11A'!$C$93</f>
        <v>N/A</v>
      </c>
      <c r="F3972" t="s">
        <v>17334</v>
      </c>
      <c r="G3972" t="str">
        <f>'11A'!$D$93</f>
        <v>N/A</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t="str">
        <f>'11A'!$C$93</f>
        <v>N/A</v>
      </c>
      <c r="F3973" t="s">
        <v>17334</v>
      </c>
      <c r="G3973" t="str">
        <f>'11A'!$D$93</f>
        <v>N/A</v>
      </c>
      <c r="O3973" t="str">
        <f>_xlfn.CONCAT('11A'!$B$83, "-", '11A'!$B$93, "-", '11A'!$E$81, "-", '11A'!$E$80, "-", '11A'!$E$79)</f>
        <v>Other-Capital projects (cradle-to-build)-3-tCO2e-Total</v>
      </c>
    </row>
  </sheetData>
  <conditionalFormatting sqref="B2972:B1048576 B1:B211 B842:B2967">
    <cfRule type="duplicateValues" dxfId="266" priority="7"/>
  </conditionalFormatting>
  <conditionalFormatting sqref="D2:D841">
    <cfRule type="duplicateValues" dxfId="265" priority="6"/>
  </conditionalFormatting>
  <conditionalFormatting sqref="B212:B421">
    <cfRule type="duplicateValues" dxfId="264" priority="8"/>
  </conditionalFormatting>
  <conditionalFormatting sqref="B422:B631">
    <cfRule type="duplicateValues" dxfId="263" priority="9"/>
  </conditionalFormatting>
  <conditionalFormatting sqref="B632:B841">
    <cfRule type="duplicateValues" dxfId="262" priority="10"/>
  </conditionalFormatting>
  <conditionalFormatting sqref="C2:C841">
    <cfRule type="duplicateValues" dxfId="261" priority="11"/>
  </conditionalFormatting>
  <conditionalFormatting sqref="B2972:B1048576 B1:B2967">
    <cfRule type="duplicateValues" dxfId="260" priority="4"/>
    <cfRule type="duplicateValues" dxfId="259" priority="5"/>
  </conditionalFormatting>
  <conditionalFormatting sqref="B2968:B2971">
    <cfRule type="expression" dxfId="258" priority="3">
      <formula>$C2968="New Bon"</formula>
    </cfRule>
  </conditionalFormatting>
  <conditionalFormatting sqref="C2968:D2968 C2969:C2971">
    <cfRule type="expression" dxfId="257" priority="2">
      <formula>$C2968="New Bon"</formula>
    </cfRule>
  </conditionalFormatting>
  <conditionalFormatting sqref="B1:B1048576">
    <cfRule type="duplicateValues" dxfId="256"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21" zoomScaleNormal="100" zoomScaleSheetLayoutView="100" workbookViewId="0">
      <selection activeCell="E27" sqref="E27:K28"/>
    </sheetView>
  </sheetViews>
  <sheetFormatPr defaultColWidth="8.59765625" defaultRowHeight="15.6"/>
  <cols>
    <col min="1" max="1" width="1.59765625" style="224" customWidth="1"/>
    <col min="2" max="2" width="32" style="224" customWidth="1"/>
    <col min="3" max="3" width="7" style="224" customWidth="1"/>
    <col min="4" max="4" width="5.5" style="224" customWidth="1"/>
    <col min="5" max="5" width="13" style="224" customWidth="1"/>
    <col min="6" max="6" width="12.09765625" style="224" customWidth="1"/>
    <col min="7" max="12" width="12.5" style="584" customWidth="1"/>
    <col min="13" max="13" width="1.59765625" style="260" customWidth="1"/>
    <col min="14" max="14" width="12.5" style="585" customWidth="1"/>
    <col min="15" max="15" width="1.59765625" style="224" customWidth="1"/>
    <col min="16" max="16" width="33.59765625" style="224" customWidth="1"/>
    <col min="17" max="18" width="1.59765625" style="224" customWidth="1"/>
    <col min="19" max="19" width="20.09765625" style="224" customWidth="1"/>
    <col min="20" max="20" width="1.59765625" style="263" customWidth="1"/>
    <col min="21" max="27" width="7.5" style="263" hidden="1" customWidth="1"/>
    <col min="28" max="28" width="1.59765625" style="263" hidden="1" customWidth="1"/>
    <col min="29" max="29" width="1.59765625" style="224" customWidth="1"/>
    <col min="30" max="30" width="35.19921875" style="224" customWidth="1"/>
    <col min="31" max="31" width="13.69921875" style="224" bestFit="1" customWidth="1"/>
    <col min="32" max="32" width="13" style="224" bestFit="1" customWidth="1"/>
    <col min="33" max="38" width="12.5" style="224" customWidth="1"/>
    <col min="39" max="39" width="1.59765625" style="224" customWidth="1"/>
    <col min="40" max="16384" width="8.59765625" style="224"/>
  </cols>
  <sheetData>
    <row r="1" spans="1:38" s="389" customFormat="1" ht="22.8">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2.8">
      <c r="B2" s="2721" t="str">
        <f>SelectCompany!B4</f>
        <v>Dŵr Cymru</v>
      </c>
      <c r="C2" s="2721"/>
      <c r="D2" s="2721"/>
      <c r="E2" s="2721"/>
      <c r="F2" s="2721"/>
      <c r="G2" s="2721"/>
      <c r="H2" s="2721"/>
      <c r="I2" s="2721"/>
      <c r="J2" s="2721"/>
      <c r="K2" s="563"/>
      <c r="L2" s="563"/>
      <c r="M2" s="529"/>
      <c r="N2" s="529"/>
      <c r="R2" s="340"/>
      <c r="S2" s="259"/>
      <c r="T2" s="361"/>
      <c r="U2" s="263"/>
      <c r="V2" s="263"/>
      <c r="W2" s="263"/>
      <c r="X2" s="263"/>
      <c r="Y2" s="263"/>
      <c r="Z2" s="263"/>
      <c r="AA2" s="263"/>
      <c r="AB2" s="361"/>
      <c r="AD2" s="561"/>
      <c r="AE2" s="561"/>
      <c r="AF2" s="561"/>
    </row>
    <row r="3" spans="1:38" s="197" customFormat="1" ht="19.2">
      <c r="B3" s="2722" t="s">
        <v>5602</v>
      </c>
      <c r="C3" s="2723"/>
      <c r="D3" s="2723"/>
      <c r="E3" s="2723"/>
      <c r="F3" s="2723"/>
      <c r="G3" s="2723"/>
      <c r="H3" s="2723"/>
      <c r="I3" s="2723"/>
      <c r="J3" s="2723"/>
      <c r="K3" s="2723"/>
      <c r="L3" s="2723"/>
      <c r="M3" s="2723"/>
      <c r="N3" s="2723"/>
      <c r="O3" s="2723"/>
      <c r="P3" s="2723"/>
      <c r="R3" s="342"/>
      <c r="S3" s="265" t="s">
        <v>4200</v>
      </c>
      <c r="T3" s="361"/>
      <c r="U3" s="263"/>
      <c r="V3" s="263"/>
      <c r="W3" s="263"/>
      <c r="X3" s="263"/>
      <c r="Y3" s="263"/>
      <c r="Z3" s="263"/>
      <c r="AA3" s="263"/>
      <c r="AB3" s="361"/>
      <c r="AD3" s="2724" t="s">
        <v>5602</v>
      </c>
      <c r="AE3" s="2725"/>
      <c r="AF3" s="2725"/>
      <c r="AG3" s="2725"/>
      <c r="AH3" s="2725"/>
      <c r="AI3" s="2725"/>
      <c r="AJ3" s="2725"/>
      <c r="AK3" s="2725"/>
      <c r="AL3" s="2725"/>
    </row>
    <row r="4" spans="1:38" s="197" customFormat="1" ht="23.4" thickBot="1">
      <c r="B4" s="530"/>
      <c r="C4" s="530"/>
      <c r="D4" s="530"/>
      <c r="E4" s="530"/>
      <c r="F4" s="530"/>
      <c r="G4" s="564"/>
      <c r="H4" s="564"/>
      <c r="I4" s="564"/>
      <c r="J4" s="564"/>
      <c r="K4" s="564"/>
      <c r="L4" s="564"/>
      <c r="M4" s="106"/>
      <c r="N4" s="565"/>
      <c r="R4" s="345"/>
      <c r="S4" s="224"/>
      <c r="T4" s="361"/>
      <c r="U4" s="2710" t="s">
        <v>4201</v>
      </c>
      <c r="V4" s="2710"/>
      <c r="W4" s="2710"/>
      <c r="X4" s="2710"/>
      <c r="Y4" s="2710"/>
      <c r="Z4" s="2710"/>
      <c r="AA4" s="2710"/>
      <c r="AB4" s="361"/>
      <c r="AD4" s="530"/>
      <c r="AE4" s="530"/>
      <c r="AF4" s="530"/>
      <c r="AG4" s="530"/>
      <c r="AH4" s="530"/>
      <c r="AI4" s="530"/>
      <c r="AJ4" s="530"/>
      <c r="AK4" s="530"/>
      <c r="AL4" s="530"/>
    </row>
    <row r="5" spans="1:38" ht="46.2"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2"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57.152000000000001</v>
      </c>
      <c r="F8" s="278">
        <v>8.5180000000000007</v>
      </c>
      <c r="G8" s="278">
        <v>318.46699999999998</v>
      </c>
      <c r="H8" s="278">
        <v>3275.6559999999999</v>
      </c>
      <c r="I8" s="278">
        <v>3904.0050000000001</v>
      </c>
      <c r="J8" s="278">
        <v>458.95299999999997</v>
      </c>
      <c r="K8" s="278">
        <v>0</v>
      </c>
      <c r="L8" s="280">
        <f t="shared" ref="L8:L13" si="0">IFERROR(SUM(E8:K8),0)</f>
        <v>8022.7510000000002</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-0.1</v>
      </c>
      <c r="H9" s="287">
        <v>-1.577</v>
      </c>
      <c r="I9" s="287">
        <v>-1.1850000000000001</v>
      </c>
      <c r="J9" s="287">
        <v>-0.38400000000000001</v>
      </c>
      <c r="K9" s="287">
        <v>0</v>
      </c>
      <c r="L9" s="289">
        <f t="shared" si="0"/>
        <v>-3.246</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0</v>
      </c>
      <c r="F10" s="287">
        <v>0</v>
      </c>
      <c r="G10" s="287">
        <v>43.456000000000003</v>
      </c>
      <c r="H10" s="287">
        <v>109.81100000000001</v>
      </c>
      <c r="I10" s="287">
        <v>122.251</v>
      </c>
      <c r="J10" s="287">
        <v>11.6</v>
      </c>
      <c r="K10" s="287">
        <v>0</v>
      </c>
      <c r="L10" s="289">
        <f t="shared" si="0"/>
        <v>287.11800000000005</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v>
      </c>
      <c r="I12" s="287">
        <v>108.129</v>
      </c>
      <c r="J12" s="287">
        <v>0</v>
      </c>
      <c r="K12" s="287">
        <v>0</v>
      </c>
      <c r="L12" s="289">
        <f t="shared" si="0"/>
        <v>108.129</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57.152000000000001</v>
      </c>
      <c r="F13" s="298">
        <f t="shared" si="8"/>
        <v>8.5180000000000007</v>
      </c>
      <c r="G13" s="298">
        <f t="shared" si="8"/>
        <v>361.82299999999998</v>
      </c>
      <c r="H13" s="298">
        <f t="shared" si="8"/>
        <v>3383.89</v>
      </c>
      <c r="I13" s="298">
        <f t="shared" si="8"/>
        <v>4133.2000000000007</v>
      </c>
      <c r="J13" s="298">
        <f t="shared" si="8"/>
        <v>470.16899999999998</v>
      </c>
      <c r="K13" s="298">
        <f t="shared" si="8"/>
        <v>0</v>
      </c>
      <c r="L13" s="299">
        <f t="shared" si="0"/>
        <v>8414.7520000000004</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-13.593</v>
      </c>
      <c r="F16" s="278">
        <v>-2.08</v>
      </c>
      <c r="G16" s="278">
        <v>-71.676000000000002</v>
      </c>
      <c r="H16" s="278">
        <v>-1489.8150000000001</v>
      </c>
      <c r="I16" s="278">
        <v>-28.398</v>
      </c>
      <c r="J16" s="278">
        <v>-249.67</v>
      </c>
      <c r="K16" s="278">
        <v>0</v>
      </c>
      <c r="L16" s="280">
        <f>IFERROR(SUM(E16:K16),0)</f>
        <v>-1855.232</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9.5000000000000001E-2</v>
      </c>
      <c r="H17" s="287">
        <v>1.456</v>
      </c>
      <c r="I17" s="287">
        <v>1.1379999999999999</v>
      </c>
      <c r="J17" s="287">
        <v>0.35099999999999998</v>
      </c>
      <c r="K17" s="287">
        <v>0</v>
      </c>
      <c r="L17" s="289">
        <f>IFERROR(SUM(E17:K17),0)</f>
        <v>3.04</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20.722999999999999</v>
      </c>
      <c r="H18" s="287">
        <v>212.27</v>
      </c>
      <c r="I18" s="287">
        <v>333.47300000000001</v>
      </c>
      <c r="J18" s="287">
        <v>26.885000000000002</v>
      </c>
      <c r="K18" s="287">
        <v>0</v>
      </c>
      <c r="L18" s="289">
        <f>IFERROR(SUM(E18:K18),0)</f>
        <v>593.351</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-0.41</v>
      </c>
      <c r="F19" s="287">
        <v>-4.4999999999999998E-2</v>
      </c>
      <c r="G19" s="287">
        <v>-15.954000000000001</v>
      </c>
      <c r="H19" s="287">
        <v>-102.352</v>
      </c>
      <c r="I19" s="287">
        <v>-176.179</v>
      </c>
      <c r="J19" s="287">
        <v>-20.158000000000001</v>
      </c>
      <c r="K19" s="287">
        <v>0</v>
      </c>
      <c r="L19" s="289">
        <f>IFERROR(SUM(E19:K19),0)</f>
        <v>-315.09800000000001</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-14.003</v>
      </c>
      <c r="F20" s="298">
        <f t="shared" si="17"/>
        <v>-2.125</v>
      </c>
      <c r="G20" s="298">
        <f t="shared" si="17"/>
        <v>-66.812000000000012</v>
      </c>
      <c r="H20" s="298">
        <f t="shared" si="17"/>
        <v>-1378.4410000000003</v>
      </c>
      <c r="I20" s="298">
        <f t="shared" si="17"/>
        <v>130.03400000000002</v>
      </c>
      <c r="J20" s="298">
        <f t="shared" si="17"/>
        <v>-242.59199999999998</v>
      </c>
      <c r="K20" s="298">
        <f t="shared" si="17"/>
        <v>0</v>
      </c>
      <c r="L20" s="299">
        <f>IFERROR(SUM(E20:K20),0)</f>
        <v>-1573.9390000000003</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43.149000000000001</v>
      </c>
      <c r="F22" s="438">
        <f t="shared" si="18"/>
        <v>6.3930000000000007</v>
      </c>
      <c r="G22" s="438">
        <f t="shared" si="18"/>
        <v>295.01099999999997</v>
      </c>
      <c r="H22" s="438">
        <f t="shared" si="18"/>
        <v>2005.4489999999996</v>
      </c>
      <c r="I22" s="438">
        <f t="shared" si="18"/>
        <v>4263.2340000000004</v>
      </c>
      <c r="J22" s="438">
        <f t="shared" si="18"/>
        <v>227.577</v>
      </c>
      <c r="K22" s="438">
        <f t="shared" si="18"/>
        <v>0</v>
      </c>
      <c r="L22" s="439">
        <f>IFERROR(SUM(E22:K22),0)</f>
        <v>6840.8130000000001</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43.558999999999997</v>
      </c>
      <c r="F24" s="438">
        <f t="shared" si="19"/>
        <v>6.4380000000000006</v>
      </c>
      <c r="G24" s="438">
        <f t="shared" si="19"/>
        <v>246.791</v>
      </c>
      <c r="H24" s="438">
        <f t="shared" si="19"/>
        <v>1785.8409999999999</v>
      </c>
      <c r="I24" s="438">
        <f t="shared" si="19"/>
        <v>3875.607</v>
      </c>
      <c r="J24" s="438">
        <f t="shared" si="19"/>
        <v>209.28299999999999</v>
      </c>
      <c r="K24" s="438">
        <f t="shared" si="19"/>
        <v>0</v>
      </c>
      <c r="L24" s="439">
        <f>IFERROR(SUM(E24:K24),0)</f>
        <v>6167.5190000000002</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-0.41</v>
      </c>
      <c r="F27" s="278">
        <v>-4.4999999999999998E-2</v>
      </c>
      <c r="G27" s="278">
        <v>-15.827999999999999</v>
      </c>
      <c r="H27" s="278">
        <v>-102.28700000000001</v>
      </c>
      <c r="I27" s="278">
        <v>-176.179</v>
      </c>
      <c r="J27" s="278">
        <v>-20.158000000000001</v>
      </c>
      <c r="K27" s="278">
        <v>0</v>
      </c>
      <c r="L27" s="280">
        <f>IFERROR(SUM(E27:K27),0)</f>
        <v>-314.90700000000004</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-0.126</v>
      </c>
      <c r="H28" s="287">
        <v>-6.5000000000000002E-2</v>
      </c>
      <c r="I28" s="287">
        <v>0</v>
      </c>
      <c r="J28" s="287">
        <v>0</v>
      </c>
      <c r="K28" s="287">
        <v>0</v>
      </c>
      <c r="L28" s="289">
        <f>IFERROR(SUM(E28:K28),0)</f>
        <v>-0.191</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-0.41</v>
      </c>
      <c r="F29" s="298">
        <f t="shared" si="28"/>
        <v>-4.4999999999999998E-2</v>
      </c>
      <c r="G29" s="298">
        <f t="shared" si="28"/>
        <v>-15.953999999999999</v>
      </c>
      <c r="H29" s="298">
        <f t="shared" si="28"/>
        <v>-102.352</v>
      </c>
      <c r="I29" s="298">
        <f t="shared" si="28"/>
        <v>-176.179</v>
      </c>
      <c r="J29" s="298">
        <f t="shared" si="28"/>
        <v>-20.158000000000001</v>
      </c>
      <c r="K29" s="298">
        <f t="shared" si="28"/>
        <v>0</v>
      </c>
      <c r="L29" s="299">
        <f>IFERROR(SUM(E29:K29),0)</f>
        <v>-315.09800000000001</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2"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803"/>
      <c r="C31" s="2803"/>
      <c r="D31" s="2803"/>
      <c r="E31" s="2803"/>
      <c r="F31" s="2803"/>
      <c r="G31" s="2803"/>
      <c r="H31" s="2803"/>
      <c r="I31" s="2803"/>
      <c r="J31" s="2803"/>
      <c r="K31" s="2803"/>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5"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46" zoomScaleNormal="100" zoomScaleSheetLayoutView="100" workbookViewId="0">
      <selection activeCell="L42" sqref="L42"/>
    </sheetView>
  </sheetViews>
  <sheetFormatPr defaultColWidth="8.59765625" defaultRowHeight="13.8"/>
  <cols>
    <col min="1" max="1" width="1.59765625" style="584" customWidth="1"/>
    <col min="2" max="2" width="47" style="584" bestFit="1" customWidth="1"/>
    <col min="3" max="3" width="7" style="584" customWidth="1"/>
    <col min="4" max="4" width="6" style="584" bestFit="1" customWidth="1"/>
    <col min="5" max="5" width="17.09765625" style="472" customWidth="1"/>
    <col min="6" max="6" width="17.19921875" style="472" customWidth="1"/>
    <col min="7" max="7" width="17.5" style="472" customWidth="1"/>
    <col min="8" max="8" width="12.5" style="472" customWidth="1"/>
    <col min="9" max="9" width="1.59765625" style="584" customWidth="1"/>
    <col min="10" max="10" width="12.5" style="648" customWidth="1"/>
    <col min="11" max="11" width="1.59765625" style="584" customWidth="1"/>
    <col min="12" max="12" width="33.59765625" style="584" customWidth="1"/>
    <col min="13" max="14" width="1.59765625" style="584" customWidth="1"/>
    <col min="15" max="15" width="25" style="584" customWidth="1"/>
    <col min="16" max="16" width="1.59765625" style="584" customWidth="1"/>
    <col min="17" max="19" width="8.09765625" style="611" hidden="1" customWidth="1"/>
    <col min="20" max="20" width="1.59765625" style="584" hidden="1" customWidth="1"/>
    <col min="21" max="21" width="1.59765625" style="584" customWidth="1"/>
    <col min="22" max="22" width="46" style="584" bestFit="1" customWidth="1"/>
    <col min="23" max="23" width="15" style="584" customWidth="1"/>
    <col min="24" max="24" width="17.5" style="584" bestFit="1" customWidth="1"/>
    <col min="25" max="26" width="15" style="584" customWidth="1"/>
    <col min="27" max="27" width="1.59765625" style="584" customWidth="1"/>
    <col min="28" max="16384" width="8.59765625" style="584"/>
  </cols>
  <sheetData>
    <row r="1" spans="1:26" s="586" customFormat="1" ht="22.8">
      <c r="B1" s="562" t="s">
        <v>5761</v>
      </c>
      <c r="C1" s="562"/>
      <c r="D1" s="562"/>
      <c r="E1" s="587"/>
      <c r="F1" s="587"/>
      <c r="G1" s="587"/>
      <c r="H1" s="587"/>
      <c r="J1" s="588"/>
      <c r="N1" s="589"/>
      <c r="O1" s="590"/>
      <c r="P1" s="591"/>
      <c r="Q1" s="584"/>
      <c r="R1" s="584"/>
      <c r="S1" s="584"/>
      <c r="T1" s="591"/>
      <c r="V1" s="562" t="s">
        <v>4198</v>
      </c>
    </row>
    <row r="2" spans="1:26" s="586" customFormat="1" ht="22.8">
      <c r="B2" s="562" t="str">
        <f>SelectCompany!B4</f>
        <v>Dŵr Cymru</v>
      </c>
      <c r="C2" s="563"/>
      <c r="D2" s="563"/>
      <c r="E2" s="592"/>
      <c r="F2" s="592"/>
      <c r="G2" s="592"/>
      <c r="H2" s="592"/>
      <c r="J2" s="588"/>
      <c r="N2" s="589"/>
      <c r="O2" s="590"/>
      <c r="P2" s="591"/>
      <c r="Q2" s="584"/>
      <c r="R2" s="584"/>
      <c r="S2" s="584"/>
      <c r="T2" s="591"/>
      <c r="V2" s="562"/>
    </row>
    <row r="3" spans="1:26" ht="19.2">
      <c r="B3" s="2804" t="s">
        <v>5762</v>
      </c>
      <c r="C3" s="2805"/>
      <c r="D3" s="2805"/>
      <c r="E3" s="2805"/>
      <c r="F3" s="2805"/>
      <c r="G3" s="2805"/>
      <c r="H3" s="2805"/>
      <c r="I3" s="2805"/>
      <c r="J3" s="2805"/>
      <c r="K3" s="2805"/>
      <c r="L3" s="2805"/>
      <c r="N3" s="593"/>
      <c r="O3" s="594" t="s">
        <v>4200</v>
      </c>
      <c r="P3" s="591"/>
      <c r="Q3" s="584"/>
      <c r="R3" s="584"/>
      <c r="S3" s="584"/>
      <c r="T3" s="591"/>
      <c r="V3" s="2806" t="s">
        <v>5762</v>
      </c>
      <c r="W3" s="2807"/>
      <c r="X3" s="2807"/>
      <c r="Y3" s="2807"/>
      <c r="Z3" s="2807"/>
    </row>
    <row r="4" spans="1:26" ht="19.2" thickBot="1">
      <c r="B4" s="595"/>
      <c r="C4" s="595"/>
      <c r="D4" s="595"/>
      <c r="E4" s="596"/>
      <c r="F4" s="596"/>
      <c r="G4" s="596"/>
      <c r="H4" s="596"/>
      <c r="I4" s="597"/>
      <c r="J4" s="598"/>
      <c r="N4" s="599"/>
      <c r="P4" s="591"/>
      <c r="Q4" s="2808" t="s">
        <v>4201</v>
      </c>
      <c r="R4" s="2808"/>
      <c r="S4" s="2808"/>
      <c r="T4" s="591"/>
      <c r="V4" s="595"/>
      <c r="W4" s="595"/>
      <c r="X4" s="595"/>
      <c r="Y4" s="595"/>
      <c r="Z4" s="595"/>
    </row>
    <row r="5" spans="1:26" s="583" customFormat="1" ht="53.85"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2"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2.0609999999999999</v>
      </c>
      <c r="H9" s="289">
        <f t="shared" si="0"/>
        <v>2.0609999999999999</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2.0609999999999999</v>
      </c>
      <c r="H10" s="625">
        <f t="shared" si="0"/>
        <v>2.0609999999999999</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2.0609999999999999</v>
      </c>
      <c r="H14" s="299">
        <f t="shared" si="0"/>
        <v>2.0609999999999999</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v>0</v>
      </c>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4.7409999999999997</v>
      </c>
      <c r="F19" s="278">
        <v>0</v>
      </c>
      <c r="G19" s="278">
        <v>-5.5E-2</v>
      </c>
      <c r="H19" s="280">
        <f t="shared" ref="H19:H30" si="9">IFERROR(SUM(E19:G19),0)</f>
        <v>4.6859999999999999</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v>
      </c>
      <c r="F20" s="287">
        <v>0</v>
      </c>
      <c r="G20" s="287">
        <v>3.6960000000000002</v>
      </c>
      <c r="H20" s="289">
        <f t="shared" si="9"/>
        <v>3.6960000000000002</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v>
      </c>
      <c r="G21" s="287">
        <v>0.76500000000000001</v>
      </c>
      <c r="H21" s="289">
        <f t="shared" si="9"/>
        <v>0.76500000000000001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3.5449999999999999</v>
      </c>
      <c r="F22" s="287">
        <v>0</v>
      </c>
      <c r="G22" s="287">
        <v>3.9E-2</v>
      </c>
      <c r="H22" s="289">
        <f t="shared" si="9"/>
        <v>3.5840000000000001</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2.5230000000000001</v>
      </c>
      <c r="F23" s="287">
        <v>0</v>
      </c>
      <c r="G23" s="287">
        <v>0.50700000000000001</v>
      </c>
      <c r="H23" s="289">
        <f t="shared" si="9"/>
        <v>3.0300000000000002</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10.808999999999999</v>
      </c>
      <c r="F24" s="288">
        <f>IFERROR(SUM(F19:F23),0)</f>
        <v>0</v>
      </c>
      <c r="G24" s="288">
        <f>IFERROR(SUM(G19:G23),0)</f>
        <v>4.9519999999999991</v>
      </c>
      <c r="H24" s="289">
        <f t="shared" si="9"/>
        <v>15.760999999999999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0</v>
      </c>
      <c r="G25" s="287">
        <v>0</v>
      </c>
      <c r="H25" s="289">
        <f t="shared" si="9"/>
        <v>0</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10.808999999999999</v>
      </c>
      <c r="F26" s="288">
        <f>IFERROR(F24-F25,0)</f>
        <v>0</v>
      </c>
      <c r="G26" s="288">
        <f>IFERROR(G24-G25,0)</f>
        <v>4.9519999999999991</v>
      </c>
      <c r="H26" s="289">
        <f t="shared" si="9"/>
        <v>15.760999999999999</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5.45</v>
      </c>
      <c r="F27" s="287">
        <v>0</v>
      </c>
      <c r="G27" s="287">
        <v>0</v>
      </c>
      <c r="H27" s="289">
        <f t="shared" si="9"/>
        <v>5.45</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0.15</v>
      </c>
      <c r="H29" s="289">
        <f t="shared" si="9"/>
        <v>0.15</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6" thickBot="1">
      <c r="A30" s="583"/>
      <c r="B30" s="626" t="s">
        <v>5803</v>
      </c>
      <c r="C30" s="627" t="s">
        <v>4215</v>
      </c>
      <c r="D30" s="628">
        <v>3</v>
      </c>
      <c r="E30" s="298">
        <f>IFERROR(SUM(E26:E29),0)</f>
        <v>16.259</v>
      </c>
      <c r="F30" s="298">
        <f>IFERROR(SUM(F26:F29),0)</f>
        <v>0</v>
      </c>
      <c r="G30" s="298">
        <f>IFERROR(SUM(G26:G29),0)</f>
        <v>5.1019999999999994</v>
      </c>
      <c r="H30" s="299">
        <f t="shared" si="9"/>
        <v>21.361000000000001</v>
      </c>
      <c r="I30" s="608"/>
      <c r="J30" s="629" t="s">
        <v>5877</v>
      </c>
      <c r="K30" s="583"/>
      <c r="L30" s="630"/>
      <c r="M30" s="583"/>
      <c r="N30" s="591"/>
      <c r="O30" s="618"/>
      <c r="P30" s="591"/>
      <c r="T30" s="591"/>
      <c r="V30" s="626" t="s">
        <v>4425</v>
      </c>
      <c r="W30" s="298" t="s">
        <v>5878</v>
      </c>
      <c r="X30" s="298" t="s">
        <v>5879</v>
      </c>
      <c r="Y30" s="298" t="s">
        <v>5880</v>
      </c>
      <c r="Z30" s="299" t="s">
        <v>5881</v>
      </c>
    </row>
    <row r="31" spans="1:26" ht="16.8"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2" thickTop="1" thickBot="1">
      <c r="A32" s="583"/>
      <c r="B32" s="633" t="s">
        <v>5809</v>
      </c>
      <c r="C32" s="634" t="s">
        <v>4215</v>
      </c>
      <c r="D32" s="635">
        <v>3</v>
      </c>
      <c r="E32" s="421">
        <v>0</v>
      </c>
      <c r="F32" s="421">
        <v>0</v>
      </c>
      <c r="G32" s="636">
        <v>0</v>
      </c>
      <c r="H32" s="471">
        <f>IFERROR(SUM(E32:F32),0)</f>
        <v>0</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2"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6" thickTop="1">
      <c r="A35" s="583"/>
      <c r="B35" s="613" t="s">
        <v>5887</v>
      </c>
      <c r="C35" s="614" t="s">
        <v>4215</v>
      </c>
      <c r="D35" s="615">
        <v>3</v>
      </c>
      <c r="E35" s="278">
        <v>0</v>
      </c>
      <c r="F35" s="278">
        <v>0</v>
      </c>
      <c r="G35" s="278">
        <v>6.12</v>
      </c>
      <c r="H35" s="280">
        <f t="shared" ref="H35:H45" si="20">IFERROR(SUM(E35:G35),0)</f>
        <v>6.12</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3.7989999999999999</v>
      </c>
      <c r="H36" s="289">
        <f t="shared" si="20"/>
        <v>3.7989999999999999</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0.36</v>
      </c>
      <c r="F37" s="287">
        <v>0</v>
      </c>
      <c r="G37" s="287">
        <v>0</v>
      </c>
      <c r="H37" s="289">
        <f t="shared" si="20"/>
        <v>0.36</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0.95599999999999996</v>
      </c>
      <c r="F38" s="287">
        <v>0</v>
      </c>
      <c r="G38" s="287">
        <v>0.215</v>
      </c>
      <c r="H38" s="289">
        <f t="shared" si="20"/>
        <v>1.171</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1.3159999999999998</v>
      </c>
      <c r="F39" s="288">
        <f>IFERROR(SUM(F35:F38),0)</f>
        <v>0</v>
      </c>
      <c r="G39" s="288">
        <f>IFERROR(SUM(G35:G38),0)</f>
        <v>10.134</v>
      </c>
      <c r="H39" s="289">
        <f t="shared" si="20"/>
        <v>11.45</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1.3159999999999998</v>
      </c>
      <c r="F41" s="288">
        <f>IFERROR(F39-F40,0)</f>
        <v>0</v>
      </c>
      <c r="G41" s="288">
        <f>IFERROR(G39-G40,0)</f>
        <v>10.134</v>
      </c>
      <c r="H41" s="289">
        <f t="shared" si="20"/>
        <v>11.45</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1.56</v>
      </c>
      <c r="F42" s="287">
        <v>0</v>
      </c>
      <c r="G42" s="287">
        <v>0</v>
      </c>
      <c r="H42" s="289">
        <f t="shared" si="20"/>
        <v>1.56</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-0.20399999999999999</v>
      </c>
      <c r="H44" s="289">
        <f t="shared" si="20"/>
        <v>-0.20399999999999999</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6" thickBot="1">
      <c r="A45" s="583"/>
      <c r="B45" s="626" t="s">
        <v>5803</v>
      </c>
      <c r="C45" s="627" t="s">
        <v>4215</v>
      </c>
      <c r="D45" s="628">
        <v>3</v>
      </c>
      <c r="E45" s="298">
        <f>IFERROR(SUM(E41:E44),0)</f>
        <v>2.8759999999999999</v>
      </c>
      <c r="F45" s="298">
        <f>IFERROR(SUM(F41:F44),0)</f>
        <v>0</v>
      </c>
      <c r="G45" s="298">
        <f>IFERROR(SUM(G41:G44),0)</f>
        <v>9.93</v>
      </c>
      <c r="H45" s="299">
        <f t="shared" si="20"/>
        <v>12.805999999999999</v>
      </c>
      <c r="I45" s="608"/>
      <c r="J45" s="629" t="s">
        <v>5939</v>
      </c>
      <c r="K45" s="583"/>
      <c r="L45" s="630"/>
      <c r="M45" s="583"/>
      <c r="N45" s="591"/>
      <c r="O45" s="618"/>
      <c r="P45" s="591"/>
      <c r="T45" s="591"/>
      <c r="V45" s="626" t="s">
        <v>4425</v>
      </c>
      <c r="W45" s="298" t="s">
        <v>5940</v>
      </c>
      <c r="X45" s="298" t="s">
        <v>5941</v>
      </c>
      <c r="Y45" s="298" t="s">
        <v>5942</v>
      </c>
      <c r="Z45" s="299" t="s">
        <v>5943</v>
      </c>
    </row>
    <row r="46" spans="1:26" ht="16.8"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108.129</v>
      </c>
      <c r="G47" s="636">
        <v>0</v>
      </c>
      <c r="H47" s="471">
        <f>IFERROR(SUM(E47:F47),0)</f>
        <v>108.129</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6.8"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2"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0</v>
      </c>
      <c r="G52" s="278">
        <v>-1.7000000000000001E-2</v>
      </c>
      <c r="H52" s="280">
        <f>IFERROR(SUM(E52:G52),0)</f>
        <v>-1.7000000000000001E-2</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v>
      </c>
      <c r="G53" s="381">
        <f>IFERROR(F45,0)</f>
        <v>0</v>
      </c>
      <c r="H53" s="289">
        <f>IFERROR(SUM(E53:G53),0)</f>
        <v>0</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v>
      </c>
      <c r="G54" s="287">
        <v>0</v>
      </c>
      <c r="H54" s="289">
        <f>IFERROR(SUM(E54:G54),0)</f>
        <v>0</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0</v>
      </c>
      <c r="G55" s="298">
        <f>IFERROR(SUM(G52:G54),0)</f>
        <v>-1.7000000000000001E-2</v>
      </c>
      <c r="H55" s="299">
        <f>IFERROR(SUM(E55:G55),0)</f>
        <v>-1.7000000000000001E-2</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4" priority="2" operator="equal">
      <formula>0</formula>
    </cfRule>
  </conditionalFormatting>
  <conditionalFormatting sqref="T56">
    <cfRule type="cellIs" dxfId="17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18" zoomScaleNormal="100" zoomScaleSheetLayoutView="100" workbookViewId="0">
      <selection activeCell="E21" sqref="E21"/>
    </sheetView>
  </sheetViews>
  <sheetFormatPr defaultColWidth="8.59765625" defaultRowHeight="13.8"/>
  <cols>
    <col min="1" max="1" width="1.59765625" style="224" customWidth="1"/>
    <col min="2" max="2" width="47.19921875" style="224" customWidth="1"/>
    <col min="3" max="3" width="11.69921875" style="472" bestFit="1" customWidth="1"/>
    <col min="4" max="4" width="15.59765625" style="472" customWidth="1"/>
    <col min="5" max="5" width="19.59765625" style="472" customWidth="1"/>
    <col min="6" max="6" width="1.59765625" style="224" customWidth="1"/>
    <col min="7" max="7" width="9.5" style="224" bestFit="1" customWidth="1"/>
    <col min="8" max="8" width="1.59765625" style="224" customWidth="1"/>
    <col min="9" max="9" width="29.5" style="224" bestFit="1" customWidth="1"/>
    <col min="10" max="11" width="1.59765625" style="224" customWidth="1"/>
    <col min="12" max="12" width="20.19921875" style="224" bestFit="1" customWidth="1"/>
    <col min="13" max="13" width="1.59765625" style="263" customWidth="1"/>
    <col min="14" max="14" width="20.19921875" style="263" hidden="1" customWidth="1"/>
    <col min="15" max="16" width="1.59765625" style="263" hidden="1" customWidth="1"/>
    <col min="17" max="17" width="1.59765625" style="224" customWidth="1"/>
    <col min="18" max="18" width="34.59765625" style="224" bestFit="1" customWidth="1"/>
    <col min="19" max="19" width="11.19921875" style="224" bestFit="1" customWidth="1"/>
    <col min="20" max="20" width="10.19921875" style="224" bestFit="1" customWidth="1"/>
    <col min="21" max="21" width="10.59765625" style="224" bestFit="1" customWidth="1"/>
    <col min="22" max="22" width="1.59765625" style="224" customWidth="1"/>
    <col min="23" max="16384" width="8.59765625" style="224"/>
  </cols>
  <sheetData>
    <row r="1" spans="1:21" s="389" customFormat="1" ht="22.8">
      <c r="B1" s="2721" t="s">
        <v>5977</v>
      </c>
      <c r="C1" s="2721"/>
      <c r="D1" s="2814"/>
      <c r="E1" s="2814"/>
      <c r="K1" s="340"/>
      <c r="L1" s="284"/>
      <c r="M1" s="262"/>
      <c r="N1" s="263"/>
      <c r="O1" s="263"/>
      <c r="P1" s="262"/>
      <c r="Q1" s="649"/>
      <c r="R1" s="2721" t="s">
        <v>4198</v>
      </c>
      <c r="S1" s="2721"/>
      <c r="T1" s="2721"/>
      <c r="U1" s="2721"/>
    </row>
    <row r="2" spans="1:21" s="389" customFormat="1" ht="22.8">
      <c r="B2" s="2721" t="str">
        <f>SelectCompany!B4</f>
        <v>Dŵr Cymru</v>
      </c>
      <c r="C2" s="2721"/>
      <c r="D2" s="592"/>
      <c r="E2" s="592"/>
      <c r="K2" s="340"/>
      <c r="L2" s="284"/>
      <c r="M2" s="262"/>
      <c r="N2" s="263"/>
      <c r="O2" s="263"/>
      <c r="P2" s="262"/>
      <c r="Q2" s="649"/>
      <c r="R2" s="2721"/>
      <c r="S2" s="2721"/>
      <c r="T2" s="529"/>
      <c r="U2" s="529"/>
    </row>
    <row r="3" spans="1:21" ht="19.2">
      <c r="B3" s="2736" t="s">
        <v>5978</v>
      </c>
      <c r="C3" s="2737"/>
      <c r="D3" s="2737"/>
      <c r="E3" s="2737"/>
      <c r="F3" s="2737"/>
      <c r="G3" s="2737"/>
      <c r="H3" s="2737"/>
      <c r="I3" s="2737"/>
      <c r="K3" s="342"/>
      <c r="L3" s="650" t="s">
        <v>4200</v>
      </c>
      <c r="M3" s="262"/>
      <c r="P3" s="262"/>
      <c r="Q3" s="651"/>
      <c r="R3" s="2809" t="s">
        <v>5978</v>
      </c>
      <c r="S3" s="2810"/>
      <c r="T3" s="2810"/>
      <c r="U3" s="2810"/>
    </row>
    <row r="4" spans="1:21" ht="19.2" thickBot="1">
      <c r="B4" s="480"/>
      <c r="C4" s="596"/>
      <c r="D4" s="596"/>
      <c r="E4" s="596"/>
      <c r="G4" s="261"/>
      <c r="K4" s="345"/>
      <c r="L4" s="284"/>
      <c r="M4" s="262"/>
      <c r="N4" s="2710" t="s">
        <v>4201</v>
      </c>
      <c r="O4" s="2710"/>
      <c r="P4" s="262"/>
      <c r="R4" s="480"/>
      <c r="S4" s="480"/>
      <c r="T4" s="480"/>
      <c r="U4" s="480"/>
    </row>
    <row r="5" spans="1:21" ht="45.6" thickTop="1">
      <c r="A5" s="197"/>
      <c r="B5" s="652" t="s">
        <v>4202</v>
      </c>
      <c r="C5" s="653" t="s">
        <v>4214</v>
      </c>
      <c r="D5" s="653" t="s">
        <v>5979</v>
      </c>
      <c r="E5" s="654" t="s">
        <v>5980</v>
      </c>
      <c r="F5" s="197"/>
      <c r="G5" s="2811" t="s">
        <v>4208</v>
      </c>
      <c r="H5" s="197"/>
      <c r="I5" s="2811"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812"/>
      <c r="H6" s="197"/>
      <c r="I6" s="2812"/>
      <c r="J6" s="197"/>
      <c r="K6" s="345"/>
      <c r="L6" s="284"/>
      <c r="M6" s="262"/>
      <c r="N6" s="269"/>
      <c r="O6" s="270"/>
      <c r="P6" s="262"/>
      <c r="R6" s="429" t="s">
        <v>4203</v>
      </c>
      <c r="S6" s="655" t="s">
        <v>4215</v>
      </c>
      <c r="T6" s="655" t="s">
        <v>5981</v>
      </c>
      <c r="U6" s="656" t="s">
        <v>5982</v>
      </c>
    </row>
    <row r="7" spans="1:21" ht="15.6" thickBot="1">
      <c r="A7" s="197"/>
      <c r="B7" s="430" t="s">
        <v>4204</v>
      </c>
      <c r="C7" s="657">
        <v>3</v>
      </c>
      <c r="D7" s="657">
        <v>3</v>
      </c>
      <c r="E7" s="658">
        <v>3</v>
      </c>
      <c r="F7" s="197"/>
      <c r="G7" s="2813"/>
      <c r="H7" s="197"/>
      <c r="I7" s="2813"/>
      <c r="J7" s="197"/>
      <c r="K7" s="345"/>
      <c r="L7" s="284"/>
      <c r="M7" s="262"/>
      <c r="N7" s="224"/>
      <c r="O7" s="224"/>
      <c r="P7" s="262"/>
      <c r="R7" s="430" t="s">
        <v>4204</v>
      </c>
      <c r="S7" s="657" t="s">
        <v>4215</v>
      </c>
      <c r="T7" s="657" t="s">
        <v>5981</v>
      </c>
      <c r="U7" s="658" t="s">
        <v>5982</v>
      </c>
    </row>
    <row r="8" spans="1:21" ht="16.8"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IFERROR('2I'!E30,0)</f>
        <v>593.13000000000011</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IFERROR('2I'!E36,0)</f>
        <v>39.075000000000003</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632.20500000000015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39.073999999999998</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12.879</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51.952999999999996</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1444.374</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1470.0219999999999</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49.563000000000002</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-2.3899999999999935</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35.969215729444031</v>
      </c>
      <c r="F28" s="197"/>
      <c r="G28" s="374" t="s">
        <v>6019</v>
      </c>
      <c r="H28" s="197"/>
      <c r="I28" s="375"/>
      <c r="J28" s="197"/>
      <c r="K28" s="363"/>
      <c r="L28" s="284"/>
      <c r="M28" s="262"/>
      <c r="N28" s="270"/>
      <c r="O28" s="270"/>
      <c r="P28" s="262"/>
      <c r="R28" s="469" t="s">
        <v>6020</v>
      </c>
      <c r="S28" s="474"/>
      <c r="T28" s="474"/>
      <c r="U28" s="471" t="s">
        <v>6021</v>
      </c>
    </row>
    <row r="29" spans="1:21" ht="15.6"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2" priority="4" operator="equal">
      <formula>0</formula>
    </cfRule>
  </conditionalFormatting>
  <conditionalFormatting sqref="L4:L29">
    <cfRule type="cellIs" dxfId="171" priority="1" operator="equal">
      <formula>0</formula>
    </cfRule>
  </conditionalFormatting>
  <conditionalFormatting sqref="L33">
    <cfRule type="cellIs" dxfId="17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5" zoomScale="70" zoomScaleNormal="70" zoomScaleSheetLayoutView="100" workbookViewId="0">
      <selection activeCell="K10" sqref="K10"/>
    </sheetView>
  </sheetViews>
  <sheetFormatPr defaultColWidth="8.59765625" defaultRowHeight="13.8"/>
  <cols>
    <col min="1" max="1" width="1.59765625" style="224" customWidth="1"/>
    <col min="2" max="2" width="34.19921875" style="224" bestFit="1" customWidth="1"/>
    <col min="3" max="3" width="10.19921875" style="224" bestFit="1" customWidth="1"/>
    <col min="4" max="4" width="13.09765625" style="224" bestFit="1" customWidth="1"/>
    <col min="5" max="5" width="12.5" style="224" customWidth="1"/>
    <col min="6" max="6" width="11.59765625" style="224" bestFit="1" customWidth="1"/>
    <col min="7" max="7" width="21.69921875" style="224" customWidth="1"/>
    <col min="8" max="8" width="18" style="224" customWidth="1"/>
    <col min="9" max="9" width="19.59765625" style="224" customWidth="1"/>
    <col min="10" max="10" width="20.69921875" style="224" customWidth="1"/>
    <col min="11" max="11" width="9" style="224" customWidth="1"/>
    <col min="12" max="12" width="22.5" style="224" customWidth="1"/>
    <col min="13" max="13" width="1.59765625" style="224" customWidth="1"/>
    <col min="14" max="14" width="9.19921875" style="224" bestFit="1" customWidth="1"/>
    <col min="15" max="15" width="1.59765625" style="224" customWidth="1"/>
    <col min="16" max="16" width="28.69921875" style="224" customWidth="1"/>
    <col min="17" max="18" width="1.59765625" style="224" customWidth="1"/>
    <col min="19" max="19" width="20.59765625" style="224" bestFit="1" customWidth="1"/>
    <col min="20" max="20" width="1.59765625" style="263" customWidth="1"/>
    <col min="21" max="21" width="20.59765625" style="263" hidden="1" customWidth="1"/>
    <col min="22" max="22" width="1.69921875" style="263" hidden="1" customWidth="1"/>
    <col min="23" max="23" width="5.69921875" style="263" hidden="1" customWidth="1"/>
    <col min="24" max="24" width="1.69921875" style="263" hidden="1" customWidth="1"/>
    <col min="25" max="25" width="5.69921875" style="263" hidden="1" customWidth="1"/>
    <col min="26" max="27" width="1.69921875" style="263" hidden="1" customWidth="1"/>
    <col min="28" max="28" width="5.69921875" style="263" hidden="1" customWidth="1"/>
    <col min="29" max="30" width="1.69921875" style="263" hidden="1" customWidth="1"/>
    <col min="31" max="31" width="1.59765625" style="263" hidden="1" customWidth="1"/>
    <col min="32" max="32" width="1.59765625" style="224" customWidth="1"/>
    <col min="33" max="33" width="34.19921875" style="224" bestFit="1" customWidth="1"/>
    <col min="34" max="34" width="12.5" style="224" customWidth="1"/>
    <col min="35" max="35" width="14.19921875" style="224" bestFit="1" customWidth="1"/>
    <col min="36" max="37" width="12.5" style="224" customWidth="1"/>
    <col min="38" max="38" width="14.19921875" style="224" bestFit="1" customWidth="1"/>
    <col min="39" max="39" width="12.19921875" style="224" bestFit="1" customWidth="1"/>
    <col min="40" max="40" width="14.09765625" style="224" bestFit="1" customWidth="1"/>
    <col min="41" max="41" width="15.59765625" style="224" bestFit="1" customWidth="1"/>
    <col min="42" max="42" width="12.5" style="224" customWidth="1"/>
    <col min="43" max="43" width="15.59765625" style="224" bestFit="1" customWidth="1"/>
    <col min="44" max="44" width="1.59765625" style="224" customWidth="1"/>
    <col min="45" max="16384" width="8.59765625" style="224"/>
  </cols>
  <sheetData>
    <row r="1" spans="1:44" s="389" customFormat="1" ht="22.8">
      <c r="A1" s="389" t="s">
        <v>6022</v>
      </c>
      <c r="B1" s="2721" t="s">
        <v>6023</v>
      </c>
      <c r="C1" s="2721"/>
      <c r="D1" s="2721"/>
      <c r="E1" s="2721"/>
      <c r="F1" s="2721"/>
      <c r="G1" s="2721"/>
      <c r="H1" s="2721"/>
      <c r="I1" s="2721"/>
      <c r="J1" s="561"/>
      <c r="K1" s="561"/>
      <c r="L1" s="561"/>
      <c r="M1" s="561"/>
      <c r="R1" s="340"/>
      <c r="S1" s="284"/>
      <c r="T1" s="361"/>
      <c r="U1" s="263"/>
      <c r="V1" s="263"/>
      <c r="W1" s="263"/>
      <c r="X1" s="263"/>
      <c r="Y1" s="263"/>
      <c r="Z1" s="263"/>
      <c r="AA1" s="263"/>
      <c r="AB1" s="263"/>
      <c r="AC1" s="263"/>
      <c r="AD1" s="263"/>
      <c r="AE1" s="361"/>
      <c r="AG1" s="2721" t="s">
        <v>4198</v>
      </c>
      <c r="AH1" s="2721"/>
      <c r="AI1" s="2721"/>
      <c r="AJ1" s="2721"/>
      <c r="AK1" s="2721"/>
      <c r="AL1" s="2721"/>
      <c r="AM1" s="2721"/>
      <c r="AN1" s="2721"/>
      <c r="AO1" s="2721"/>
      <c r="AP1" s="2721"/>
      <c r="AQ1" s="2721"/>
    </row>
    <row r="2" spans="1:44" s="389" customFormat="1" ht="22.8">
      <c r="B2" s="2721" t="str">
        <f>SelectCompany!B4</f>
        <v>Dŵr Cymru</v>
      </c>
      <c r="C2" s="2721"/>
      <c r="D2" s="2721"/>
      <c r="E2" s="2721"/>
      <c r="F2" s="2721"/>
      <c r="G2" s="529"/>
      <c r="H2" s="529"/>
      <c r="I2" s="529"/>
      <c r="J2" s="529"/>
      <c r="K2" s="529"/>
      <c r="L2" s="529"/>
      <c r="M2" s="529"/>
      <c r="R2" s="340"/>
      <c r="S2" s="284"/>
      <c r="T2" s="361"/>
      <c r="U2" s="263"/>
      <c r="V2" s="263"/>
      <c r="W2" s="263"/>
      <c r="X2" s="263"/>
      <c r="Y2" s="263"/>
      <c r="Z2" s="263"/>
      <c r="AA2" s="263"/>
      <c r="AB2" s="263"/>
      <c r="AC2" s="263"/>
      <c r="AD2" s="263"/>
      <c r="AE2" s="361"/>
      <c r="AG2" s="2721"/>
      <c r="AH2" s="2721"/>
      <c r="AI2" s="2721"/>
      <c r="AJ2" s="2721"/>
      <c r="AK2" s="2721"/>
      <c r="AL2" s="529"/>
      <c r="AM2" s="529"/>
      <c r="AN2" s="529"/>
      <c r="AO2" s="529"/>
      <c r="AP2" s="529"/>
      <c r="AQ2" s="529"/>
    </row>
    <row r="3" spans="1:44" ht="19.2">
      <c r="B3" s="2736" t="s">
        <v>6024</v>
      </c>
      <c r="C3" s="2737"/>
      <c r="D3" s="2737"/>
      <c r="E3" s="2737"/>
      <c r="F3" s="2737"/>
      <c r="G3" s="2737"/>
      <c r="H3" s="2737"/>
      <c r="I3" s="2737"/>
      <c r="J3" s="2737"/>
      <c r="K3" s="2737"/>
      <c r="L3" s="2737"/>
      <c r="M3" s="2737"/>
      <c r="N3" s="2737"/>
      <c r="O3" s="2737"/>
      <c r="P3" s="2737"/>
      <c r="R3" s="342"/>
      <c r="S3" s="425" t="s">
        <v>4200</v>
      </c>
      <c r="T3" s="361"/>
      <c r="U3" s="2710" t="s">
        <v>4201</v>
      </c>
      <c r="V3" s="2710"/>
      <c r="W3" s="2710"/>
      <c r="X3" s="2710"/>
      <c r="Y3" s="2710"/>
      <c r="Z3" s="2710"/>
      <c r="AA3" s="2710"/>
      <c r="AB3" s="2710"/>
      <c r="AC3" s="2710"/>
      <c r="AD3" s="2710"/>
      <c r="AE3" s="361"/>
      <c r="AG3" s="2738" t="s">
        <v>6024</v>
      </c>
      <c r="AH3" s="2739"/>
      <c r="AI3" s="2739"/>
      <c r="AJ3" s="2739"/>
      <c r="AK3" s="2739"/>
      <c r="AL3" s="2739"/>
      <c r="AM3" s="2739"/>
      <c r="AN3" s="2739"/>
      <c r="AO3" s="2739"/>
      <c r="AP3" s="2739"/>
      <c r="AQ3" s="2739"/>
      <c r="AR3" s="260"/>
    </row>
    <row r="4" spans="1:44" ht="16.2"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599999999999994"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11" t="s">
        <v>4208</v>
      </c>
      <c r="O5" s="197"/>
      <c r="P5" s="2811"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12"/>
      <c r="O6" s="197"/>
      <c r="P6" s="2812"/>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6" thickBot="1">
      <c r="A7" s="197"/>
      <c r="B7" s="430" t="s">
        <v>4204</v>
      </c>
      <c r="C7" s="271">
        <v>3</v>
      </c>
      <c r="D7" s="271">
        <v>3</v>
      </c>
      <c r="E7" s="271">
        <v>3</v>
      </c>
      <c r="F7" s="271">
        <v>3</v>
      </c>
      <c r="G7" s="271">
        <v>3</v>
      </c>
      <c r="H7" s="271">
        <v>3</v>
      </c>
      <c r="I7" s="271">
        <v>3</v>
      </c>
      <c r="J7" s="271">
        <v>3</v>
      </c>
      <c r="K7" s="271">
        <v>3</v>
      </c>
      <c r="L7" s="672">
        <v>3</v>
      </c>
      <c r="M7" s="197"/>
      <c r="N7" s="2813"/>
      <c r="O7" s="197"/>
      <c r="P7" s="2813"/>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2"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v>63.884999999999998</v>
      </c>
      <c r="D10" s="278">
        <v>3.71</v>
      </c>
      <c r="E10" s="2232">
        <f>IFERROR(SUM(C10:D10),0)</f>
        <v>67.594999999999999</v>
      </c>
      <c r="F10" s="278">
        <v>98.751999999999995</v>
      </c>
      <c r="G10" s="2232">
        <f>IFERROR(IF(OR(D10=0,F10=0),0,D10/(F10/1000)),0)</f>
        <v>37.568859364873624</v>
      </c>
      <c r="H10" s="278">
        <v>29.98</v>
      </c>
      <c r="I10" s="278">
        <v>0</v>
      </c>
      <c r="J10" s="2232">
        <f>IFERROR(H10 + I10,0)</f>
        <v>29.98</v>
      </c>
      <c r="K10" s="2649">
        <v>0.01</v>
      </c>
      <c r="L10" s="1276">
        <v>36.448999999999998</v>
      </c>
      <c r="M10" s="197"/>
      <c r="N10" s="281" t="s">
        <v>6036</v>
      </c>
      <c r="O10" s="197"/>
      <c r="P10" s="283" t="s">
        <v>18610</v>
      </c>
      <c r="Q10" s="197"/>
      <c r="R10" s="363"/>
      <c r="S10" s="284">
        <f xml:space="preserve"> IF( SUM( U10:AD10 ) = 0, 0,$U$4 )</f>
        <v>0</v>
      </c>
      <c r="T10" s="361"/>
      <c r="U10" s="285">
        <f xml:space="preserve"> IF( ISNUMBER( C10 ), 0, 1 )</f>
        <v>0</v>
      </c>
      <c r="V10" s="285">
        <f t="shared" ref="V10:V11" si="0" xml:space="preserve"> IF( ISNUMBER( D10 ), 0, 1 )</f>
        <v>0</v>
      </c>
      <c r="W10" s="270"/>
      <c r="X10" s="285">
        <f t="shared" ref="X10:X11" si="1" xml:space="preserve"> IF( ISNUMBER( F10 ), 0, 1 )</f>
        <v>0</v>
      </c>
      <c r="Y10" s="270"/>
      <c r="Z10" s="285">
        <f t="shared" ref="Z10:Z11" si="2" xml:space="preserve"> IF( ISNUMBER( H10 ), 0, 1 )</f>
        <v>0</v>
      </c>
      <c r="AA10" s="285">
        <f t="shared" ref="AA10:AA11" si="3" xml:space="preserve"> IF( ISNUMBER( I10 ), 0, 1 )</f>
        <v>0</v>
      </c>
      <c r="AB10" s="270"/>
      <c r="AC10" s="285">
        <f t="shared" ref="AC10:AC11" si="4" xml:space="preserve"> IF( ISNUMBER( K10 ), 0, 1 )</f>
        <v>0</v>
      </c>
      <c r="AD10" s="285">
        <f t="shared" ref="AD10:AD11" si="5" xml:space="preserve"> IF( ISNUMBER( L10 ), 0, 1 )</f>
        <v>0</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v>0</v>
      </c>
      <c r="D11" s="287">
        <v>0</v>
      </c>
      <c r="E11" s="2233">
        <f>IFERROR(SUM(C11:D11),0)</f>
        <v>0</v>
      </c>
      <c r="F11" s="287">
        <v>0</v>
      </c>
      <c r="G11" s="2233">
        <f>IFERROR(IF(OR(D11=0,F11=0),0,D11/(F11/1100)),0)</f>
        <v>0</v>
      </c>
      <c r="H11" s="287">
        <v>0</v>
      </c>
      <c r="I11" s="287">
        <v>0</v>
      </c>
      <c r="J11" s="2233">
        <f>IFERROR(H11 + I11,0)</f>
        <v>0</v>
      </c>
      <c r="K11" s="2650">
        <v>0</v>
      </c>
      <c r="L11" s="1266">
        <v>0</v>
      </c>
      <c r="M11" s="197"/>
      <c r="N11" s="290" t="s">
        <v>6048</v>
      </c>
      <c r="O11" s="197"/>
      <c r="P11" s="291"/>
      <c r="Q11" s="197"/>
      <c r="R11" s="363"/>
      <c r="S11" s="284">
        <f xml:space="preserve"> IF( SUM( U11:AD11 ) = 0, 0,$U$4 )</f>
        <v>0</v>
      </c>
      <c r="T11" s="361"/>
      <c r="U11" s="285">
        <f t="shared" ref="U11" si="6" xml:space="preserve"> IF( ISNUMBER( C11 ), 0, 1 )</f>
        <v>0</v>
      </c>
      <c r="V11" s="285">
        <f t="shared" si="0"/>
        <v>0</v>
      </c>
      <c r="W11" s="270"/>
      <c r="X11" s="285">
        <f t="shared" si="1"/>
        <v>0</v>
      </c>
      <c r="Y11" s="270"/>
      <c r="Z11" s="285">
        <f t="shared" si="2"/>
        <v>0</v>
      </c>
      <c r="AA11" s="285">
        <f t="shared" si="3"/>
        <v>0</v>
      </c>
      <c r="AB11" s="270"/>
      <c r="AC11" s="285">
        <f t="shared" si="4"/>
        <v>0</v>
      </c>
      <c r="AD11" s="285">
        <f t="shared" si="5"/>
        <v>0</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4">
        <f t="shared" ref="C12:L12" si="7">IFERROR(SUM(C10:C11),0)</f>
        <v>63.884999999999998</v>
      </c>
      <c r="D12" s="2234">
        <f t="shared" si="7"/>
        <v>3.71</v>
      </c>
      <c r="E12" s="2234">
        <f t="shared" si="7"/>
        <v>67.594999999999999</v>
      </c>
      <c r="F12" s="2234">
        <f t="shared" si="7"/>
        <v>98.751999999999995</v>
      </c>
      <c r="G12" s="2234">
        <f t="shared" si="7"/>
        <v>37.568859364873624</v>
      </c>
      <c r="H12" s="2234">
        <f t="shared" si="7"/>
        <v>29.98</v>
      </c>
      <c r="I12" s="2234">
        <f t="shared" si="7"/>
        <v>0</v>
      </c>
      <c r="J12" s="2234">
        <f t="shared" si="7"/>
        <v>29.98</v>
      </c>
      <c r="K12" s="2235">
        <f t="shared" si="7"/>
        <v>0.01</v>
      </c>
      <c r="L12" s="2236">
        <f t="shared" si="7"/>
        <v>36.448999999999998</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v>0</v>
      </c>
      <c r="D15" s="421">
        <v>0</v>
      </c>
      <c r="E15" s="1132">
        <f>IFERROR(SUM(C15:D15),0)</f>
        <v>0</v>
      </c>
      <c r="F15" s="421">
        <v>0</v>
      </c>
      <c r="G15" s="1132">
        <f>IFERROR(IF(OR(E15=0,F15=0),0,E15/(F15/1000)),0)</f>
        <v>0</v>
      </c>
      <c r="H15" s="421">
        <v>0</v>
      </c>
      <c r="I15" s="421">
        <v>0</v>
      </c>
      <c r="J15" s="2045">
        <v>0</v>
      </c>
      <c r="K15" s="2651">
        <v>0</v>
      </c>
      <c r="L15" s="422">
        <f>IFERROR( J15 / F15,0)</f>
        <v>0</v>
      </c>
      <c r="M15" s="197"/>
      <c r="N15" s="374" t="s">
        <v>6072</v>
      </c>
      <c r="O15" s="197"/>
      <c r="P15" s="375"/>
      <c r="Q15" s="197"/>
      <c r="R15" s="363"/>
      <c r="S15" s="284">
        <f xml:space="preserve"> IF( SUM( U15:AD15 ) = 0, 0,$U$4 )</f>
        <v>0</v>
      </c>
      <c r="T15" s="361"/>
      <c r="U15" s="285">
        <f t="shared" ref="U15" si="8" xml:space="preserve"> IF( ISNUMBER( C15 ), 0, 1 )</f>
        <v>0</v>
      </c>
      <c r="V15" s="285">
        <f t="shared" ref="V15" si="9" xml:space="preserve"> IF( ISNUMBER( D15 ), 0, 1 )</f>
        <v>0</v>
      </c>
      <c r="W15" s="270"/>
      <c r="X15" s="285">
        <f t="shared" ref="X15" si="10" xml:space="preserve"> IF( ISNUMBER( F15 ), 0, 1 )</f>
        <v>0</v>
      </c>
      <c r="Y15" s="270"/>
      <c r="Z15" s="285">
        <f t="shared" ref="Z15" si="11" xml:space="preserve"> IF( ISNUMBER( H15 ), 0, 1 )</f>
        <v>0</v>
      </c>
      <c r="AA15" s="285">
        <f t="shared" ref="AA15" si="12" xml:space="preserve"> IF( ISNUMBER( I15 ), 0, 1 )</f>
        <v>0</v>
      </c>
      <c r="AB15" s="270"/>
      <c r="AC15" s="285">
        <f t="shared" ref="AC15" si="13" xml:space="preserve"> IF( ISNUMBER( K15 ), 0, 1 )</f>
        <v>0</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63.884999999999998</v>
      </c>
      <c r="D17" s="1132">
        <f>IFERROR(D12+D15,0)</f>
        <v>3.71</v>
      </c>
      <c r="E17" s="1132">
        <f>IFERROR(E12+E15,0)</f>
        <v>67.594999999999999</v>
      </c>
      <c r="F17" s="1132">
        <f>IFERROR(F12+F15,0)</f>
        <v>98.751999999999995</v>
      </c>
      <c r="G17" s="1132">
        <f>IFERROR(IF(OR(D17=0,F17=0),0,D17/(F17/1000)),0)</f>
        <v>37.568859364873624</v>
      </c>
      <c r="H17" s="1132">
        <f>IFERROR(H12+H15,0)</f>
        <v>29.98</v>
      </c>
      <c r="I17" s="1132">
        <f>IFERROR(I12+I15,0)</f>
        <v>0</v>
      </c>
      <c r="J17" s="1132">
        <f>IFERROR(H17-I17,0)</f>
        <v>29.98</v>
      </c>
      <c r="K17" s="2238">
        <f>IFERROR(K12+K15,0)</f>
        <v>0.01</v>
      </c>
      <c r="L17" s="682">
        <f>IFERROR(L12 + L15,0)</f>
        <v>36.448999999999998</v>
      </c>
      <c r="M17" s="197"/>
      <c r="N17" s="374" t="s">
        <v>6084</v>
      </c>
      <c r="O17" s="197"/>
      <c r="P17" s="375" t="s">
        <v>18611</v>
      </c>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v>23.524999999999999</v>
      </c>
      <c r="D20" s="421">
        <v>0.24399999999999999</v>
      </c>
      <c r="E20" s="1132">
        <f>IFERROR(SUM(C20:D20),0)</f>
        <v>23.768999999999998</v>
      </c>
      <c r="F20" s="421">
        <v>0.112</v>
      </c>
      <c r="G20" s="1132">
        <f>IFERROR(IF(OR(D20=0,F20=0),0,D20/(F20/1000)),0)</f>
        <v>2178.5714285714284</v>
      </c>
      <c r="H20" s="684"/>
      <c r="I20" s="684"/>
      <c r="J20" s="684"/>
      <c r="K20" s="684"/>
      <c r="L20" s="685"/>
      <c r="M20" s="197"/>
      <c r="N20" s="374" t="s">
        <v>6097</v>
      </c>
      <c r="O20" s="197"/>
      <c r="P20" s="375" t="s">
        <v>18612</v>
      </c>
      <c r="Q20" s="197"/>
      <c r="R20" s="363"/>
      <c r="S20" s="284">
        <f xml:space="preserve"> IF( SUM( U20:AD20 ) = 0, 0,$U$4 )</f>
        <v>0</v>
      </c>
      <c r="T20" s="361"/>
      <c r="U20" s="285">
        <f t="shared" ref="U20" si="14" xml:space="preserve"> IF( ISNUMBER( C20 ), 0, 1 )</f>
        <v>0</v>
      </c>
      <c r="V20" s="285">
        <f t="shared" ref="V20" si="15" xml:space="preserve"> IF( ISNUMBER( D20 ), 0, 1 )</f>
        <v>0</v>
      </c>
      <c r="W20" s="270"/>
      <c r="X20" s="285">
        <f t="shared" ref="X20" si="16" xml:space="preserve"> IF( ISNUMBER( F20 ), 0, 1 )</f>
        <v>0</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87.41</v>
      </c>
      <c r="D22" s="1132">
        <f>IFERROR(D17+D20,0)</f>
        <v>3.9539999999999997</v>
      </c>
      <c r="E22" s="1132">
        <f>IFERROR(E17+E20,0)</f>
        <v>91.364000000000004</v>
      </c>
      <c r="F22" s="1132">
        <f>IFERROR(F17+F20,0)</f>
        <v>98.86399999999999</v>
      </c>
      <c r="G22" s="1132">
        <f>IFERROR(IF(OR(D22=0,F22=0),0,D22/(F22/1000)),0)</f>
        <v>39.99433565301829</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6.8"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6"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v>98.855999999999995</v>
      </c>
      <c r="D29" s="682">
        <f>IFERROR(IF(OR(D22=0,C29=0),0,D22/(C29/1000)),0)</f>
        <v>39.99757222626851</v>
      </c>
      <c r="E29" s="358"/>
      <c r="F29" s="83"/>
      <c r="G29" s="83"/>
      <c r="H29" s="688"/>
      <c r="I29" s="688"/>
      <c r="J29" s="688"/>
      <c r="K29" s="688"/>
      <c r="L29" s="688"/>
      <c r="M29" s="197"/>
      <c r="N29" s="374" t="s">
        <v>6111</v>
      </c>
      <c r="O29" s="197"/>
      <c r="P29" s="375"/>
      <c r="Q29" s="197"/>
      <c r="R29" s="363"/>
      <c r="S29" s="284">
        <f xml:space="preserve"> IF( SUM( U29:AD29 ) = 0, 0,$U$4 )</f>
        <v>0</v>
      </c>
      <c r="T29" s="361"/>
      <c r="U29" s="285">
        <f t="shared" ref="U29" si="17" xml:space="preserve"> IF( ISNUMBER( C29 ), 0, 1 )</f>
        <v>0</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69" priority="10" operator="equal">
      <formula>0</formula>
    </cfRule>
  </conditionalFormatting>
  <conditionalFormatting sqref="S4:S41">
    <cfRule type="cellIs" dxfId="16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A5" zoomScaleNormal="100" zoomScaleSheetLayoutView="100" workbookViewId="0">
      <selection activeCell="K10" sqref="K10"/>
    </sheetView>
  </sheetViews>
  <sheetFormatPr defaultColWidth="8.59765625" defaultRowHeight="13.8"/>
  <cols>
    <col min="1" max="1" width="1.59765625" style="224" customWidth="1"/>
    <col min="2" max="2" width="30.69921875" style="224" bestFit="1" customWidth="1"/>
    <col min="3" max="3" width="10.19921875" style="224" bestFit="1" customWidth="1"/>
    <col min="4" max="5" width="8.09765625" style="224" bestFit="1" customWidth="1"/>
    <col min="6" max="6" width="11.59765625" style="224" bestFit="1" customWidth="1"/>
    <col min="7" max="7" width="21.19921875" style="224" customWidth="1"/>
    <col min="8" max="8" width="15.19921875" style="224" customWidth="1"/>
    <col min="9" max="9" width="19.59765625" style="224" customWidth="1"/>
    <col min="10" max="10" width="18.69921875" style="224" customWidth="1"/>
    <col min="11" max="11" width="8.69921875" style="224" customWidth="1"/>
    <col min="12" max="12" width="23.19921875" style="224" customWidth="1"/>
    <col min="13" max="13" width="1.19921875" style="224" customWidth="1"/>
    <col min="14" max="14" width="9.5" style="224" bestFit="1" customWidth="1"/>
    <col min="15" max="15" width="1.59765625" style="224" customWidth="1"/>
    <col min="16" max="16" width="25.59765625" style="224" customWidth="1"/>
    <col min="17" max="18" width="1.59765625" style="224" customWidth="1"/>
    <col min="19" max="19" width="20.19921875" style="224" bestFit="1" customWidth="1"/>
    <col min="20" max="20" width="1.59765625" style="263" customWidth="1"/>
    <col min="21" max="21" width="20.19921875" style="263" hidden="1" customWidth="1"/>
    <col min="22" max="22" width="1.59765625" style="263" hidden="1" customWidth="1"/>
    <col min="23" max="23" width="5.69921875" style="263" hidden="1" customWidth="1"/>
    <col min="24" max="24" width="1.59765625" style="263" hidden="1" customWidth="1"/>
    <col min="25" max="25" width="5.69921875" style="263" hidden="1" customWidth="1"/>
    <col min="26" max="27" width="1.59765625" style="263" hidden="1" customWidth="1"/>
    <col min="28" max="28" width="5.69921875" style="263" hidden="1" customWidth="1"/>
    <col min="29" max="31" width="1.59765625" style="263" hidden="1" customWidth="1"/>
    <col min="32" max="32" width="1.59765625" style="224" customWidth="1"/>
    <col min="33" max="33" width="30.69921875" style="224" bestFit="1" customWidth="1"/>
    <col min="34" max="34" width="14.19921875" style="224" bestFit="1" customWidth="1"/>
    <col min="35" max="35" width="13.69921875" style="224" bestFit="1" customWidth="1"/>
    <col min="36" max="36" width="13.09765625" style="224" bestFit="1" customWidth="1"/>
    <col min="37" max="37" width="12.59765625" style="224" bestFit="1" customWidth="1"/>
    <col min="38" max="39" width="15.09765625" style="224" customWidth="1"/>
    <col min="40" max="40" width="14.19921875" style="224" bestFit="1" customWidth="1"/>
    <col min="41" max="41" width="15.59765625" style="224" bestFit="1" customWidth="1"/>
    <col min="42" max="42" width="14.69921875" style="224" bestFit="1" customWidth="1"/>
    <col min="43" max="43" width="15.59765625" style="224" bestFit="1" customWidth="1"/>
    <col min="44" max="44" width="1.59765625" style="224" customWidth="1"/>
    <col min="45" max="16384" width="8.59765625" style="224"/>
  </cols>
  <sheetData>
    <row r="1" spans="1:47" s="389" customFormat="1" ht="30" customHeight="1">
      <c r="B1" s="2721" t="s">
        <v>6114</v>
      </c>
      <c r="C1" s="2721"/>
      <c r="D1" s="2721"/>
      <c r="E1" s="2721"/>
      <c r="F1" s="2721"/>
      <c r="G1" s="2721"/>
      <c r="H1" s="2721"/>
      <c r="I1" s="2721"/>
      <c r="J1" s="561"/>
      <c r="K1" s="561"/>
      <c r="L1" s="561"/>
      <c r="M1" s="561"/>
      <c r="N1" s="529"/>
      <c r="R1" s="340"/>
      <c r="S1" s="259"/>
      <c r="T1" s="361"/>
      <c r="U1" s="263"/>
      <c r="V1" s="263"/>
      <c r="W1" s="263"/>
      <c r="X1" s="263"/>
      <c r="Y1" s="263"/>
      <c r="Z1" s="263"/>
      <c r="AA1" s="263"/>
      <c r="AB1" s="263"/>
      <c r="AC1" s="263"/>
      <c r="AD1" s="263"/>
      <c r="AE1" s="361"/>
      <c r="AG1" s="2721" t="s">
        <v>4198</v>
      </c>
      <c r="AH1" s="2721"/>
      <c r="AI1" s="2721"/>
      <c r="AJ1" s="2721"/>
      <c r="AK1" s="2721"/>
      <c r="AL1" s="2721"/>
      <c r="AM1" s="2721"/>
      <c r="AN1" s="2721"/>
      <c r="AS1" s="224"/>
    </row>
    <row r="2" spans="1:47" s="389" customFormat="1" ht="30" customHeight="1">
      <c r="B2" s="424" t="str">
        <f>SelectCompany!B4</f>
        <v>Dŵr Cymru</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21"/>
      <c r="AH2" s="2721"/>
      <c r="AI2" s="2721"/>
      <c r="AJ2" s="2721"/>
      <c r="AK2" s="2721"/>
      <c r="AL2" s="529"/>
      <c r="AM2" s="529"/>
      <c r="AN2" s="529"/>
      <c r="AO2" s="529"/>
      <c r="AP2" s="529"/>
      <c r="AQ2" s="529"/>
    </row>
    <row r="3" spans="1:47" ht="38.25" customHeight="1">
      <c r="B3" s="2736" t="s">
        <v>6115</v>
      </c>
      <c r="C3" s="2737"/>
      <c r="D3" s="2737"/>
      <c r="E3" s="2737"/>
      <c r="F3" s="2737"/>
      <c r="G3" s="2737"/>
      <c r="H3" s="2737"/>
      <c r="I3" s="2737"/>
      <c r="J3" s="2737"/>
      <c r="K3" s="2737"/>
      <c r="L3" s="2737"/>
      <c r="M3" s="2737"/>
      <c r="N3" s="2737"/>
      <c r="O3" s="2737"/>
      <c r="P3" s="2737"/>
      <c r="Q3" s="260"/>
      <c r="R3" s="342"/>
      <c r="S3" s="425" t="s">
        <v>4200</v>
      </c>
      <c r="T3" s="361"/>
      <c r="U3" s="2710" t="s">
        <v>4201</v>
      </c>
      <c r="V3" s="2710"/>
      <c r="W3" s="2710"/>
      <c r="X3" s="2710"/>
      <c r="Y3" s="2710"/>
      <c r="Z3" s="2710"/>
      <c r="AA3" s="2710"/>
      <c r="AB3" s="2710"/>
      <c r="AC3" s="2710"/>
      <c r="AD3" s="2710"/>
      <c r="AE3" s="361"/>
      <c r="AG3" s="2736" t="s">
        <v>6115</v>
      </c>
      <c r="AH3" s="2737"/>
      <c r="AI3" s="2737"/>
      <c r="AJ3" s="2737"/>
      <c r="AK3" s="2737"/>
      <c r="AL3" s="2737"/>
      <c r="AM3" s="2737"/>
      <c r="AN3" s="2737"/>
      <c r="AO3" s="2737"/>
      <c r="AP3" s="2737"/>
      <c r="AQ3" s="2737"/>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11" t="s">
        <v>4208</v>
      </c>
      <c r="O5" s="197"/>
      <c r="P5" s="2811"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12"/>
      <c r="O6" s="197"/>
      <c r="P6" s="2812"/>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13"/>
      <c r="O7" s="197"/>
      <c r="P7" s="2813"/>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v>81.611999999999995</v>
      </c>
      <c r="D10" s="694">
        <v>3.734</v>
      </c>
      <c r="E10" s="2232">
        <f>IFERROR(SUM(C10:D10),0)</f>
        <v>85.345999999999989</v>
      </c>
      <c r="F10" s="694">
        <v>71.602999999999994</v>
      </c>
      <c r="G10" s="2232">
        <f>IFERROR(IF(OR(D10=0,F10=0),0,D10/(F10/1000)),0)</f>
        <v>52.148652989399885</v>
      </c>
      <c r="H10" s="694">
        <v>39.51</v>
      </c>
      <c r="I10" s="694">
        <v>0</v>
      </c>
      <c r="J10" s="2232">
        <f>IFERROR(H10 + I10,0)</f>
        <v>39.51</v>
      </c>
      <c r="K10" s="1609">
        <v>0.01</v>
      </c>
      <c r="L10" s="695">
        <v>50.908000000000001</v>
      </c>
      <c r="M10" s="282"/>
      <c r="N10" s="696" t="s">
        <v>6116</v>
      </c>
      <c r="O10" s="197"/>
      <c r="P10" s="283" t="s">
        <v>18610</v>
      </c>
      <c r="Q10" s="197"/>
      <c r="R10" s="363"/>
      <c r="S10" s="284">
        <f>IF( SUM( U10:AD10 ) = 0, 0, $U$4 )</f>
        <v>0</v>
      </c>
      <c r="T10" s="361"/>
      <c r="U10" s="285">
        <f t="shared" ref="U10:X12" si="0" xml:space="preserve"> IF( ISNUMBER( C10 ), 0, 1 )</f>
        <v>0</v>
      </c>
      <c r="V10" s="285">
        <f t="shared" ref="V10:V12" si="1" xml:space="preserve"> IF( ISNUMBER( D10 ), 0, 1 )</f>
        <v>0</v>
      </c>
      <c r="W10" s="270"/>
      <c r="X10" s="285">
        <f t="shared" si="0"/>
        <v>0</v>
      </c>
      <c r="Y10" s="270"/>
      <c r="Z10" s="285">
        <f t="shared" ref="Z10:Z12" si="2" xml:space="preserve"> IF( ISNUMBER( H10 ), 0, 1 )</f>
        <v>0</v>
      </c>
      <c r="AA10" s="285">
        <f t="shared" ref="AA10:AA12" si="3" xml:space="preserve"> IF( ISNUMBER( I10 ), 0, 1 )</f>
        <v>0</v>
      </c>
      <c r="AB10" s="270"/>
      <c r="AC10" s="285">
        <f t="shared" ref="AC10:AC12" si="4" xml:space="preserve"> IF( ISNUMBER( K10 ), 0, 1 )</f>
        <v>0</v>
      </c>
      <c r="AD10" s="285">
        <f t="shared" ref="AD10:AD12" si="5" xml:space="preserve"> IF( ISNUMBER( L10 ), 0, 1 )</f>
        <v>0</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v>0</v>
      </c>
      <c r="D11" s="697">
        <v>0</v>
      </c>
      <c r="E11" s="2233">
        <f>IFERROR(SUM(C11:D11),0)</f>
        <v>0</v>
      </c>
      <c r="F11" s="697">
        <v>0</v>
      </c>
      <c r="G11" s="2233">
        <f>IFERROR(IF(OR(D11=0,F11=0),0,D11/(F11/1100)),0)</f>
        <v>0</v>
      </c>
      <c r="H11" s="697">
        <v>0</v>
      </c>
      <c r="I11" s="697">
        <v>0</v>
      </c>
      <c r="J11" s="2233">
        <f>IFERROR(H11 + I11,0)</f>
        <v>0</v>
      </c>
      <c r="K11" s="697">
        <v>0</v>
      </c>
      <c r="L11" s="697">
        <v>0</v>
      </c>
      <c r="M11" s="282"/>
      <c r="N11" s="699" t="s">
        <v>6127</v>
      </c>
      <c r="O11" s="197"/>
      <c r="P11" s="291"/>
      <c r="Q11" s="197"/>
      <c r="R11" s="363"/>
      <c r="S11" s="284">
        <f t="shared" ref="S11:S12" si="6">IF( SUM( U11:AD11 ) = 0, 0, $U$4 )</f>
        <v>0</v>
      </c>
      <c r="T11" s="361"/>
      <c r="U11" s="285">
        <f t="shared" ref="U11:U12" si="7" xml:space="preserve"> IF( ISNUMBER( C11 ), 0, 1 )</f>
        <v>0</v>
      </c>
      <c r="V11" s="285">
        <f t="shared" si="1"/>
        <v>0</v>
      </c>
      <c r="W11" s="270"/>
      <c r="X11" s="285">
        <f t="shared" si="0"/>
        <v>0</v>
      </c>
      <c r="Y11" s="270"/>
      <c r="Z11" s="285">
        <f t="shared" si="2"/>
        <v>0</v>
      </c>
      <c r="AA11" s="285">
        <f t="shared" si="3"/>
        <v>0</v>
      </c>
      <c r="AB11" s="270"/>
      <c r="AC11" s="285">
        <f t="shared" si="4"/>
        <v>0</v>
      </c>
      <c r="AD11" s="285">
        <f t="shared" si="5"/>
        <v>0</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v>0</v>
      </c>
      <c r="D12" s="697">
        <v>0</v>
      </c>
      <c r="E12" s="2233">
        <f>IFERROR(SUM(C12:D12),0)</f>
        <v>0</v>
      </c>
      <c r="F12" s="697">
        <v>0</v>
      </c>
      <c r="G12" s="2233">
        <f>IFERROR(IF(OR(D12=0,F12=0),0,D12/(F12/1200)),0)</f>
        <v>0</v>
      </c>
      <c r="H12" s="697">
        <v>0</v>
      </c>
      <c r="I12" s="697">
        <v>0</v>
      </c>
      <c r="J12" s="2233">
        <f>IFERROR(H12 + I12,0)</f>
        <v>0</v>
      </c>
      <c r="K12" s="697">
        <v>0</v>
      </c>
      <c r="L12" s="697">
        <v>0</v>
      </c>
      <c r="M12" s="260"/>
      <c r="N12" s="699" t="s">
        <v>6139</v>
      </c>
      <c r="O12" s="197"/>
      <c r="P12" s="291"/>
      <c r="Q12" s="197"/>
      <c r="R12" s="363"/>
      <c r="S12" s="284">
        <f t="shared" si="6"/>
        <v>0</v>
      </c>
      <c r="T12" s="361"/>
      <c r="U12" s="285">
        <f t="shared" si="7"/>
        <v>0</v>
      </c>
      <c r="V12" s="285">
        <f t="shared" si="1"/>
        <v>0</v>
      </c>
      <c r="W12" s="270"/>
      <c r="X12" s="285">
        <f t="shared" si="0"/>
        <v>0</v>
      </c>
      <c r="Y12" s="270"/>
      <c r="Z12" s="285">
        <f t="shared" si="2"/>
        <v>0</v>
      </c>
      <c r="AA12" s="285">
        <f t="shared" si="3"/>
        <v>0</v>
      </c>
      <c r="AB12" s="270"/>
      <c r="AC12" s="285">
        <f t="shared" si="4"/>
        <v>0</v>
      </c>
      <c r="AD12" s="285">
        <f t="shared" si="5"/>
        <v>0</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4">
        <f t="shared" ref="C13:L13" si="8">IFERROR(SUM(C10:C12),0)</f>
        <v>81.611999999999995</v>
      </c>
      <c r="D13" s="2234">
        <f t="shared" si="8"/>
        <v>3.734</v>
      </c>
      <c r="E13" s="2234">
        <f t="shared" si="8"/>
        <v>85.345999999999989</v>
      </c>
      <c r="F13" s="2234">
        <f t="shared" si="8"/>
        <v>71.602999999999994</v>
      </c>
      <c r="G13" s="2234">
        <f t="shared" si="8"/>
        <v>52.148652989399885</v>
      </c>
      <c r="H13" s="2234">
        <f t="shared" si="8"/>
        <v>39.51</v>
      </c>
      <c r="I13" s="2234">
        <f t="shared" si="8"/>
        <v>0</v>
      </c>
      <c r="J13" s="2234">
        <f t="shared" si="8"/>
        <v>39.51</v>
      </c>
      <c r="K13" s="2235">
        <f t="shared" si="8"/>
        <v>0.01</v>
      </c>
      <c r="L13" s="2236">
        <f t="shared" si="8"/>
        <v>50.908000000000001</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697">
        <v>0</v>
      </c>
      <c r="D16" s="697">
        <v>0</v>
      </c>
      <c r="E16" s="1132">
        <f>IFERROR(SUM(C16:D16),0)</f>
        <v>0</v>
      </c>
      <c r="F16" s="697">
        <v>0</v>
      </c>
      <c r="G16" s="682">
        <f>IFERROR(IF(OR(E16=0,F16=0),0,E16/(F16/1000)),0)</f>
        <v>0</v>
      </c>
      <c r="H16" s="2112"/>
      <c r="I16" s="2112"/>
      <c r="J16" s="2244"/>
      <c r="K16" s="2112"/>
      <c r="L16" s="2244"/>
      <c r="M16" s="674"/>
      <c r="N16" s="374" t="s">
        <v>6161</v>
      </c>
      <c r="O16" s="197"/>
      <c r="P16" s="375"/>
      <c r="Q16" s="197"/>
      <c r="R16" s="363"/>
      <c r="S16" s="284">
        <f>IF( SUM( U16:AD16 ) = 0, 0, $U$4 )</f>
        <v>0</v>
      </c>
      <c r="T16" s="361"/>
      <c r="U16" s="285">
        <f t="shared" ref="U16" si="9" xml:space="preserve"> IF( ISNUMBER( C16 ), 0, 1 )</f>
        <v>0</v>
      </c>
      <c r="V16" s="285">
        <f t="shared" ref="V16" si="10" xml:space="preserve"> IF( ISNUMBER( D16 ), 0, 1 )</f>
        <v>0</v>
      </c>
      <c r="W16" s="270"/>
      <c r="X16" s="285">
        <f t="shared" ref="X16" si="11" xml:space="preserve"> IF( ISNUMBER( F16 ), 0, 1 )</f>
        <v>0</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81.611999999999995</v>
      </c>
      <c r="D18" s="1132">
        <f>IFERROR(D13+D16,0)</f>
        <v>3.734</v>
      </c>
      <c r="E18" s="1132">
        <f>IFERROR(SUM(C18:D18),0)</f>
        <v>85.345999999999989</v>
      </c>
      <c r="F18" s="1132">
        <f>IFERROR(F13+F16,0)</f>
        <v>71.602999999999994</v>
      </c>
      <c r="G18" s="1132">
        <f>IFERROR(IF(OR(D18=0,F18=0),0,D18/(F18/1000)),0)</f>
        <v>52.148652989399885</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34" t="s">
        <v>4202</v>
      </c>
      <c r="C20" s="2715"/>
      <c r="D20" s="2715"/>
      <c r="E20" s="2715"/>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34" t="s">
        <v>4202</v>
      </c>
      <c r="AH20" s="2715"/>
      <c r="AI20" s="2715"/>
      <c r="AJ20" s="2715"/>
      <c r="AK20" s="670" t="s">
        <v>5979</v>
      </c>
      <c r="AL20" s="671" t="s">
        <v>6109</v>
      </c>
      <c r="AM20" s="197"/>
      <c r="AN20" s="197"/>
      <c r="AO20" s="197"/>
      <c r="AP20" s="197"/>
      <c r="AQ20" s="197"/>
    </row>
    <row r="21" spans="1:43" ht="15.75" customHeight="1">
      <c r="A21" s="197"/>
      <c r="B21" s="2817" t="s">
        <v>4203</v>
      </c>
      <c r="C21" s="2818"/>
      <c r="D21" s="2818"/>
      <c r="E21" s="2818"/>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17" t="s">
        <v>4203</v>
      </c>
      <c r="AH21" s="2818"/>
      <c r="AI21" s="2818"/>
      <c r="AJ21" s="2818"/>
      <c r="AK21" s="427" t="s">
        <v>5981</v>
      </c>
      <c r="AL21" s="428" t="s">
        <v>5982</v>
      </c>
      <c r="AM21" s="197"/>
      <c r="AN21" s="197"/>
      <c r="AO21" s="197"/>
      <c r="AP21" s="197"/>
      <c r="AQ21" s="197"/>
    </row>
    <row r="22" spans="1:43" ht="15.75" customHeight="1" thickBot="1">
      <c r="A22" s="197"/>
      <c r="B22" s="2735" t="s">
        <v>4204</v>
      </c>
      <c r="C22" s="2716"/>
      <c r="D22" s="2716"/>
      <c r="E22" s="2716"/>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35" t="s">
        <v>4204</v>
      </c>
      <c r="AH22" s="2716"/>
      <c r="AI22" s="2716"/>
      <c r="AJ22" s="2716"/>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15" t="s">
        <v>4461</v>
      </c>
      <c r="C25" s="2816"/>
      <c r="D25" s="2816"/>
      <c r="E25" s="2816"/>
      <c r="F25" s="703">
        <v>71.602999999999994</v>
      </c>
      <c r="G25" s="682">
        <f>IFERROR(IF(OR(D18=0,F25=0),0,D18/(F25/1000)),0)</f>
        <v>52.148652989399885</v>
      </c>
      <c r="H25" s="86"/>
      <c r="I25" s="86"/>
      <c r="J25" s="702"/>
      <c r="K25" s="86"/>
      <c r="L25" s="702"/>
      <c r="M25" s="197"/>
      <c r="N25" s="374" t="s">
        <v>6178</v>
      </c>
      <c r="O25" s="197"/>
      <c r="P25" s="375"/>
      <c r="Q25" s="197"/>
      <c r="R25" s="363"/>
      <c r="S25" s="284">
        <f>IF( SUM( U25:AD25 ) = 0, 0, $U$4 )</f>
        <v>0</v>
      </c>
      <c r="T25" s="370"/>
      <c r="U25" s="270"/>
      <c r="V25" s="270"/>
      <c r="W25" s="270"/>
      <c r="X25" s="285">
        <f t="shared" ref="X25" si="12" xml:space="preserve"> IF( ISNUMBER( F25 ), 0, 1 )</f>
        <v>0</v>
      </c>
      <c r="Y25" s="270"/>
      <c r="Z25" s="270"/>
      <c r="AA25" s="270"/>
      <c r="AB25" s="270"/>
      <c r="AC25" s="270"/>
      <c r="AD25" s="270"/>
      <c r="AE25" s="370"/>
      <c r="AG25" s="2815" t="s">
        <v>4425</v>
      </c>
      <c r="AH25" s="2816"/>
      <c r="AI25" s="2816"/>
      <c r="AJ25" s="2816"/>
      <c r="AK25" s="703" t="s">
        <v>6179</v>
      </c>
      <c r="AL25" s="687" t="s">
        <v>6180</v>
      </c>
      <c r="AM25" s="86"/>
      <c r="AN25" s="86"/>
      <c r="AO25" s="702"/>
      <c r="AP25" s="86"/>
      <c r="AQ25" s="702"/>
    </row>
    <row r="26" spans="1:43" ht="16.2"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7" priority="1" operator="equal">
      <formula>0</formula>
    </cfRule>
  </conditionalFormatting>
  <conditionalFormatting sqref="S32:S37">
    <cfRule type="cellIs" dxfId="166" priority="8" operator="equal">
      <formula>0</formula>
    </cfRule>
  </conditionalFormatting>
  <dataValidations count="1">
    <dataValidation type="custom" allowBlank="1" showErrorMessage="1" errorTitle="Input Error" error="Please enter a numeric value." sqref="C16:D16 C10:D12 F10:F12 H10:I12 F25 K10:L12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29" zoomScaleNormal="100" zoomScaleSheetLayoutView="100" workbookViewId="0">
      <selection activeCell="H31" sqref="H31"/>
    </sheetView>
  </sheetViews>
  <sheetFormatPr defaultColWidth="9" defaultRowHeight="15.6"/>
  <cols>
    <col min="1" max="1" width="1.59765625" style="224" customWidth="1"/>
    <col min="2" max="2" width="42.69921875" style="224" customWidth="1"/>
    <col min="3" max="3" width="5.5" style="224" bestFit="1" customWidth="1"/>
    <col min="4" max="4" width="4.69921875" style="224" bestFit="1" customWidth="1"/>
    <col min="5" max="5" width="10.59765625" style="224" bestFit="1" customWidth="1"/>
    <col min="6" max="6" width="15" style="224" customWidth="1"/>
    <col min="7" max="7" width="12.19921875" style="224" customWidth="1"/>
    <col min="8" max="8" width="20.19921875" style="224" customWidth="1"/>
    <col min="9" max="9" width="16.09765625" style="224" customWidth="1"/>
    <col min="10" max="10" width="12.19921875" style="224" customWidth="1"/>
    <col min="11" max="11" width="1.59765625" style="224" customWidth="1"/>
    <col min="12" max="12" width="9.19921875" style="224" bestFit="1" customWidth="1"/>
    <col min="13" max="13" width="1.59765625" style="260" customWidth="1"/>
    <col min="14" max="14" width="25.69921875" style="224" customWidth="1"/>
    <col min="15" max="16" width="1.59765625" style="224" customWidth="1"/>
    <col min="17" max="17" width="20.59765625" style="224" bestFit="1" customWidth="1"/>
    <col min="18" max="18" width="1.59765625" style="263" customWidth="1"/>
    <col min="19" max="19" width="20.59765625" style="263" hidden="1" customWidth="1"/>
    <col min="20" max="23" width="1.69921875" style="263" hidden="1" customWidth="1"/>
    <col min="24" max="24" width="1.59765625" style="263" hidden="1" customWidth="1"/>
    <col min="25" max="25" width="1.59765625" style="224" customWidth="1"/>
    <col min="26" max="26" width="35.69921875" style="224" bestFit="1" customWidth="1"/>
    <col min="27" max="27" width="12.5" style="224" bestFit="1" customWidth="1"/>
    <col min="28" max="28" width="14.69921875" style="224" bestFit="1" customWidth="1"/>
    <col min="29" max="29" width="13.59765625" style="224" bestFit="1" customWidth="1"/>
    <col min="30" max="30" width="13.69921875" style="224" bestFit="1" customWidth="1"/>
    <col min="31" max="31" width="14.5" style="224" bestFit="1" customWidth="1"/>
    <col min="32" max="32" width="14.69921875" style="224" bestFit="1" customWidth="1"/>
    <col min="33" max="33" width="1.59765625" style="224" customWidth="1"/>
    <col min="34" max="16384" width="9" style="224"/>
  </cols>
  <sheetData>
    <row r="1" spans="1:34" s="389" customFormat="1" ht="22.8">
      <c r="B1" s="2819" t="s">
        <v>6181</v>
      </c>
      <c r="C1" s="2819"/>
      <c r="D1" s="2819"/>
      <c r="E1" s="2819"/>
      <c r="F1" s="2819"/>
      <c r="G1" s="2819"/>
      <c r="H1" s="529"/>
      <c r="I1" s="528"/>
      <c r="J1" s="528"/>
      <c r="K1" s="528"/>
      <c r="L1" s="528"/>
      <c r="M1" s="260"/>
      <c r="P1" s="340"/>
      <c r="Q1" s="267"/>
      <c r="R1" s="361"/>
      <c r="S1" s="263"/>
      <c r="T1" s="263"/>
      <c r="U1" s="263"/>
      <c r="V1" s="263"/>
      <c r="W1" s="263"/>
      <c r="X1" s="361"/>
      <c r="Z1" s="2819" t="s">
        <v>4198</v>
      </c>
      <c r="AA1" s="2819"/>
      <c r="AB1" s="2819"/>
      <c r="AC1" s="2819"/>
      <c r="AD1" s="2819"/>
      <c r="AE1" s="2819"/>
    </row>
    <row r="2" spans="1:34" s="389" customFormat="1" ht="22.8">
      <c r="B2" s="2819" t="str">
        <f>SelectCompany!B4</f>
        <v>Dŵr Cymru</v>
      </c>
      <c r="C2" s="2819"/>
      <c r="D2" s="2819"/>
      <c r="E2" s="2819"/>
      <c r="F2" s="2819"/>
      <c r="G2" s="2819"/>
      <c r="H2" s="529"/>
      <c r="I2" s="528"/>
      <c r="J2" s="528"/>
      <c r="K2" s="528"/>
      <c r="L2" s="528"/>
      <c r="M2" s="260"/>
      <c r="P2" s="340"/>
      <c r="Q2" s="267"/>
      <c r="R2" s="361"/>
      <c r="S2" s="263"/>
      <c r="T2" s="263"/>
      <c r="U2" s="263"/>
      <c r="V2" s="263"/>
      <c r="W2" s="263"/>
      <c r="X2" s="361"/>
      <c r="Z2" s="2819"/>
      <c r="AA2" s="2819"/>
      <c r="AB2" s="2819"/>
      <c r="AC2" s="2819"/>
      <c r="AD2" s="2819"/>
      <c r="AE2" s="2819"/>
    </row>
    <row r="3" spans="1:34" s="704" customFormat="1" ht="19.2">
      <c r="B3" s="2737" t="s">
        <v>6182</v>
      </c>
      <c r="C3" s="2737"/>
      <c r="D3" s="2737"/>
      <c r="E3" s="2737"/>
      <c r="F3" s="2737"/>
      <c r="G3" s="2737"/>
      <c r="H3" s="2737"/>
      <c r="I3" s="2737"/>
      <c r="J3" s="2737"/>
      <c r="K3" s="2737"/>
      <c r="L3" s="2737"/>
      <c r="M3" s="2737"/>
      <c r="N3" s="2737"/>
      <c r="P3" s="342"/>
      <c r="Q3" s="265" t="s">
        <v>4200</v>
      </c>
      <c r="R3" s="361"/>
      <c r="S3" s="263"/>
      <c r="T3" s="263"/>
      <c r="U3" s="263"/>
      <c r="V3" s="263"/>
      <c r="W3" s="263"/>
      <c r="X3" s="361"/>
      <c r="Z3" s="2738" t="s">
        <v>6182</v>
      </c>
      <c r="AA3" s="2739"/>
      <c r="AB3" s="2739"/>
      <c r="AC3" s="2739"/>
      <c r="AD3" s="2739"/>
      <c r="AE3" s="2739"/>
      <c r="AF3" s="2739"/>
    </row>
    <row r="4" spans="1:34" ht="16.2" thickBot="1">
      <c r="B4" s="392"/>
      <c r="C4" s="392"/>
      <c r="D4" s="392"/>
      <c r="E4" s="83"/>
      <c r="F4" s="83"/>
      <c r="G4" s="83"/>
      <c r="H4" s="83"/>
      <c r="I4" s="705"/>
      <c r="J4" s="705"/>
      <c r="K4" s="705"/>
      <c r="P4" s="345"/>
      <c r="Q4" s="267"/>
      <c r="R4" s="361"/>
      <c r="S4" s="2710" t="s">
        <v>4201</v>
      </c>
      <c r="T4" s="2710"/>
      <c r="U4" s="2710"/>
      <c r="V4" s="2710"/>
      <c r="W4" s="2710"/>
      <c r="X4" s="361"/>
      <c r="Z4" s="392"/>
      <c r="AA4" s="392"/>
      <c r="AB4" s="392"/>
      <c r="AC4" s="83"/>
      <c r="AD4" s="83"/>
      <c r="AE4" s="83"/>
      <c r="AF4" s="83"/>
      <c r="AG4" s="705"/>
      <c r="AH4" s="705"/>
    </row>
    <row r="5" spans="1:34" ht="46.2"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142.15700000000001</v>
      </c>
      <c r="F8" s="278">
        <v>1.915</v>
      </c>
      <c r="G8" s="279">
        <f>IFERROR(SUM(E8:F8),0)</f>
        <v>144.072</v>
      </c>
      <c r="H8" s="278">
        <v>22.437999999999999</v>
      </c>
      <c r="I8" s="278">
        <v>121.634</v>
      </c>
      <c r="J8" s="280">
        <f>IFERROR(SUM(H8:I8),0)</f>
        <v>144.072</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76.804000000000002</v>
      </c>
      <c r="F9" s="287">
        <v>79.888999999999996</v>
      </c>
      <c r="G9" s="288">
        <f>IFERROR(SUM(E9:F9),0)</f>
        <v>156.69299999999998</v>
      </c>
      <c r="H9" s="287">
        <v>17.648</v>
      </c>
      <c r="I9" s="287">
        <v>139.04499999999999</v>
      </c>
      <c r="J9" s="289">
        <f>IFERROR(SUM(H9:I9),0)</f>
        <v>156.69299999999998</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5.95</v>
      </c>
      <c r="G10" s="288">
        <f>IFERROR(SUM(E10:F10),0)</f>
        <v>5.95</v>
      </c>
      <c r="H10" s="287">
        <v>2.0739999999999998</v>
      </c>
      <c r="I10" s="287">
        <v>3.8759999999999999</v>
      </c>
      <c r="J10" s="289">
        <f>IFERROR(SUM(H10:I10),0)</f>
        <v>5.9499999999999993</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218.96100000000001</v>
      </c>
      <c r="F11" s="298">
        <f t="shared" si="5"/>
        <v>87.754000000000005</v>
      </c>
      <c r="G11" s="298">
        <f t="shared" si="5"/>
        <v>306.71499999999997</v>
      </c>
      <c r="H11" s="708">
        <f t="shared" si="5"/>
        <v>42.16</v>
      </c>
      <c r="I11" s="708">
        <f t="shared" si="5"/>
        <v>264.55499999999995</v>
      </c>
      <c r="J11" s="299">
        <f t="shared" si="5"/>
        <v>306.71499999999997</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212.98500000000001</v>
      </c>
      <c r="F16" s="278">
        <v>2.0630000000000002</v>
      </c>
      <c r="G16" s="279">
        <f t="shared" ref="G16:G22" si="6">IFERROR(SUM(E16:F16),0)</f>
        <v>215.048</v>
      </c>
      <c r="H16" s="278">
        <v>190.88900000000001</v>
      </c>
      <c r="I16" s="278">
        <v>24.158999999999999</v>
      </c>
      <c r="J16" s="280">
        <f t="shared" ref="J16:J22" si="7">IFERROR(SUM(H16:I16),0)</f>
        <v>215.048</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10.337999999999999</v>
      </c>
      <c r="F17" s="287">
        <v>0.47099999999999997</v>
      </c>
      <c r="G17" s="288">
        <f t="shared" si="6"/>
        <v>10.808999999999999</v>
      </c>
      <c r="H17" s="287">
        <v>10.808999999999999</v>
      </c>
      <c r="I17" s="287">
        <v>0</v>
      </c>
      <c r="J17" s="289">
        <f t="shared" si="7"/>
        <v>10.808999999999999</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6.15</v>
      </c>
      <c r="F18" s="287">
        <v>0.185</v>
      </c>
      <c r="G18" s="288">
        <f t="shared" si="6"/>
        <v>6.335</v>
      </c>
      <c r="H18" s="287">
        <v>6.335</v>
      </c>
      <c r="I18" s="287">
        <v>0</v>
      </c>
      <c r="J18" s="289">
        <f t="shared" si="7"/>
        <v>6.335</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127.60899999999999</v>
      </c>
      <c r="F19" s="287">
        <v>72.043999999999997</v>
      </c>
      <c r="G19" s="288">
        <f t="shared" si="6"/>
        <v>199.65299999999999</v>
      </c>
      <c r="H19" s="287">
        <v>179.34200000000001</v>
      </c>
      <c r="I19" s="287">
        <v>20.311</v>
      </c>
      <c r="J19" s="289">
        <f t="shared" si="7"/>
        <v>199.65300000000002</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10.105</v>
      </c>
      <c r="F20" s="287">
        <v>4.8570000000000002</v>
      </c>
      <c r="G20" s="288">
        <f t="shared" si="6"/>
        <v>14.962</v>
      </c>
      <c r="H20" s="287">
        <v>14.962</v>
      </c>
      <c r="I20" s="287">
        <v>0</v>
      </c>
      <c r="J20" s="289">
        <f t="shared" si="7"/>
        <v>14.962</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6.9820000000000002</v>
      </c>
      <c r="F21" s="287">
        <v>1.9910000000000001</v>
      </c>
      <c r="G21" s="288">
        <f t="shared" si="6"/>
        <v>8.9730000000000008</v>
      </c>
      <c r="H21" s="287">
        <v>8.9730000000000008</v>
      </c>
      <c r="I21" s="287">
        <v>0</v>
      </c>
      <c r="J21" s="289">
        <f t="shared" si="7"/>
        <v>8.9730000000000008</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0.56399999999999995</v>
      </c>
      <c r="G22" s="288">
        <f t="shared" si="6"/>
        <v>0.56399999999999995</v>
      </c>
      <c r="H22" s="287">
        <v>0.56399999999999995</v>
      </c>
      <c r="I22" s="287">
        <v>0</v>
      </c>
      <c r="J22" s="289">
        <f t="shared" si="7"/>
        <v>0.56399999999999995</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374.16900000000004</v>
      </c>
      <c r="F23" s="298">
        <f t="shared" si="13"/>
        <v>82.174999999999983</v>
      </c>
      <c r="G23" s="298">
        <f t="shared" si="13"/>
        <v>456.34400000000005</v>
      </c>
      <c r="H23" s="708">
        <f t="shared" si="13"/>
        <v>411.87400000000002</v>
      </c>
      <c r="I23" s="298">
        <f t="shared" si="13"/>
        <v>44.47</v>
      </c>
      <c r="J23" s="299">
        <f t="shared" si="13"/>
        <v>456.34400000000005</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593.13000000000011</v>
      </c>
      <c r="F30" s="385">
        <f>IFERROR(F11+F23+F28,0)</f>
        <v>169.92899999999997</v>
      </c>
      <c r="G30" s="471">
        <f>IFERROR(G11+G23+G28,0)</f>
        <v>763.05899999999997</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9.8650000000000002</v>
      </c>
      <c r="F33" s="278">
        <v>0.60899999999999999</v>
      </c>
      <c r="G33" s="280">
        <f>IFERROR(SUM(E33:F33),0)</f>
        <v>10.474</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29.21</v>
      </c>
      <c r="F34" s="287">
        <v>7.0789999999999997</v>
      </c>
      <c r="G34" s="289">
        <f>IFERROR(SUM(E34:F34),0)</f>
        <v>36.289000000000001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9.2999999999999999E-2</v>
      </c>
      <c r="G35" s="289">
        <f>IFERROR(SUM(E35:F35),0)</f>
        <v>9.2999999999999999E-2</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39.075000000000003</v>
      </c>
      <c r="F36" s="298">
        <f>IFERROR(SUM(F33:F35),0)</f>
        <v>7.7809999999999997</v>
      </c>
      <c r="G36" s="299">
        <f>IFERROR(SUM(G33:G35),0)</f>
        <v>46.856000000000009</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8.3610000000000007</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0.10100000000000001</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9.141</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1.6839999999999999</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829.20199999999988</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5"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5" zoomScaleNormal="100" zoomScaleSheetLayoutView="100" workbookViewId="0">
      <selection activeCell="J25" sqref="J25"/>
    </sheetView>
  </sheetViews>
  <sheetFormatPr defaultColWidth="9" defaultRowHeight="22.5" customHeight="1"/>
  <cols>
    <col min="1" max="1" width="1.59765625" style="224" customWidth="1"/>
    <col min="2" max="2" width="49.19921875" style="224" bestFit="1" customWidth="1"/>
    <col min="3" max="3" width="7" style="224" customWidth="1"/>
    <col min="4" max="4" width="5.5" style="224" customWidth="1"/>
    <col min="5" max="5" width="16.09765625" style="224" customWidth="1"/>
    <col min="6" max="6" width="17.5" style="224" customWidth="1"/>
    <col min="7" max="7" width="3.5" style="224" customWidth="1"/>
    <col min="8" max="8" width="9.19921875" style="260" bestFit="1" customWidth="1"/>
    <col min="9" max="9" width="1.59765625" style="224" customWidth="1"/>
    <col min="10" max="10" width="33.59765625" style="224" customWidth="1"/>
    <col min="11" max="12" width="1.59765625" style="224" customWidth="1"/>
    <col min="13" max="13" width="25.09765625" style="224" customWidth="1"/>
    <col min="14" max="14" width="1.59765625" style="263" customWidth="1"/>
    <col min="15" max="16" width="12.5" style="263" hidden="1" customWidth="1"/>
    <col min="17" max="17" width="1.59765625" style="263" hidden="1" customWidth="1"/>
    <col min="18" max="18" width="1.59765625" style="224" customWidth="1"/>
    <col min="19" max="19" width="32.19921875" style="224" bestFit="1" customWidth="1"/>
    <col min="20" max="20" width="14.69921875" style="224" bestFit="1" customWidth="1"/>
    <col min="21" max="21" width="14.59765625" style="224" bestFit="1" customWidth="1"/>
    <col min="22" max="22" width="1.59765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Dŵr Cymru</v>
      </c>
      <c r="C2" s="529"/>
      <c r="D2" s="529"/>
      <c r="E2" s="529"/>
      <c r="F2" s="529"/>
      <c r="G2" s="528"/>
      <c r="H2" s="260"/>
      <c r="L2" s="340"/>
      <c r="M2" s="259"/>
      <c r="N2" s="262"/>
      <c r="O2" s="263"/>
      <c r="P2" s="263"/>
      <c r="Q2" s="262"/>
      <c r="S2" s="479"/>
    </row>
    <row r="3" spans="1:21" s="704" customFormat="1" ht="44.25" customHeight="1">
      <c r="B3" s="2737" t="s">
        <v>6340</v>
      </c>
      <c r="C3" s="2737"/>
      <c r="D3" s="2737"/>
      <c r="E3" s="2737"/>
      <c r="F3" s="2737"/>
      <c r="G3" s="2737"/>
      <c r="H3" s="2737"/>
      <c r="I3" s="2737"/>
      <c r="J3" s="2737"/>
      <c r="L3" s="342"/>
      <c r="M3" s="265" t="s">
        <v>4200</v>
      </c>
      <c r="N3" s="262"/>
      <c r="O3" s="263"/>
      <c r="P3" s="263"/>
      <c r="Q3" s="262"/>
      <c r="S3" s="2738" t="s">
        <v>6341</v>
      </c>
      <c r="T3" s="2739"/>
      <c r="U3" s="2739"/>
    </row>
    <row r="4" spans="1:21" s="704" customFormat="1" ht="13.5" customHeight="1" thickBot="1">
      <c r="B4" s="690"/>
      <c r="C4" s="690"/>
      <c r="D4" s="690"/>
      <c r="E4" s="690"/>
      <c r="F4" s="690"/>
      <c r="H4" s="260"/>
      <c r="L4" s="345"/>
      <c r="M4" s="224"/>
      <c r="N4" s="262"/>
      <c r="O4" s="2710" t="s">
        <v>4201</v>
      </c>
      <c r="P4" s="2710"/>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0.48499999999999999</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4.7E-2</v>
      </c>
      <c r="F9" s="405">
        <v>0.15</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0.23200000000000001</v>
      </c>
      <c r="F10" s="405">
        <v>3.0000000000000001E-3</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0.76400000000000001</v>
      </c>
      <c r="F11" s="299">
        <f>IFERROR(SUM(F8:F10),0)</f>
        <v>0.153</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0.92800000000000005</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4.9000000000000002E-2</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0.25</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0.24</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1.4670000000000001</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4" priority="1" operator="equal">
      <formula>0</formula>
    </cfRule>
  </conditionalFormatting>
  <conditionalFormatting sqref="M20">
    <cfRule type="cellIs" dxfId="163" priority="8" operator="equal">
      <formula>0</formula>
    </cfRule>
  </conditionalFormatting>
  <conditionalFormatting sqref="M22">
    <cfRule type="cellIs" dxfId="162" priority="7" operator="equal">
      <formula>0</formula>
    </cfRule>
  </conditionalFormatting>
  <conditionalFormatting sqref="M25:M26">
    <cfRule type="cellIs" dxfId="161"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A5" zoomScaleNormal="100" zoomScaleSheetLayoutView="100" workbookViewId="0">
      <selection activeCell="I23" sqref="I23"/>
    </sheetView>
  </sheetViews>
  <sheetFormatPr defaultColWidth="9" defaultRowHeight="15.6"/>
  <cols>
    <col min="1" max="1" width="1.59765625" style="219" customWidth="1"/>
    <col min="2" max="2" width="39.69921875" style="219" bestFit="1" customWidth="1"/>
    <col min="3" max="3" width="7" style="219" customWidth="1"/>
    <col min="4" max="4" width="6.59765625" style="219" customWidth="1"/>
    <col min="5" max="7" width="12.5" style="219" customWidth="1"/>
    <col min="8" max="8" width="2.59765625" style="219" customWidth="1"/>
    <col min="9" max="9" width="12.5" style="730" customWidth="1"/>
    <col min="10" max="10" width="1.59765625" style="219" customWidth="1"/>
    <col min="11" max="11" width="33.59765625" style="219" customWidth="1"/>
    <col min="12" max="12" width="1.59765625" style="219" customWidth="1"/>
    <col min="13" max="13" width="1.59765625" style="224" customWidth="1"/>
    <col min="14" max="14" width="25.09765625" style="224" customWidth="1"/>
    <col min="15" max="15" width="1.59765625" style="263" customWidth="1"/>
    <col min="16" max="17" width="12.5" style="263" hidden="1" customWidth="1"/>
    <col min="18" max="18" width="1.59765625" style="263" hidden="1" customWidth="1"/>
    <col min="19" max="19" width="1.59765625" style="219" customWidth="1"/>
    <col min="20" max="20" width="36.09765625" style="219" customWidth="1"/>
    <col min="21" max="23" width="15" style="219" customWidth="1"/>
    <col min="24" max="24" width="1.59765625" style="219" customWidth="1"/>
    <col min="25" max="16384" width="9" style="219"/>
  </cols>
  <sheetData>
    <row r="1" spans="1:23" s="722" customFormat="1" ht="30" customHeight="1">
      <c r="B1" s="2819" t="s">
        <v>6378</v>
      </c>
      <c r="C1" s="2819"/>
      <c r="D1" s="2819"/>
      <c r="E1" s="2819"/>
      <c r="F1" s="2819"/>
      <c r="G1" s="723"/>
      <c r="H1" s="724"/>
      <c r="I1" s="725"/>
      <c r="M1" s="340"/>
      <c r="N1" s="284"/>
      <c r="O1" s="262"/>
      <c r="P1" s="263"/>
      <c r="Q1" s="263"/>
      <c r="R1" s="262"/>
      <c r="T1" s="2819" t="s">
        <v>4198</v>
      </c>
      <c r="U1" s="2819"/>
      <c r="V1" s="2819"/>
      <c r="W1" s="723"/>
    </row>
    <row r="2" spans="1:23" s="722" customFormat="1" ht="30" customHeight="1">
      <c r="B2" s="2819" t="str">
        <f>SelectCompany!B4</f>
        <v>Dŵr Cymru</v>
      </c>
      <c r="C2" s="2819"/>
      <c r="D2" s="2819"/>
      <c r="E2" s="2819"/>
      <c r="F2" s="2819"/>
      <c r="G2" s="529"/>
      <c r="H2" s="724"/>
      <c r="I2" s="725"/>
      <c r="M2" s="340"/>
      <c r="N2" s="284"/>
      <c r="O2" s="262"/>
      <c r="P2" s="263"/>
      <c r="Q2" s="263"/>
      <c r="R2" s="262"/>
      <c r="T2" s="2819"/>
      <c r="U2" s="2819"/>
      <c r="V2" s="2819"/>
      <c r="W2" s="529"/>
    </row>
    <row r="3" spans="1:23" s="239" customFormat="1" ht="45" customHeight="1">
      <c r="B3" s="2737" t="s">
        <v>6379</v>
      </c>
      <c r="C3" s="2737"/>
      <c r="D3" s="2737"/>
      <c r="E3" s="2737"/>
      <c r="F3" s="2737"/>
      <c r="G3" s="2737"/>
      <c r="H3" s="2737"/>
      <c r="I3" s="2737"/>
      <c r="J3" s="2737"/>
      <c r="K3" s="2737"/>
      <c r="M3" s="342"/>
      <c r="N3" s="265" t="s">
        <v>4200</v>
      </c>
      <c r="O3" s="262"/>
      <c r="P3" s="263"/>
      <c r="Q3" s="263"/>
      <c r="R3" s="262"/>
      <c r="T3" s="2737" t="s">
        <v>6379</v>
      </c>
      <c r="U3" s="2737"/>
      <c r="V3" s="2737"/>
      <c r="W3" s="2737"/>
    </row>
    <row r="4" spans="1:23" s="239" customFormat="1" ht="12" customHeight="1" thickBot="1">
      <c r="B4" s="690"/>
      <c r="C4" s="690"/>
      <c r="D4" s="690"/>
      <c r="E4" s="690"/>
      <c r="F4" s="690"/>
      <c r="G4" s="690"/>
      <c r="H4" s="219"/>
      <c r="I4" s="725"/>
      <c r="M4" s="345"/>
      <c r="N4" s="284"/>
      <c r="O4" s="262"/>
      <c r="P4" s="2710" t="s">
        <v>4201</v>
      </c>
      <c r="Q4" s="2710"/>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3.6960000000000002</v>
      </c>
      <c r="F8" s="350">
        <f>IFERROR('2E'!H36,0)</f>
        <v>3.7989999999999999</v>
      </c>
      <c r="G8" s="280">
        <f>IFERROR(SUM(E8:F8),0)</f>
        <v>7.4950000000000001</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3.6960000000000002</v>
      </c>
      <c r="F10" s="298">
        <f>IFERROR(SUM(F8:F9),0)</f>
        <v>3.7989999999999999</v>
      </c>
      <c r="G10" s="299">
        <f>IFERROR(SUM(E10:F10),0)</f>
        <v>7.4950000000000001</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0</v>
      </c>
      <c r="F13" s="278">
        <v>0</v>
      </c>
      <c r="G13" s="280">
        <f>IFERROR(SUM(E13:F13),0)</f>
        <v>0</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3.6960000000000002</v>
      </c>
      <c r="F14" s="381">
        <f>IFERROR(F8,0)</f>
        <v>3.7989999999999999</v>
      </c>
      <c r="G14" s="289">
        <f>IFERROR(SUM(E14:F14),0)</f>
        <v>7.4950000000000001</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-0.76400000000000001</v>
      </c>
      <c r="F15" s="288">
        <f>IFERROR('2J'!E18*(-1),0)</f>
        <v>-1.4670000000000001</v>
      </c>
      <c r="G15" s="289">
        <f>IFERROR(SUM(E15:F15),0)</f>
        <v>-2.2309999999999999</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2.9320000000000004</v>
      </c>
      <c r="F16" s="298">
        <f>IFERROR(SUM(F13:F15),0)</f>
        <v>2.3319999999999999</v>
      </c>
      <c r="G16" s="299">
        <f>IFERROR(SUM(E16:F16),0)</f>
        <v>5.2640000000000002</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0" priority="3" operator="equal">
      <formula>0</formula>
    </cfRule>
  </conditionalFormatting>
  <conditionalFormatting sqref="N4:N16">
    <cfRule type="cellIs" dxfId="1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M20" sqref="M20"/>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389"/>
      <c r="B1" s="2819" t="s">
        <v>6414</v>
      </c>
      <c r="C1" s="2819"/>
      <c r="D1" s="2819"/>
      <c r="E1" s="2819"/>
      <c r="F1" s="2819"/>
      <c r="G1" s="723"/>
      <c r="H1" s="723"/>
      <c r="I1" s="723"/>
      <c r="J1" s="389"/>
      <c r="K1" s="731"/>
      <c r="L1" s="389"/>
      <c r="M1" s="389"/>
      <c r="N1" s="389"/>
      <c r="O1" s="340"/>
      <c r="P1" s="259"/>
      <c r="Q1" s="262"/>
      <c r="R1" s="263"/>
      <c r="S1" s="263"/>
      <c r="T1" s="263"/>
      <c r="U1" s="263"/>
      <c r="V1" s="262"/>
      <c r="W1" s="389"/>
      <c r="X1" s="2819" t="s">
        <v>4198</v>
      </c>
      <c r="Y1" s="2819"/>
      <c r="Z1" s="2819"/>
      <c r="AA1" s="2819"/>
      <c r="AB1" s="2819"/>
      <c r="AC1" s="2819"/>
      <c r="AD1" s="389"/>
      <c r="AE1" s="389"/>
      <c r="AF1" s="389"/>
      <c r="AG1" s="389"/>
    </row>
    <row r="2" spans="1:33" s="8" customFormat="1" ht="30" customHeight="1">
      <c r="A2" s="389"/>
      <c r="B2" s="2819" t="str">
        <f>SelectCompany!B4</f>
        <v>Dŵr Cymru</v>
      </c>
      <c r="C2" s="2819"/>
      <c r="D2" s="2819"/>
      <c r="E2" s="2819"/>
      <c r="F2" s="2819"/>
      <c r="G2" s="529"/>
      <c r="H2" s="529"/>
      <c r="I2" s="529"/>
      <c r="J2" s="389"/>
      <c r="K2" s="731"/>
      <c r="L2" s="389"/>
      <c r="M2" s="389"/>
      <c r="N2" s="389"/>
      <c r="O2" s="340"/>
      <c r="P2" s="259"/>
      <c r="Q2" s="262"/>
      <c r="R2" s="263"/>
      <c r="S2" s="263"/>
      <c r="T2" s="263"/>
      <c r="U2" s="263"/>
      <c r="V2" s="262"/>
      <c r="W2" s="389"/>
      <c r="X2" s="2819"/>
      <c r="Y2" s="2819"/>
      <c r="Z2" s="2819"/>
      <c r="AA2" s="2819"/>
      <c r="AB2" s="2819"/>
      <c r="AC2" s="2819"/>
      <c r="AD2" s="389"/>
      <c r="AE2" s="389"/>
      <c r="AF2" s="389"/>
      <c r="AG2" s="389"/>
    </row>
    <row r="3" spans="1:33" ht="45" customHeight="1">
      <c r="A3" s="224"/>
      <c r="B3" s="2737" t="s">
        <v>6415</v>
      </c>
      <c r="C3" s="2737"/>
      <c r="D3" s="2737"/>
      <c r="E3" s="2737"/>
      <c r="F3" s="2737"/>
      <c r="G3" s="2737"/>
      <c r="H3" s="2737"/>
      <c r="I3" s="2737"/>
      <c r="J3" s="2737"/>
      <c r="K3" s="2737"/>
      <c r="L3" s="2737"/>
      <c r="M3" s="2737"/>
      <c r="N3" s="224"/>
      <c r="O3" s="342"/>
      <c r="P3" s="265" t="s">
        <v>4200</v>
      </c>
      <c r="Q3" s="262"/>
      <c r="R3" s="263"/>
      <c r="S3" s="263"/>
      <c r="T3" s="263"/>
      <c r="U3" s="263"/>
      <c r="V3" s="262"/>
      <c r="W3" s="224"/>
      <c r="X3" s="2738" t="s">
        <v>6416</v>
      </c>
      <c r="Y3" s="2739"/>
      <c r="Z3" s="2739"/>
      <c r="AA3" s="2739"/>
      <c r="AB3" s="2739"/>
      <c r="AC3" s="2739"/>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710" t="s">
        <v>4201</v>
      </c>
      <c r="S4" s="2710"/>
      <c r="T4" s="2710"/>
      <c r="U4" s="732"/>
      <c r="V4" s="262"/>
      <c r="W4" s="224"/>
      <c r="X4" s="530"/>
      <c r="Y4" s="530"/>
      <c r="Z4" s="530"/>
      <c r="AA4" s="530"/>
      <c r="AB4" s="530"/>
      <c r="AC4" s="530"/>
      <c r="AD4" s="224"/>
      <c r="AE4" s="224"/>
      <c r="AF4" s="224"/>
      <c r="AG4" s="224"/>
    </row>
    <row r="5" spans="1:33" ht="46.2"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1.9E-2</v>
      </c>
      <c r="H7" s="421">
        <v>0</v>
      </c>
      <c r="I7" s="471">
        <f>SUM(E7:H7)</f>
        <v>1.9E-2</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8" priority="1" operator="equal">
      <formula>0</formula>
    </cfRule>
  </conditionalFormatting>
  <conditionalFormatting sqref="P11">
    <cfRule type="cellIs" dxfId="157" priority="8" operator="equal">
      <formula>0</formula>
    </cfRule>
  </conditionalFormatting>
  <conditionalFormatting sqref="P13">
    <cfRule type="cellIs" dxfId="156"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C7" zoomScaleNormal="100" zoomScaleSheetLayoutView="100" workbookViewId="0">
      <selection activeCell="I29" sqref="I29"/>
    </sheetView>
  </sheetViews>
  <sheetFormatPr defaultColWidth="9" defaultRowHeight="15.6"/>
  <cols>
    <col min="1" max="1" width="1.59765625" style="17" customWidth="1"/>
    <col min="2" max="2" width="66.59765625" style="17" bestFit="1" customWidth="1"/>
    <col min="3" max="3" width="5.5" style="17" bestFit="1" customWidth="1"/>
    <col min="4" max="4" width="4.69921875" style="17" bestFit="1" customWidth="1"/>
    <col min="5" max="10" width="13.09765625" style="17" customWidth="1"/>
    <col min="11" max="11" width="1.59765625" style="17" customWidth="1"/>
    <col min="12" max="12" width="9.1992187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389"/>
      <c r="B1" s="2819" t="s">
        <v>6426</v>
      </c>
      <c r="C1" s="2819"/>
      <c r="D1" s="2819"/>
      <c r="E1" s="2819"/>
      <c r="F1" s="2819"/>
      <c r="G1" s="723"/>
      <c r="H1" s="723"/>
      <c r="I1" s="723"/>
      <c r="J1" s="723"/>
      <c r="K1" s="528"/>
      <c r="L1" s="260"/>
      <c r="M1" s="389"/>
      <c r="N1" s="389"/>
      <c r="O1" s="389"/>
      <c r="P1" s="340"/>
      <c r="Q1" s="259"/>
      <c r="R1" s="262"/>
      <c r="S1" s="263"/>
      <c r="T1" s="263"/>
      <c r="U1" s="263"/>
      <c r="V1" s="263"/>
      <c r="W1" s="263"/>
      <c r="X1" s="262"/>
      <c r="Y1" s="389"/>
      <c r="Z1" s="2819" t="s">
        <v>4198</v>
      </c>
      <c r="AA1" s="2819"/>
      <c r="AB1" s="2819"/>
      <c r="AC1" s="723"/>
      <c r="AD1" s="723"/>
      <c r="AE1" s="723"/>
      <c r="AF1" s="723"/>
      <c r="AG1" s="528"/>
      <c r="AH1" s="735"/>
      <c r="AI1" s="219"/>
      <c r="AJ1" s="219"/>
      <c r="AK1" s="389"/>
    </row>
    <row r="2" spans="1:37" s="8" customFormat="1" ht="30" customHeight="1">
      <c r="A2" s="389"/>
      <c r="B2" s="2819" t="str">
        <f>SelectCompany!B4</f>
        <v>Dŵr Cymru</v>
      </c>
      <c r="C2" s="2819"/>
      <c r="D2" s="2819"/>
      <c r="E2" s="2819"/>
      <c r="F2" s="2819"/>
      <c r="G2" s="529"/>
      <c r="H2" s="529"/>
      <c r="I2" s="529"/>
      <c r="J2" s="529"/>
      <c r="K2" s="528"/>
      <c r="L2" s="260"/>
      <c r="M2" s="389"/>
      <c r="N2" s="389"/>
      <c r="O2" s="389"/>
      <c r="P2" s="340"/>
      <c r="Q2" s="259"/>
      <c r="R2" s="262"/>
      <c r="S2" s="263"/>
      <c r="T2" s="263"/>
      <c r="U2" s="263"/>
      <c r="V2" s="263"/>
      <c r="W2" s="263"/>
      <c r="X2" s="262"/>
      <c r="Y2" s="389"/>
      <c r="Z2" s="2819"/>
      <c r="AA2" s="2819"/>
      <c r="AB2" s="2819"/>
      <c r="AC2" s="529"/>
      <c r="AD2" s="529"/>
      <c r="AE2" s="529"/>
      <c r="AF2" s="529"/>
      <c r="AG2" s="528"/>
      <c r="AH2" s="219"/>
      <c r="AI2" s="219"/>
      <c r="AJ2" s="219"/>
      <c r="AK2" s="389"/>
    </row>
    <row r="3" spans="1:37" s="11" customFormat="1" ht="47.25" customHeight="1">
      <c r="A3" s="704"/>
      <c r="B3" s="2736" t="s">
        <v>6427</v>
      </c>
      <c r="C3" s="2737"/>
      <c r="D3" s="2737"/>
      <c r="E3" s="2737"/>
      <c r="F3" s="2737"/>
      <c r="G3" s="2737"/>
      <c r="H3" s="2737"/>
      <c r="I3" s="2737"/>
      <c r="J3" s="2737"/>
      <c r="K3" s="2737"/>
      <c r="L3" s="2737"/>
      <c r="M3" s="2737"/>
      <c r="N3" s="2737"/>
      <c r="O3" s="704"/>
      <c r="P3" s="342"/>
      <c r="Q3" s="265" t="s">
        <v>4200</v>
      </c>
      <c r="R3" s="262"/>
      <c r="S3" s="263"/>
      <c r="T3" s="263"/>
      <c r="U3" s="263"/>
      <c r="V3" s="263"/>
      <c r="W3" s="263"/>
      <c r="X3" s="262"/>
      <c r="Y3" s="704"/>
      <c r="Z3" s="2738" t="s">
        <v>6427</v>
      </c>
      <c r="AA3" s="2739"/>
      <c r="AB3" s="2739"/>
      <c r="AC3" s="2739"/>
      <c r="AD3" s="2739"/>
      <c r="AE3" s="2739"/>
      <c r="AF3" s="2739"/>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710" t="s">
        <v>4201</v>
      </c>
      <c r="T4" s="2710"/>
      <c r="U4" s="2710"/>
      <c r="V4" s="2710"/>
      <c r="W4" s="2710"/>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42.16</v>
      </c>
      <c r="F8" s="738">
        <f>IFERROR('2I'!I11,0)</f>
        <v>264.55499999999995</v>
      </c>
      <c r="G8" s="738">
        <f>IFERROR('2I'!H23,0)</f>
        <v>411.87400000000002</v>
      </c>
      <c r="H8" s="350">
        <f>IFERROR('2I'!I23,0)</f>
        <v>44.47</v>
      </c>
      <c r="I8" s="738">
        <f>IFERROR('2I'!G28,0)</f>
        <v>0</v>
      </c>
      <c r="J8" s="280">
        <f>IFERROR(SUM(E8:I8),0)</f>
        <v>763.05899999999997</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2.0609999999999999</v>
      </c>
      <c r="F9" s="381">
        <f>IFERROR('2E'!H26,0)</f>
        <v>15.760999999999999</v>
      </c>
      <c r="G9" s="381">
        <f>IFERROR('2E'!H41,0)</f>
        <v>11.45</v>
      </c>
      <c r="H9" s="287">
        <v>0</v>
      </c>
      <c r="I9" s="287">
        <v>0</v>
      </c>
      <c r="J9" s="289">
        <f>IFERROR(SUM(E9:G9),0)</f>
        <v>29.271999999999998</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44.220999999999997</v>
      </c>
      <c r="F10" s="298">
        <f>IFERROR(SUM(F8:F9),0)</f>
        <v>280.31599999999997</v>
      </c>
      <c r="G10" s="298">
        <f>IFERROR(SUM(G8:G9),0)</f>
        <v>423.32400000000001</v>
      </c>
      <c r="H10" s="468">
        <f>IFERROR(H8,0)</f>
        <v>44.47</v>
      </c>
      <c r="I10" s="468">
        <f>IFERROR(I8,0)</f>
        <v>0</v>
      </c>
      <c r="J10" s="299">
        <f>IFERROR(SUM(E10:I10),0)</f>
        <v>792.33100000000002</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42.155999999999999</v>
      </c>
      <c r="F13" s="278">
        <v>266.48</v>
      </c>
      <c r="G13" s="278">
        <v>403.589</v>
      </c>
      <c r="H13" s="278">
        <v>38.962000000000003</v>
      </c>
      <c r="I13" s="278">
        <v>0</v>
      </c>
      <c r="J13" s="280">
        <f>IFERROR(SUM(E13:I13),0)</f>
        <v>751.18700000000001</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15.363</v>
      </c>
      <c r="G14" s="287">
        <v>8.25</v>
      </c>
      <c r="H14" s="287">
        <v>0</v>
      </c>
      <c r="I14" s="287">
        <v>0</v>
      </c>
      <c r="J14" s="289">
        <f>IFERROR(SUM(E14:I14),0)</f>
        <v>23.613</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-1.4910000000000001</v>
      </c>
      <c r="F15" s="287">
        <v>9.4540000000000006</v>
      </c>
      <c r="G15" s="287">
        <v>26.347000000000001</v>
      </c>
      <c r="H15" s="287">
        <v>1.3360000000000001</v>
      </c>
      <c r="I15" s="287">
        <v>0</v>
      </c>
      <c r="J15" s="289">
        <f>IFERROR(SUM(E15:I15),0)</f>
        <v>35.646000000000001</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-14.332000000000001</v>
      </c>
      <c r="G16" s="287">
        <v>-0.19400000000000001</v>
      </c>
      <c r="H16" s="287">
        <v>0</v>
      </c>
      <c r="I16" s="287">
        <v>0</v>
      </c>
      <c r="J16" s="289">
        <f>IFERROR(SUM(E16:I16),0)</f>
        <v>-14.526000000000002</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40.664999999999999</v>
      </c>
      <c r="F17" s="298">
        <f>IFERROR(SUM(F13:F16),0)</f>
        <v>276.96500000000003</v>
      </c>
      <c r="G17" s="298">
        <f>IFERROR(SUM(G13:G16),0)</f>
        <v>437.99199999999996</v>
      </c>
      <c r="H17" s="298">
        <f>IFERROR(SUM(H13:H16),0)</f>
        <v>40.298000000000002</v>
      </c>
      <c r="I17" s="298">
        <f>IFERROR(SUM(I13:I16),0)</f>
        <v>0</v>
      </c>
      <c r="J17" s="299">
        <f>IFERROR(SUM(E17:I17),0)</f>
        <v>795.92000000000007</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40.664999999999999</v>
      </c>
      <c r="F20" s="350">
        <f>IFERROR(F17,0)</f>
        <v>276.96500000000003</v>
      </c>
      <c r="G20" s="350">
        <f>IFERROR(G17,0)</f>
        <v>437.99199999999996</v>
      </c>
      <c r="H20" s="350">
        <f>IFERROR(H17,0)</f>
        <v>40.298000000000002</v>
      </c>
      <c r="I20" s="350">
        <f>IFERROR(I17,0)</f>
        <v>0</v>
      </c>
      <c r="J20" s="280">
        <f>IFERROR(SUM(E20:I20),0)</f>
        <v>795.92000000000007</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44.220999999999997</v>
      </c>
      <c r="F21" s="381">
        <f>IFERROR(F10,0)</f>
        <v>280.31599999999997</v>
      </c>
      <c r="G21" s="381">
        <f>IFERROR(G10,0)</f>
        <v>423.32400000000001</v>
      </c>
      <c r="H21" s="381">
        <f>IFERROR(H10,0)</f>
        <v>44.47</v>
      </c>
      <c r="I21" s="381">
        <f>IFERROR(I10,0)</f>
        <v>0</v>
      </c>
      <c r="J21" s="289">
        <f>IFERROR(SUM(E21:I21),0)</f>
        <v>792.33100000000002</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-3.5559999999999974</v>
      </c>
      <c r="F22" s="298">
        <f>IFERROR(F20-F21,0)</f>
        <v>-3.3509999999999422</v>
      </c>
      <c r="G22" s="298">
        <f>IFERROR(G20-G21,0)</f>
        <v>14.66799999999995</v>
      </c>
      <c r="H22" s="298">
        <f>IFERROR(H20-H21,0)</f>
        <v>-4.171999999999997</v>
      </c>
      <c r="I22" s="298">
        <f>IFERROR(I20-I21,0)</f>
        <v>0</v>
      </c>
      <c r="J22" s="299">
        <f>IFERROR(SUM(E22:I22),0)</f>
        <v>3.5890000000000128</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5"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3.8"/>
  <cols>
    <col min="1" max="1" width="20.59765625" bestFit="1" customWidth="1"/>
    <col min="3" max="3" width="65.69921875" customWidth="1"/>
  </cols>
  <sheetData>
    <row r="1" spans="1:15">
      <c r="A1" t="s">
        <v>17320</v>
      </c>
      <c r="B1" t="s">
        <v>17321</v>
      </c>
      <c r="C1" t="s">
        <v>17322</v>
      </c>
      <c r="D1" t="s">
        <v>630</v>
      </c>
      <c r="E1" t="s">
        <v>17323</v>
      </c>
      <c r="F1" t="s">
        <v>4204</v>
      </c>
      <c r="G1" t="s">
        <v>17324</v>
      </c>
      <c r="H1" t="s">
        <v>17325</v>
      </c>
      <c r="I1" t="s">
        <v>17326</v>
      </c>
      <c r="J1" t="s">
        <v>17327</v>
      </c>
      <c r="K1" t="s">
        <v>17328</v>
      </c>
      <c r="L1" t="s">
        <v>17329</v>
      </c>
      <c r="M1" t="s">
        <v>17330</v>
      </c>
      <c r="N1" t="s">
        <v>17331</v>
      </c>
      <c r="O1" t="s">
        <v>17332</v>
      </c>
    </row>
    <row r="2" spans="1:15">
      <c r="A2" t="s">
        <v>16476</v>
      </c>
      <c r="B2">
        <v>1</v>
      </c>
      <c r="C2" t="s">
        <v>15636</v>
      </c>
      <c r="D2" t="s">
        <v>4215</v>
      </c>
      <c r="E2" t="s">
        <v>17334</v>
      </c>
      <c r="F2">
        <v>3</v>
      </c>
      <c r="N2" t="s">
        <v>15636</v>
      </c>
    </row>
    <row r="3" spans="1:15">
      <c r="A3" t="s">
        <v>16485</v>
      </c>
      <c r="B3">
        <v>1</v>
      </c>
      <c r="C3" t="s">
        <v>15637</v>
      </c>
      <c r="D3" t="s">
        <v>4215</v>
      </c>
      <c r="E3" t="s">
        <v>17334</v>
      </c>
      <c r="F3">
        <v>3</v>
      </c>
      <c r="N3" t="s">
        <v>15637</v>
      </c>
    </row>
    <row r="4" spans="1:15">
      <c r="A4" t="s">
        <v>16494</v>
      </c>
      <c r="B4">
        <v>1</v>
      </c>
      <c r="C4" t="s">
        <v>15638</v>
      </c>
      <c r="D4" t="s">
        <v>4215</v>
      </c>
      <c r="E4" t="s">
        <v>17334</v>
      </c>
      <c r="F4">
        <v>3</v>
      </c>
      <c r="N4" t="s">
        <v>15638</v>
      </c>
    </row>
    <row r="5" spans="1:15">
      <c r="A5" t="s">
        <v>16503</v>
      </c>
      <c r="B5">
        <v>1</v>
      </c>
      <c r="C5" t="s">
        <v>15639</v>
      </c>
      <c r="D5" t="s">
        <v>4215</v>
      </c>
      <c r="E5" t="s">
        <v>17334</v>
      </c>
      <c r="F5">
        <v>3</v>
      </c>
      <c r="N5" t="s">
        <v>15639</v>
      </c>
    </row>
    <row r="6" spans="1:15">
      <c r="A6" t="s">
        <v>16512</v>
      </c>
      <c r="B6">
        <v>1</v>
      </c>
      <c r="C6" t="s">
        <v>15640</v>
      </c>
      <c r="D6" t="s">
        <v>4215</v>
      </c>
      <c r="E6" t="s">
        <v>17334</v>
      </c>
      <c r="F6">
        <v>3</v>
      </c>
      <c r="N6" t="s">
        <v>15640</v>
      </c>
    </row>
    <row r="7" spans="1:15">
      <c r="A7" t="s">
        <v>16521</v>
      </c>
      <c r="B7">
        <v>1</v>
      </c>
      <c r="C7" t="s">
        <v>15641</v>
      </c>
      <c r="D7" t="s">
        <v>4215</v>
      </c>
      <c r="E7" t="s">
        <v>17334</v>
      </c>
      <c r="F7">
        <v>3</v>
      </c>
      <c r="N7" t="s">
        <v>15641</v>
      </c>
    </row>
    <row r="8" spans="1:15">
      <c r="A8" t="s">
        <v>16530</v>
      </c>
      <c r="B8">
        <v>1</v>
      </c>
      <c r="C8" t="s">
        <v>15642</v>
      </c>
      <c r="D8" t="s">
        <v>4215</v>
      </c>
      <c r="E8" t="s">
        <v>17334</v>
      </c>
      <c r="F8">
        <v>3</v>
      </c>
      <c r="N8" t="s">
        <v>15642</v>
      </c>
    </row>
    <row r="9" spans="1:15">
      <c r="A9" t="s">
        <v>16539</v>
      </c>
      <c r="B9">
        <v>1</v>
      </c>
      <c r="C9" t="s">
        <v>15643</v>
      </c>
      <c r="D9" t="s">
        <v>4215</v>
      </c>
      <c r="E9" t="s">
        <v>17334</v>
      </c>
      <c r="F9">
        <v>3</v>
      </c>
      <c r="N9" t="s">
        <v>15643</v>
      </c>
    </row>
    <row r="10" spans="1:15">
      <c r="A10" t="s">
        <v>16546</v>
      </c>
      <c r="B10">
        <v>1</v>
      </c>
      <c r="C10" t="s">
        <v>15644</v>
      </c>
      <c r="D10" t="s">
        <v>4215</v>
      </c>
      <c r="E10" t="s">
        <v>17334</v>
      </c>
      <c r="F10">
        <v>3</v>
      </c>
      <c r="N10" t="s">
        <v>15644</v>
      </c>
    </row>
    <row r="11" spans="1:15">
      <c r="A11" t="s">
        <v>16553</v>
      </c>
      <c r="B11">
        <v>1</v>
      </c>
      <c r="C11" t="s">
        <v>15645</v>
      </c>
      <c r="D11" t="s">
        <v>4215</v>
      </c>
      <c r="E11" t="s">
        <v>17334</v>
      </c>
      <c r="F11">
        <v>3</v>
      </c>
      <c r="N11" t="s">
        <v>15645</v>
      </c>
    </row>
    <row r="12" spans="1:15">
      <c r="A12" t="s">
        <v>16560</v>
      </c>
      <c r="B12">
        <v>1</v>
      </c>
      <c r="C12" t="s">
        <v>15646</v>
      </c>
      <c r="D12" t="s">
        <v>4215</v>
      </c>
      <c r="E12" t="s">
        <v>17334</v>
      </c>
      <c r="F12">
        <v>3</v>
      </c>
      <c r="N12" t="s">
        <v>15646</v>
      </c>
    </row>
    <row r="13" spans="1:15">
      <c r="A13" t="s">
        <v>16567</v>
      </c>
      <c r="B13">
        <v>1</v>
      </c>
      <c r="C13" t="s">
        <v>15647</v>
      </c>
      <c r="D13" t="s">
        <v>4215</v>
      </c>
      <c r="E13" t="s">
        <v>17334</v>
      </c>
      <c r="F13">
        <v>3</v>
      </c>
      <c r="N13" t="s">
        <v>15647</v>
      </c>
    </row>
    <row r="14" spans="1:15">
      <c r="A14" t="s">
        <v>16574</v>
      </c>
      <c r="B14">
        <v>1</v>
      </c>
      <c r="C14" t="s">
        <v>15648</v>
      </c>
      <c r="D14" t="s">
        <v>4215</v>
      </c>
      <c r="E14" t="s">
        <v>17334</v>
      </c>
      <c r="F14">
        <v>3</v>
      </c>
      <c r="N14" t="s">
        <v>15648</v>
      </c>
    </row>
    <row r="15" spans="1:15">
      <c r="A15" t="s">
        <v>16581</v>
      </c>
      <c r="B15">
        <v>1</v>
      </c>
      <c r="C15" t="s">
        <v>15649</v>
      </c>
      <c r="D15" t="s">
        <v>4215</v>
      </c>
      <c r="E15" t="s">
        <v>17334</v>
      </c>
      <c r="F15">
        <v>3</v>
      </c>
      <c r="N15" t="s">
        <v>15649</v>
      </c>
    </row>
    <row r="16" spans="1:15">
      <c r="A16" t="s">
        <v>16588</v>
      </c>
      <c r="B16">
        <v>1</v>
      </c>
      <c r="C16" t="s">
        <v>15650</v>
      </c>
      <c r="D16" t="s">
        <v>4215</v>
      </c>
      <c r="E16" t="s">
        <v>17334</v>
      </c>
      <c r="F16">
        <v>3</v>
      </c>
      <c r="N16" t="s">
        <v>15650</v>
      </c>
    </row>
    <row r="17" spans="1:14">
      <c r="A17" t="s">
        <v>16595</v>
      </c>
      <c r="B17">
        <v>1</v>
      </c>
      <c r="C17" t="s">
        <v>15651</v>
      </c>
      <c r="D17" t="s">
        <v>4215</v>
      </c>
      <c r="E17" t="s">
        <v>17334</v>
      </c>
      <c r="F17">
        <v>3</v>
      </c>
      <c r="N17" t="s">
        <v>15651</v>
      </c>
    </row>
    <row r="18" spans="1:14">
      <c r="A18" t="s">
        <v>16602</v>
      </c>
      <c r="B18">
        <v>1</v>
      </c>
      <c r="C18" t="s">
        <v>15652</v>
      </c>
      <c r="D18" t="s">
        <v>4215</v>
      </c>
      <c r="E18" t="s">
        <v>17334</v>
      </c>
      <c r="F18">
        <v>3</v>
      </c>
      <c r="N18" t="s">
        <v>15652</v>
      </c>
    </row>
    <row r="19" spans="1:14">
      <c r="A19" t="s">
        <v>16609</v>
      </c>
      <c r="B19">
        <v>1</v>
      </c>
      <c r="C19" t="s">
        <v>15653</v>
      </c>
      <c r="D19" t="s">
        <v>4215</v>
      </c>
      <c r="E19" t="s">
        <v>17334</v>
      </c>
      <c r="F19">
        <v>3</v>
      </c>
      <c r="N19" t="s">
        <v>15653</v>
      </c>
    </row>
    <row r="20" spans="1:14">
      <c r="A20" t="s">
        <v>16616</v>
      </c>
      <c r="B20">
        <v>1</v>
      </c>
      <c r="C20" t="s">
        <v>15654</v>
      </c>
      <c r="D20" t="s">
        <v>4215</v>
      </c>
      <c r="E20" t="s">
        <v>17334</v>
      </c>
      <c r="F20">
        <v>3</v>
      </c>
      <c r="N20" t="s">
        <v>15654</v>
      </c>
    </row>
    <row r="21" spans="1:14">
      <c r="A21" t="s">
        <v>16623</v>
      </c>
      <c r="B21">
        <v>1</v>
      </c>
      <c r="C21" t="s">
        <v>15655</v>
      </c>
      <c r="D21" t="s">
        <v>4215</v>
      </c>
      <c r="E21" t="s">
        <v>17334</v>
      </c>
      <c r="F21">
        <v>3</v>
      </c>
      <c r="N21" t="s">
        <v>15655</v>
      </c>
    </row>
    <row r="22" spans="1:14">
      <c r="A22" t="s">
        <v>16630</v>
      </c>
      <c r="B22">
        <v>1</v>
      </c>
      <c r="C22" t="s">
        <v>15656</v>
      </c>
      <c r="D22" t="s">
        <v>4215</v>
      </c>
      <c r="E22" t="s">
        <v>17334</v>
      </c>
      <c r="F22">
        <v>3</v>
      </c>
      <c r="N22" t="s">
        <v>15656</v>
      </c>
    </row>
    <row r="23" spans="1:14">
      <c r="A23" t="s">
        <v>16637</v>
      </c>
      <c r="B23">
        <v>1</v>
      </c>
      <c r="C23" t="s">
        <v>15657</v>
      </c>
      <c r="D23" t="s">
        <v>4215</v>
      </c>
      <c r="E23" t="s">
        <v>17334</v>
      </c>
      <c r="F23">
        <v>3</v>
      </c>
      <c r="N23" t="s">
        <v>15657</v>
      </c>
    </row>
    <row r="24" spans="1:14">
      <c r="A24" t="s">
        <v>16644</v>
      </c>
      <c r="B24">
        <v>1</v>
      </c>
      <c r="C24" t="s">
        <v>15658</v>
      </c>
      <c r="D24" t="s">
        <v>4215</v>
      </c>
      <c r="E24" t="s">
        <v>17334</v>
      </c>
      <c r="F24">
        <v>3</v>
      </c>
      <c r="N24" t="s">
        <v>15658</v>
      </c>
    </row>
    <row r="25" spans="1:14">
      <c r="A25" t="s">
        <v>16651</v>
      </c>
      <c r="B25">
        <v>1</v>
      </c>
      <c r="C25" t="s">
        <v>15659</v>
      </c>
      <c r="D25" t="s">
        <v>4215</v>
      </c>
      <c r="E25" t="s">
        <v>17334</v>
      </c>
      <c r="F25">
        <v>3</v>
      </c>
      <c r="N25" t="s">
        <v>15659</v>
      </c>
    </row>
    <row r="26" spans="1:14">
      <c r="A26" t="s">
        <v>16658</v>
      </c>
      <c r="B26">
        <v>1</v>
      </c>
      <c r="C26" t="s">
        <v>15660</v>
      </c>
      <c r="D26" t="s">
        <v>4215</v>
      </c>
      <c r="E26" t="s">
        <v>17334</v>
      </c>
      <c r="F26">
        <v>3</v>
      </c>
      <c r="N26" t="s">
        <v>15660</v>
      </c>
    </row>
    <row r="27" spans="1:14">
      <c r="A27" t="s">
        <v>16665</v>
      </c>
      <c r="B27">
        <v>1</v>
      </c>
      <c r="C27" t="s">
        <v>15661</v>
      </c>
      <c r="D27" t="s">
        <v>4215</v>
      </c>
      <c r="E27" t="s">
        <v>17334</v>
      </c>
      <c r="F27">
        <v>3</v>
      </c>
      <c r="N27" t="s">
        <v>15661</v>
      </c>
    </row>
    <row r="28" spans="1:14">
      <c r="A28" t="s">
        <v>16672</v>
      </c>
      <c r="B28">
        <v>1</v>
      </c>
      <c r="C28" t="s">
        <v>15662</v>
      </c>
      <c r="D28" t="s">
        <v>4215</v>
      </c>
      <c r="E28" t="s">
        <v>17334</v>
      </c>
      <c r="F28">
        <v>3</v>
      </c>
      <c r="N28" t="s">
        <v>15662</v>
      </c>
    </row>
    <row r="29" spans="1:14">
      <c r="A29" t="s">
        <v>16679</v>
      </c>
      <c r="B29">
        <v>1</v>
      </c>
      <c r="C29" t="s">
        <v>15663</v>
      </c>
      <c r="D29" t="s">
        <v>4215</v>
      </c>
      <c r="E29" t="s">
        <v>17334</v>
      </c>
      <c r="F29">
        <v>3</v>
      </c>
      <c r="N29" t="s">
        <v>15663</v>
      </c>
    </row>
    <row r="30" spans="1:14">
      <c r="A30" t="s">
        <v>16477</v>
      </c>
      <c r="B30">
        <v>1</v>
      </c>
      <c r="C30" t="s">
        <v>15664</v>
      </c>
      <c r="D30" t="s">
        <v>4215</v>
      </c>
      <c r="E30" t="s">
        <v>17334</v>
      </c>
      <c r="F30">
        <v>3</v>
      </c>
      <c r="N30" t="s">
        <v>15664</v>
      </c>
    </row>
    <row r="31" spans="1:14">
      <c r="A31" t="s">
        <v>16486</v>
      </c>
      <c r="B31">
        <v>1</v>
      </c>
      <c r="C31" t="s">
        <v>15665</v>
      </c>
      <c r="D31" t="s">
        <v>4215</v>
      </c>
      <c r="E31" t="s">
        <v>17334</v>
      </c>
      <c r="F31">
        <v>3</v>
      </c>
      <c r="N31" t="s">
        <v>15665</v>
      </c>
    </row>
    <row r="32" spans="1:14">
      <c r="A32" t="s">
        <v>16495</v>
      </c>
      <c r="B32">
        <v>1</v>
      </c>
      <c r="C32" t="s">
        <v>15666</v>
      </c>
      <c r="D32" t="s">
        <v>4215</v>
      </c>
      <c r="E32" t="s">
        <v>17334</v>
      </c>
      <c r="F32">
        <v>3</v>
      </c>
      <c r="N32" t="s">
        <v>15666</v>
      </c>
    </row>
    <row r="33" spans="1:14">
      <c r="A33" t="s">
        <v>16504</v>
      </c>
      <c r="B33">
        <v>1</v>
      </c>
      <c r="C33" t="s">
        <v>15667</v>
      </c>
      <c r="D33" t="s">
        <v>4215</v>
      </c>
      <c r="E33" t="s">
        <v>17334</v>
      </c>
      <c r="F33">
        <v>3</v>
      </c>
      <c r="N33" t="s">
        <v>15667</v>
      </c>
    </row>
    <row r="34" spans="1:14">
      <c r="A34" t="s">
        <v>16513</v>
      </c>
      <c r="B34">
        <v>1</v>
      </c>
      <c r="C34" t="s">
        <v>15668</v>
      </c>
      <c r="D34" t="s">
        <v>4215</v>
      </c>
      <c r="E34" t="s">
        <v>17334</v>
      </c>
      <c r="F34">
        <v>3</v>
      </c>
      <c r="N34" t="s">
        <v>15668</v>
      </c>
    </row>
    <row r="35" spans="1:14">
      <c r="A35" t="s">
        <v>16522</v>
      </c>
      <c r="B35">
        <v>1</v>
      </c>
      <c r="C35" t="s">
        <v>15669</v>
      </c>
      <c r="D35" t="s">
        <v>4215</v>
      </c>
      <c r="E35" t="s">
        <v>17334</v>
      </c>
      <c r="F35">
        <v>3</v>
      </c>
      <c r="N35" t="s">
        <v>15669</v>
      </c>
    </row>
    <row r="36" spans="1:14">
      <c r="A36" t="s">
        <v>16531</v>
      </c>
      <c r="B36">
        <v>1</v>
      </c>
      <c r="C36" t="s">
        <v>15670</v>
      </c>
      <c r="D36" t="s">
        <v>4215</v>
      </c>
      <c r="E36" t="s">
        <v>17334</v>
      </c>
      <c r="F36">
        <v>3</v>
      </c>
      <c r="N36" t="s">
        <v>15670</v>
      </c>
    </row>
    <row r="37" spans="1:14">
      <c r="A37" t="s">
        <v>16540</v>
      </c>
      <c r="B37">
        <v>1</v>
      </c>
      <c r="C37" t="s">
        <v>15671</v>
      </c>
      <c r="D37" t="s">
        <v>4215</v>
      </c>
      <c r="E37" t="s">
        <v>17334</v>
      </c>
      <c r="F37">
        <v>3</v>
      </c>
      <c r="N37" t="s">
        <v>15671</v>
      </c>
    </row>
    <row r="38" spans="1:14">
      <c r="A38" t="s">
        <v>16547</v>
      </c>
      <c r="B38">
        <v>1</v>
      </c>
      <c r="C38" t="s">
        <v>15672</v>
      </c>
      <c r="D38" t="s">
        <v>4215</v>
      </c>
      <c r="E38" t="s">
        <v>17334</v>
      </c>
      <c r="F38">
        <v>3</v>
      </c>
      <c r="N38" t="s">
        <v>15672</v>
      </c>
    </row>
    <row r="39" spans="1:14">
      <c r="A39" t="s">
        <v>16554</v>
      </c>
      <c r="B39">
        <v>1</v>
      </c>
      <c r="C39" t="s">
        <v>15673</v>
      </c>
      <c r="D39" t="s">
        <v>4215</v>
      </c>
      <c r="E39" t="s">
        <v>17334</v>
      </c>
      <c r="F39">
        <v>3</v>
      </c>
      <c r="N39" t="s">
        <v>15673</v>
      </c>
    </row>
    <row r="40" spans="1:14">
      <c r="A40" t="s">
        <v>16561</v>
      </c>
      <c r="B40">
        <v>1</v>
      </c>
      <c r="C40" t="s">
        <v>15674</v>
      </c>
      <c r="D40" t="s">
        <v>4215</v>
      </c>
      <c r="E40" t="s">
        <v>17334</v>
      </c>
      <c r="F40">
        <v>3</v>
      </c>
      <c r="N40" t="s">
        <v>15674</v>
      </c>
    </row>
    <row r="41" spans="1:14">
      <c r="A41" t="s">
        <v>16568</v>
      </c>
      <c r="B41">
        <v>1</v>
      </c>
      <c r="C41" t="s">
        <v>15675</v>
      </c>
      <c r="D41" t="s">
        <v>4215</v>
      </c>
      <c r="E41" t="s">
        <v>17334</v>
      </c>
      <c r="F41">
        <v>3</v>
      </c>
      <c r="N41" t="s">
        <v>15675</v>
      </c>
    </row>
    <row r="42" spans="1:14">
      <c r="A42" t="s">
        <v>16575</v>
      </c>
      <c r="B42">
        <v>1</v>
      </c>
      <c r="C42" t="s">
        <v>15676</v>
      </c>
      <c r="D42" t="s">
        <v>4215</v>
      </c>
      <c r="E42" t="s">
        <v>17334</v>
      </c>
      <c r="F42">
        <v>3</v>
      </c>
      <c r="N42" t="s">
        <v>15676</v>
      </c>
    </row>
    <row r="43" spans="1:14">
      <c r="A43" t="s">
        <v>16582</v>
      </c>
      <c r="B43">
        <v>1</v>
      </c>
      <c r="C43" t="s">
        <v>15677</v>
      </c>
      <c r="D43" t="s">
        <v>4215</v>
      </c>
      <c r="E43" t="s">
        <v>17334</v>
      </c>
      <c r="F43">
        <v>3</v>
      </c>
      <c r="N43" t="s">
        <v>15677</v>
      </c>
    </row>
    <row r="44" spans="1:14">
      <c r="A44" t="s">
        <v>16589</v>
      </c>
      <c r="B44">
        <v>1</v>
      </c>
      <c r="C44" t="s">
        <v>15678</v>
      </c>
      <c r="D44" t="s">
        <v>4215</v>
      </c>
      <c r="E44" t="s">
        <v>17334</v>
      </c>
      <c r="F44">
        <v>3</v>
      </c>
      <c r="N44" t="s">
        <v>15678</v>
      </c>
    </row>
    <row r="45" spans="1:14">
      <c r="A45" t="s">
        <v>16596</v>
      </c>
      <c r="B45">
        <v>1</v>
      </c>
      <c r="C45" t="s">
        <v>15679</v>
      </c>
      <c r="D45" t="s">
        <v>4215</v>
      </c>
      <c r="E45" t="s">
        <v>17334</v>
      </c>
      <c r="F45">
        <v>3</v>
      </c>
      <c r="N45" t="s">
        <v>15679</v>
      </c>
    </row>
    <row r="46" spans="1:14">
      <c r="A46" t="s">
        <v>16603</v>
      </c>
      <c r="B46">
        <v>1</v>
      </c>
      <c r="C46" t="s">
        <v>15680</v>
      </c>
      <c r="D46" t="s">
        <v>4215</v>
      </c>
      <c r="E46" t="s">
        <v>17334</v>
      </c>
      <c r="F46">
        <v>3</v>
      </c>
      <c r="N46" t="s">
        <v>15680</v>
      </c>
    </row>
    <row r="47" spans="1:14">
      <c r="A47" t="s">
        <v>16610</v>
      </c>
      <c r="B47">
        <v>1</v>
      </c>
      <c r="C47" t="s">
        <v>15681</v>
      </c>
      <c r="D47" t="s">
        <v>4215</v>
      </c>
      <c r="E47" t="s">
        <v>17334</v>
      </c>
      <c r="F47">
        <v>3</v>
      </c>
      <c r="N47" t="s">
        <v>15681</v>
      </c>
    </row>
    <row r="48" spans="1:14">
      <c r="A48" t="s">
        <v>16617</v>
      </c>
      <c r="B48">
        <v>1</v>
      </c>
      <c r="C48" t="s">
        <v>15682</v>
      </c>
      <c r="D48" t="s">
        <v>4215</v>
      </c>
      <c r="E48" t="s">
        <v>17334</v>
      </c>
      <c r="F48">
        <v>3</v>
      </c>
      <c r="N48" t="s">
        <v>15682</v>
      </c>
    </row>
    <row r="49" spans="1:14">
      <c r="A49" t="s">
        <v>16624</v>
      </c>
      <c r="B49">
        <v>1</v>
      </c>
      <c r="C49" t="s">
        <v>15683</v>
      </c>
      <c r="D49" t="s">
        <v>4215</v>
      </c>
      <c r="E49" t="s">
        <v>17334</v>
      </c>
      <c r="F49">
        <v>3</v>
      </c>
      <c r="N49" t="s">
        <v>15683</v>
      </c>
    </row>
    <row r="50" spans="1:14">
      <c r="A50" t="s">
        <v>16631</v>
      </c>
      <c r="B50">
        <v>1</v>
      </c>
      <c r="C50" t="s">
        <v>15684</v>
      </c>
      <c r="D50" t="s">
        <v>4215</v>
      </c>
      <c r="E50" t="s">
        <v>17334</v>
      </c>
      <c r="F50">
        <v>3</v>
      </c>
      <c r="N50" t="s">
        <v>15684</v>
      </c>
    </row>
    <row r="51" spans="1:14">
      <c r="A51" t="s">
        <v>16638</v>
      </c>
      <c r="B51">
        <v>1</v>
      </c>
      <c r="C51" t="s">
        <v>15685</v>
      </c>
      <c r="D51" t="s">
        <v>4215</v>
      </c>
      <c r="E51" t="s">
        <v>17334</v>
      </c>
      <c r="F51">
        <v>3</v>
      </c>
      <c r="N51" t="s">
        <v>15685</v>
      </c>
    </row>
    <row r="52" spans="1:14">
      <c r="A52" t="s">
        <v>16645</v>
      </c>
      <c r="B52">
        <v>1</v>
      </c>
      <c r="C52" t="s">
        <v>15686</v>
      </c>
      <c r="D52" t="s">
        <v>4215</v>
      </c>
      <c r="E52" t="s">
        <v>17334</v>
      </c>
      <c r="F52">
        <v>3</v>
      </c>
      <c r="N52" t="s">
        <v>15686</v>
      </c>
    </row>
    <row r="53" spans="1:14">
      <c r="A53" t="s">
        <v>16652</v>
      </c>
      <c r="B53">
        <v>1</v>
      </c>
      <c r="C53" t="s">
        <v>15687</v>
      </c>
      <c r="D53" t="s">
        <v>4215</v>
      </c>
      <c r="E53" t="s">
        <v>17334</v>
      </c>
      <c r="F53">
        <v>3</v>
      </c>
      <c r="N53" t="s">
        <v>15687</v>
      </c>
    </row>
    <row r="54" spans="1:14">
      <c r="A54" t="s">
        <v>16659</v>
      </c>
      <c r="B54">
        <v>1</v>
      </c>
      <c r="C54" t="s">
        <v>15688</v>
      </c>
      <c r="D54" t="s">
        <v>4215</v>
      </c>
      <c r="E54" t="s">
        <v>17334</v>
      </c>
      <c r="F54">
        <v>3</v>
      </c>
      <c r="N54" t="s">
        <v>15688</v>
      </c>
    </row>
    <row r="55" spans="1:14">
      <c r="A55" t="s">
        <v>16666</v>
      </c>
      <c r="B55">
        <v>1</v>
      </c>
      <c r="C55" t="s">
        <v>15689</v>
      </c>
      <c r="D55" t="s">
        <v>4215</v>
      </c>
      <c r="E55" t="s">
        <v>17334</v>
      </c>
      <c r="F55">
        <v>3</v>
      </c>
      <c r="N55" t="s">
        <v>15689</v>
      </c>
    </row>
    <row r="56" spans="1:14">
      <c r="A56" t="s">
        <v>16673</v>
      </c>
      <c r="B56">
        <v>1</v>
      </c>
      <c r="C56" t="s">
        <v>15690</v>
      </c>
      <c r="D56" t="s">
        <v>4215</v>
      </c>
      <c r="E56" t="s">
        <v>17334</v>
      </c>
      <c r="F56">
        <v>3</v>
      </c>
      <c r="N56" t="s">
        <v>15690</v>
      </c>
    </row>
    <row r="57" spans="1:14">
      <c r="A57" t="s">
        <v>16680</v>
      </c>
      <c r="B57">
        <v>1</v>
      </c>
      <c r="C57" t="s">
        <v>15691</v>
      </c>
      <c r="D57" t="s">
        <v>4215</v>
      </c>
      <c r="E57" t="s">
        <v>17334</v>
      </c>
      <c r="F57">
        <v>3</v>
      </c>
      <c r="N57" t="s">
        <v>15691</v>
      </c>
    </row>
    <row r="58" spans="1:14">
      <c r="A58" t="s">
        <v>16478</v>
      </c>
      <c r="B58">
        <v>1</v>
      </c>
      <c r="C58" t="s">
        <v>15692</v>
      </c>
      <c r="D58" t="s">
        <v>4215</v>
      </c>
      <c r="E58" t="s">
        <v>17334</v>
      </c>
      <c r="F58">
        <v>3</v>
      </c>
      <c r="N58" t="s">
        <v>15692</v>
      </c>
    </row>
    <row r="59" spans="1:14">
      <c r="A59" t="s">
        <v>16487</v>
      </c>
      <c r="B59">
        <v>1</v>
      </c>
      <c r="C59" t="s">
        <v>15693</v>
      </c>
      <c r="D59" t="s">
        <v>4215</v>
      </c>
      <c r="E59" t="s">
        <v>17334</v>
      </c>
      <c r="F59">
        <v>3</v>
      </c>
      <c r="N59" t="s">
        <v>15693</v>
      </c>
    </row>
    <row r="60" spans="1:14">
      <c r="A60" t="s">
        <v>16496</v>
      </c>
      <c r="B60">
        <v>1</v>
      </c>
      <c r="C60" t="s">
        <v>15694</v>
      </c>
      <c r="D60" t="s">
        <v>4215</v>
      </c>
      <c r="E60" t="s">
        <v>17334</v>
      </c>
      <c r="F60">
        <v>3</v>
      </c>
      <c r="N60" t="s">
        <v>15694</v>
      </c>
    </row>
    <row r="61" spans="1:14">
      <c r="A61" t="s">
        <v>16505</v>
      </c>
      <c r="B61">
        <v>1</v>
      </c>
      <c r="C61" t="s">
        <v>15695</v>
      </c>
      <c r="D61" t="s">
        <v>4215</v>
      </c>
      <c r="E61" t="s">
        <v>17334</v>
      </c>
      <c r="F61">
        <v>3</v>
      </c>
      <c r="N61" t="s">
        <v>15695</v>
      </c>
    </row>
    <row r="62" spans="1:14">
      <c r="A62" t="s">
        <v>16514</v>
      </c>
      <c r="B62">
        <v>1</v>
      </c>
      <c r="C62" t="s">
        <v>15696</v>
      </c>
      <c r="D62" t="s">
        <v>4215</v>
      </c>
      <c r="E62" t="s">
        <v>17334</v>
      </c>
      <c r="F62">
        <v>3</v>
      </c>
      <c r="N62" t="s">
        <v>15696</v>
      </c>
    </row>
    <row r="63" spans="1:14">
      <c r="A63" t="s">
        <v>16523</v>
      </c>
      <c r="B63">
        <v>1</v>
      </c>
      <c r="C63" t="s">
        <v>15697</v>
      </c>
      <c r="D63" t="s">
        <v>4215</v>
      </c>
      <c r="E63" t="s">
        <v>17334</v>
      </c>
      <c r="F63">
        <v>3</v>
      </c>
      <c r="N63" t="s">
        <v>15697</v>
      </c>
    </row>
    <row r="64" spans="1:14">
      <c r="A64" t="s">
        <v>16532</v>
      </c>
      <c r="B64">
        <v>1</v>
      </c>
      <c r="C64" t="s">
        <v>15698</v>
      </c>
      <c r="D64" t="s">
        <v>4215</v>
      </c>
      <c r="E64" t="s">
        <v>17334</v>
      </c>
      <c r="F64">
        <v>3</v>
      </c>
      <c r="N64" t="s">
        <v>15698</v>
      </c>
    </row>
    <row r="65" spans="1:14">
      <c r="A65" t="s">
        <v>16541</v>
      </c>
      <c r="B65">
        <v>1</v>
      </c>
      <c r="C65" t="s">
        <v>15699</v>
      </c>
      <c r="D65" t="s">
        <v>4215</v>
      </c>
      <c r="E65" t="s">
        <v>17334</v>
      </c>
      <c r="F65">
        <v>3</v>
      </c>
      <c r="N65" t="s">
        <v>15699</v>
      </c>
    </row>
    <row r="66" spans="1:14">
      <c r="A66" t="s">
        <v>16548</v>
      </c>
      <c r="B66">
        <v>1</v>
      </c>
      <c r="C66" t="s">
        <v>15700</v>
      </c>
      <c r="D66" t="s">
        <v>4215</v>
      </c>
      <c r="E66" t="s">
        <v>17334</v>
      </c>
      <c r="F66">
        <v>3</v>
      </c>
      <c r="N66" t="s">
        <v>15700</v>
      </c>
    </row>
    <row r="67" spans="1:14">
      <c r="A67" t="s">
        <v>16555</v>
      </c>
      <c r="B67">
        <v>1</v>
      </c>
      <c r="C67" t="s">
        <v>15701</v>
      </c>
      <c r="D67" t="s">
        <v>4215</v>
      </c>
      <c r="E67" t="s">
        <v>17334</v>
      </c>
      <c r="F67">
        <v>3</v>
      </c>
      <c r="N67" t="s">
        <v>15701</v>
      </c>
    </row>
    <row r="68" spans="1:14">
      <c r="A68" t="s">
        <v>16562</v>
      </c>
      <c r="B68">
        <v>1</v>
      </c>
      <c r="C68" t="s">
        <v>15702</v>
      </c>
      <c r="D68" t="s">
        <v>4215</v>
      </c>
      <c r="E68" t="s">
        <v>17334</v>
      </c>
      <c r="F68">
        <v>3</v>
      </c>
      <c r="N68" t="s">
        <v>15702</v>
      </c>
    </row>
    <row r="69" spans="1:14">
      <c r="A69" t="s">
        <v>16569</v>
      </c>
      <c r="B69">
        <v>1</v>
      </c>
      <c r="C69" t="s">
        <v>15703</v>
      </c>
      <c r="D69" t="s">
        <v>4215</v>
      </c>
      <c r="E69" t="s">
        <v>17334</v>
      </c>
      <c r="F69">
        <v>3</v>
      </c>
      <c r="N69" t="s">
        <v>15703</v>
      </c>
    </row>
    <row r="70" spans="1:14">
      <c r="A70" t="s">
        <v>16576</v>
      </c>
      <c r="B70">
        <v>1</v>
      </c>
      <c r="C70" t="s">
        <v>15704</v>
      </c>
      <c r="D70" t="s">
        <v>4215</v>
      </c>
      <c r="E70" t="s">
        <v>17334</v>
      </c>
      <c r="F70">
        <v>3</v>
      </c>
      <c r="N70" t="s">
        <v>15704</v>
      </c>
    </row>
    <row r="71" spans="1:14">
      <c r="A71" t="s">
        <v>16583</v>
      </c>
      <c r="B71">
        <v>1</v>
      </c>
      <c r="C71" t="s">
        <v>15705</v>
      </c>
      <c r="D71" t="s">
        <v>4215</v>
      </c>
      <c r="E71" t="s">
        <v>17334</v>
      </c>
      <c r="F71">
        <v>3</v>
      </c>
      <c r="N71" t="s">
        <v>15705</v>
      </c>
    </row>
    <row r="72" spans="1:14">
      <c r="A72" t="s">
        <v>16590</v>
      </c>
      <c r="B72">
        <v>1</v>
      </c>
      <c r="C72" t="s">
        <v>15706</v>
      </c>
      <c r="D72" t="s">
        <v>4215</v>
      </c>
      <c r="E72" t="s">
        <v>17334</v>
      </c>
      <c r="F72">
        <v>3</v>
      </c>
      <c r="N72" t="s">
        <v>15706</v>
      </c>
    </row>
    <row r="73" spans="1:14">
      <c r="A73" t="s">
        <v>16597</v>
      </c>
      <c r="B73">
        <v>1</v>
      </c>
      <c r="C73" t="s">
        <v>15707</v>
      </c>
      <c r="D73" t="s">
        <v>4215</v>
      </c>
      <c r="E73" t="s">
        <v>17334</v>
      </c>
      <c r="F73">
        <v>3</v>
      </c>
      <c r="N73" t="s">
        <v>15707</v>
      </c>
    </row>
    <row r="74" spans="1:14">
      <c r="A74" t="s">
        <v>16604</v>
      </c>
      <c r="B74">
        <v>1</v>
      </c>
      <c r="C74" t="s">
        <v>15708</v>
      </c>
      <c r="D74" t="s">
        <v>4215</v>
      </c>
      <c r="E74" t="s">
        <v>17334</v>
      </c>
      <c r="F74">
        <v>3</v>
      </c>
      <c r="N74" t="s">
        <v>15708</v>
      </c>
    </row>
    <row r="75" spans="1:14">
      <c r="A75" t="s">
        <v>16611</v>
      </c>
      <c r="B75">
        <v>1</v>
      </c>
      <c r="C75" t="s">
        <v>15709</v>
      </c>
      <c r="D75" t="s">
        <v>4215</v>
      </c>
      <c r="E75" t="s">
        <v>17334</v>
      </c>
      <c r="F75">
        <v>3</v>
      </c>
      <c r="N75" t="s">
        <v>15709</v>
      </c>
    </row>
    <row r="76" spans="1:14">
      <c r="A76" t="s">
        <v>16618</v>
      </c>
      <c r="B76">
        <v>1</v>
      </c>
      <c r="C76" t="s">
        <v>15710</v>
      </c>
      <c r="D76" t="s">
        <v>4215</v>
      </c>
      <c r="E76" t="s">
        <v>17334</v>
      </c>
      <c r="F76">
        <v>3</v>
      </c>
      <c r="N76" t="s">
        <v>15710</v>
      </c>
    </row>
    <row r="77" spans="1:14">
      <c r="A77" t="s">
        <v>16625</v>
      </c>
      <c r="B77">
        <v>1</v>
      </c>
      <c r="C77" t="s">
        <v>15711</v>
      </c>
      <c r="D77" t="s">
        <v>4215</v>
      </c>
      <c r="E77" t="s">
        <v>17334</v>
      </c>
      <c r="F77">
        <v>3</v>
      </c>
      <c r="N77" t="s">
        <v>15711</v>
      </c>
    </row>
    <row r="78" spans="1:14">
      <c r="A78" t="s">
        <v>16632</v>
      </c>
      <c r="B78">
        <v>1</v>
      </c>
      <c r="C78" t="s">
        <v>15712</v>
      </c>
      <c r="D78" t="s">
        <v>4215</v>
      </c>
      <c r="E78" t="s">
        <v>17334</v>
      </c>
      <c r="F78">
        <v>3</v>
      </c>
      <c r="N78" t="s">
        <v>15712</v>
      </c>
    </row>
    <row r="79" spans="1:14">
      <c r="A79" t="s">
        <v>16639</v>
      </c>
      <c r="B79">
        <v>1</v>
      </c>
      <c r="C79" t="s">
        <v>15713</v>
      </c>
      <c r="D79" t="s">
        <v>4215</v>
      </c>
      <c r="E79" t="s">
        <v>17334</v>
      </c>
      <c r="F79">
        <v>3</v>
      </c>
      <c r="N79" t="s">
        <v>15713</v>
      </c>
    </row>
    <row r="80" spans="1:14">
      <c r="A80" t="s">
        <v>16646</v>
      </c>
      <c r="B80">
        <v>1</v>
      </c>
      <c r="C80" t="s">
        <v>15714</v>
      </c>
      <c r="D80" t="s">
        <v>4215</v>
      </c>
      <c r="E80" t="s">
        <v>17334</v>
      </c>
      <c r="F80">
        <v>3</v>
      </c>
      <c r="N80" t="s">
        <v>15714</v>
      </c>
    </row>
    <row r="81" spans="1:14">
      <c r="A81" t="s">
        <v>16653</v>
      </c>
      <c r="B81">
        <v>1</v>
      </c>
      <c r="C81" t="s">
        <v>15715</v>
      </c>
      <c r="D81" t="s">
        <v>4215</v>
      </c>
      <c r="E81" t="s">
        <v>17334</v>
      </c>
      <c r="F81">
        <v>3</v>
      </c>
      <c r="N81" t="s">
        <v>15715</v>
      </c>
    </row>
    <row r="82" spans="1:14">
      <c r="A82" t="s">
        <v>16660</v>
      </c>
      <c r="B82">
        <v>1</v>
      </c>
      <c r="C82" t="s">
        <v>15716</v>
      </c>
      <c r="D82" t="s">
        <v>4215</v>
      </c>
      <c r="E82" t="s">
        <v>17334</v>
      </c>
      <c r="F82">
        <v>3</v>
      </c>
      <c r="N82" t="s">
        <v>15716</v>
      </c>
    </row>
    <row r="83" spans="1:14">
      <c r="A83" t="s">
        <v>16667</v>
      </c>
      <c r="B83">
        <v>1</v>
      </c>
      <c r="C83" t="s">
        <v>15717</v>
      </c>
      <c r="D83" t="s">
        <v>4215</v>
      </c>
      <c r="E83" t="s">
        <v>17334</v>
      </c>
      <c r="F83">
        <v>3</v>
      </c>
      <c r="N83" t="s">
        <v>15717</v>
      </c>
    </row>
    <row r="84" spans="1:14">
      <c r="A84" t="s">
        <v>16674</v>
      </c>
      <c r="B84">
        <v>1</v>
      </c>
      <c r="C84" t="s">
        <v>15718</v>
      </c>
      <c r="D84" t="s">
        <v>4215</v>
      </c>
      <c r="E84" t="s">
        <v>17334</v>
      </c>
      <c r="F84">
        <v>3</v>
      </c>
      <c r="N84" t="s">
        <v>15718</v>
      </c>
    </row>
    <row r="85" spans="1:14">
      <c r="A85" t="s">
        <v>16681</v>
      </c>
      <c r="B85">
        <v>1</v>
      </c>
      <c r="C85" t="s">
        <v>15719</v>
      </c>
      <c r="D85" t="s">
        <v>4215</v>
      </c>
      <c r="E85" t="s">
        <v>17334</v>
      </c>
      <c r="F85">
        <v>3</v>
      </c>
      <c r="N85" t="s">
        <v>15719</v>
      </c>
    </row>
    <row r="86" spans="1:14">
      <c r="A86" t="s">
        <v>16479</v>
      </c>
      <c r="B86">
        <v>1</v>
      </c>
      <c r="C86" t="s">
        <v>15720</v>
      </c>
      <c r="D86" t="s">
        <v>4215</v>
      </c>
      <c r="E86" t="s">
        <v>17334</v>
      </c>
      <c r="F86">
        <v>3</v>
      </c>
      <c r="N86" t="s">
        <v>15720</v>
      </c>
    </row>
    <row r="87" spans="1:14">
      <c r="A87" t="s">
        <v>16488</v>
      </c>
      <c r="B87">
        <v>1</v>
      </c>
      <c r="C87" t="s">
        <v>15721</v>
      </c>
      <c r="D87" t="s">
        <v>4215</v>
      </c>
      <c r="E87" t="s">
        <v>17334</v>
      </c>
      <c r="F87">
        <v>3</v>
      </c>
      <c r="N87" t="s">
        <v>15721</v>
      </c>
    </row>
    <row r="88" spans="1:14">
      <c r="A88" t="s">
        <v>16497</v>
      </c>
      <c r="B88">
        <v>1</v>
      </c>
      <c r="C88" t="s">
        <v>15722</v>
      </c>
      <c r="D88" t="s">
        <v>4215</v>
      </c>
      <c r="E88" t="s">
        <v>17334</v>
      </c>
      <c r="F88">
        <v>3</v>
      </c>
      <c r="N88" t="s">
        <v>15722</v>
      </c>
    </row>
    <row r="89" spans="1:14">
      <c r="A89" t="s">
        <v>16506</v>
      </c>
      <c r="B89">
        <v>1</v>
      </c>
      <c r="C89" t="s">
        <v>15723</v>
      </c>
      <c r="D89" t="s">
        <v>4215</v>
      </c>
      <c r="E89" t="s">
        <v>17334</v>
      </c>
      <c r="F89">
        <v>3</v>
      </c>
      <c r="N89" t="s">
        <v>15723</v>
      </c>
    </row>
    <row r="90" spans="1:14">
      <c r="A90" t="s">
        <v>16515</v>
      </c>
      <c r="B90">
        <v>1</v>
      </c>
      <c r="C90" t="s">
        <v>15724</v>
      </c>
      <c r="D90" t="s">
        <v>4215</v>
      </c>
      <c r="E90" t="s">
        <v>17334</v>
      </c>
      <c r="F90">
        <v>3</v>
      </c>
      <c r="N90" t="s">
        <v>15724</v>
      </c>
    </row>
    <row r="91" spans="1:14">
      <c r="A91" t="s">
        <v>16524</v>
      </c>
      <c r="B91">
        <v>1</v>
      </c>
      <c r="C91" t="s">
        <v>15725</v>
      </c>
      <c r="D91" t="s">
        <v>4215</v>
      </c>
      <c r="E91" t="s">
        <v>17334</v>
      </c>
      <c r="F91">
        <v>3</v>
      </c>
      <c r="N91" t="s">
        <v>15725</v>
      </c>
    </row>
    <row r="92" spans="1:14">
      <c r="A92" t="s">
        <v>16533</v>
      </c>
      <c r="B92">
        <v>1</v>
      </c>
      <c r="C92" t="s">
        <v>15726</v>
      </c>
      <c r="D92" t="s">
        <v>4215</v>
      </c>
      <c r="E92" t="s">
        <v>17334</v>
      </c>
      <c r="F92">
        <v>3</v>
      </c>
      <c r="N92" t="s">
        <v>15726</v>
      </c>
    </row>
    <row r="93" spans="1:14">
      <c r="A93" t="s">
        <v>16542</v>
      </c>
      <c r="B93">
        <v>1</v>
      </c>
      <c r="C93" t="s">
        <v>15727</v>
      </c>
      <c r="D93" t="s">
        <v>4215</v>
      </c>
      <c r="E93" t="s">
        <v>17334</v>
      </c>
      <c r="F93">
        <v>3</v>
      </c>
      <c r="N93" t="s">
        <v>15727</v>
      </c>
    </row>
    <row r="94" spans="1:14">
      <c r="A94" t="s">
        <v>16549</v>
      </c>
      <c r="B94">
        <v>1</v>
      </c>
      <c r="C94" t="s">
        <v>15728</v>
      </c>
      <c r="D94" t="s">
        <v>4215</v>
      </c>
      <c r="E94" t="s">
        <v>17334</v>
      </c>
      <c r="F94">
        <v>3</v>
      </c>
      <c r="N94" t="s">
        <v>15728</v>
      </c>
    </row>
    <row r="95" spans="1:14">
      <c r="A95" t="s">
        <v>16556</v>
      </c>
      <c r="B95">
        <v>1</v>
      </c>
      <c r="C95" t="s">
        <v>15729</v>
      </c>
      <c r="D95" t="s">
        <v>4215</v>
      </c>
      <c r="E95" t="s">
        <v>17334</v>
      </c>
      <c r="F95">
        <v>3</v>
      </c>
      <c r="N95" t="s">
        <v>15729</v>
      </c>
    </row>
    <row r="96" spans="1:14">
      <c r="A96" t="s">
        <v>16563</v>
      </c>
      <c r="B96">
        <v>1</v>
      </c>
      <c r="C96" t="s">
        <v>15730</v>
      </c>
      <c r="D96" t="s">
        <v>4215</v>
      </c>
      <c r="E96" t="s">
        <v>17334</v>
      </c>
      <c r="F96">
        <v>3</v>
      </c>
      <c r="N96" t="s">
        <v>15730</v>
      </c>
    </row>
    <row r="97" spans="1:14">
      <c r="A97" t="s">
        <v>16570</v>
      </c>
      <c r="B97">
        <v>1</v>
      </c>
      <c r="C97" t="s">
        <v>15731</v>
      </c>
      <c r="D97" t="s">
        <v>4215</v>
      </c>
      <c r="E97" t="s">
        <v>17334</v>
      </c>
      <c r="F97">
        <v>3</v>
      </c>
      <c r="N97" t="s">
        <v>15731</v>
      </c>
    </row>
    <row r="98" spans="1:14">
      <c r="A98" t="s">
        <v>16577</v>
      </c>
      <c r="B98">
        <v>1</v>
      </c>
      <c r="C98" t="s">
        <v>15732</v>
      </c>
      <c r="D98" t="s">
        <v>4215</v>
      </c>
      <c r="E98" t="s">
        <v>17334</v>
      </c>
      <c r="F98">
        <v>3</v>
      </c>
      <c r="N98" t="s">
        <v>15732</v>
      </c>
    </row>
    <row r="99" spans="1:14">
      <c r="A99" t="s">
        <v>16584</v>
      </c>
      <c r="B99">
        <v>1</v>
      </c>
      <c r="C99" t="s">
        <v>15733</v>
      </c>
      <c r="D99" t="s">
        <v>4215</v>
      </c>
      <c r="E99" t="s">
        <v>17334</v>
      </c>
      <c r="F99">
        <v>3</v>
      </c>
      <c r="N99" t="s">
        <v>15733</v>
      </c>
    </row>
    <row r="100" spans="1:14">
      <c r="A100" t="s">
        <v>16591</v>
      </c>
      <c r="B100">
        <v>1</v>
      </c>
      <c r="C100" t="s">
        <v>15734</v>
      </c>
      <c r="D100" t="s">
        <v>4215</v>
      </c>
      <c r="E100" t="s">
        <v>17334</v>
      </c>
      <c r="F100">
        <v>3</v>
      </c>
      <c r="N100" t="s">
        <v>15734</v>
      </c>
    </row>
    <row r="101" spans="1:14">
      <c r="A101" t="s">
        <v>16598</v>
      </c>
      <c r="B101">
        <v>1</v>
      </c>
      <c r="C101" t="s">
        <v>15735</v>
      </c>
      <c r="D101" t="s">
        <v>4215</v>
      </c>
      <c r="E101" t="s">
        <v>17334</v>
      </c>
      <c r="F101">
        <v>3</v>
      </c>
      <c r="N101" t="s">
        <v>15735</v>
      </c>
    </row>
    <row r="102" spans="1:14">
      <c r="A102" t="s">
        <v>16605</v>
      </c>
      <c r="B102">
        <v>1</v>
      </c>
      <c r="C102" t="s">
        <v>15736</v>
      </c>
      <c r="D102" t="s">
        <v>4215</v>
      </c>
      <c r="E102" t="s">
        <v>17334</v>
      </c>
      <c r="F102">
        <v>3</v>
      </c>
      <c r="N102" t="s">
        <v>15736</v>
      </c>
    </row>
    <row r="103" spans="1:14">
      <c r="A103" t="s">
        <v>16612</v>
      </c>
      <c r="B103">
        <v>1</v>
      </c>
      <c r="C103" t="s">
        <v>15737</v>
      </c>
      <c r="D103" t="s">
        <v>4215</v>
      </c>
      <c r="E103" t="s">
        <v>17334</v>
      </c>
      <c r="F103">
        <v>3</v>
      </c>
      <c r="N103" t="s">
        <v>15737</v>
      </c>
    </row>
    <row r="104" spans="1:14">
      <c r="A104" t="s">
        <v>16619</v>
      </c>
      <c r="B104">
        <v>1</v>
      </c>
      <c r="C104" t="s">
        <v>15738</v>
      </c>
      <c r="D104" t="s">
        <v>4215</v>
      </c>
      <c r="E104" t="s">
        <v>17334</v>
      </c>
      <c r="F104">
        <v>3</v>
      </c>
      <c r="N104" t="s">
        <v>15738</v>
      </c>
    </row>
    <row r="105" spans="1:14">
      <c r="A105" t="s">
        <v>16626</v>
      </c>
      <c r="B105">
        <v>1</v>
      </c>
      <c r="C105" t="s">
        <v>15739</v>
      </c>
      <c r="D105" t="s">
        <v>4215</v>
      </c>
      <c r="E105" t="s">
        <v>17334</v>
      </c>
      <c r="F105">
        <v>3</v>
      </c>
      <c r="N105" t="s">
        <v>15739</v>
      </c>
    </row>
    <row r="106" spans="1:14">
      <c r="A106" t="s">
        <v>16633</v>
      </c>
      <c r="B106">
        <v>1</v>
      </c>
      <c r="C106" t="s">
        <v>15740</v>
      </c>
      <c r="D106" t="s">
        <v>4215</v>
      </c>
      <c r="E106" t="s">
        <v>17334</v>
      </c>
      <c r="F106">
        <v>3</v>
      </c>
      <c r="N106" t="s">
        <v>15740</v>
      </c>
    </row>
    <row r="107" spans="1:14">
      <c r="A107" t="s">
        <v>16640</v>
      </c>
      <c r="B107">
        <v>1</v>
      </c>
      <c r="C107" t="s">
        <v>15741</v>
      </c>
      <c r="D107" t="s">
        <v>4215</v>
      </c>
      <c r="E107" t="s">
        <v>17334</v>
      </c>
      <c r="F107">
        <v>3</v>
      </c>
      <c r="N107" t="s">
        <v>15741</v>
      </c>
    </row>
    <row r="108" spans="1:14">
      <c r="A108" t="s">
        <v>16647</v>
      </c>
      <c r="B108">
        <v>1</v>
      </c>
      <c r="C108" t="s">
        <v>15742</v>
      </c>
      <c r="D108" t="s">
        <v>4215</v>
      </c>
      <c r="E108" t="s">
        <v>17334</v>
      </c>
      <c r="F108">
        <v>3</v>
      </c>
      <c r="N108" t="s">
        <v>15742</v>
      </c>
    </row>
    <row r="109" spans="1:14">
      <c r="A109" t="s">
        <v>16654</v>
      </c>
      <c r="B109">
        <v>1</v>
      </c>
      <c r="C109" t="s">
        <v>15743</v>
      </c>
      <c r="D109" t="s">
        <v>4215</v>
      </c>
      <c r="E109" t="s">
        <v>17334</v>
      </c>
      <c r="F109">
        <v>3</v>
      </c>
      <c r="N109" t="s">
        <v>15743</v>
      </c>
    </row>
    <row r="110" spans="1:14">
      <c r="A110" t="s">
        <v>16661</v>
      </c>
      <c r="B110">
        <v>1</v>
      </c>
      <c r="C110" t="s">
        <v>15744</v>
      </c>
      <c r="D110" t="s">
        <v>4215</v>
      </c>
      <c r="E110" t="s">
        <v>17334</v>
      </c>
      <c r="F110">
        <v>3</v>
      </c>
      <c r="N110" t="s">
        <v>15744</v>
      </c>
    </row>
    <row r="111" spans="1:14">
      <c r="A111" t="s">
        <v>16668</v>
      </c>
      <c r="B111">
        <v>1</v>
      </c>
      <c r="C111" t="s">
        <v>15745</v>
      </c>
      <c r="D111" t="s">
        <v>4215</v>
      </c>
      <c r="E111" t="s">
        <v>17334</v>
      </c>
      <c r="F111">
        <v>3</v>
      </c>
      <c r="N111" t="s">
        <v>15745</v>
      </c>
    </row>
    <row r="112" spans="1:14">
      <c r="A112" t="s">
        <v>16675</v>
      </c>
      <c r="B112">
        <v>1</v>
      </c>
      <c r="C112" t="s">
        <v>15746</v>
      </c>
      <c r="D112" t="s">
        <v>4215</v>
      </c>
      <c r="E112" t="s">
        <v>17334</v>
      </c>
      <c r="F112">
        <v>3</v>
      </c>
      <c r="N112" t="s">
        <v>15746</v>
      </c>
    </row>
    <row r="113" spans="1:14">
      <c r="A113" t="s">
        <v>16682</v>
      </c>
      <c r="B113">
        <v>1</v>
      </c>
      <c r="C113" t="s">
        <v>15747</v>
      </c>
      <c r="D113" t="s">
        <v>4215</v>
      </c>
      <c r="E113" t="s">
        <v>17334</v>
      </c>
      <c r="F113">
        <v>3</v>
      </c>
      <c r="N113" t="s">
        <v>15747</v>
      </c>
    </row>
    <row r="114" spans="1:14">
      <c r="A114" t="s">
        <v>16480</v>
      </c>
      <c r="B114">
        <v>1</v>
      </c>
      <c r="C114" t="s">
        <v>15748</v>
      </c>
      <c r="D114" t="s">
        <v>4215</v>
      </c>
      <c r="E114" t="s">
        <v>17334</v>
      </c>
      <c r="F114">
        <v>3</v>
      </c>
      <c r="N114" t="s">
        <v>15748</v>
      </c>
    </row>
    <row r="115" spans="1:14">
      <c r="A115" t="s">
        <v>16489</v>
      </c>
      <c r="B115">
        <v>1</v>
      </c>
      <c r="C115" t="s">
        <v>15749</v>
      </c>
      <c r="D115" t="s">
        <v>4215</v>
      </c>
      <c r="E115" t="s">
        <v>17334</v>
      </c>
      <c r="F115">
        <v>3</v>
      </c>
      <c r="N115" t="s">
        <v>15749</v>
      </c>
    </row>
    <row r="116" spans="1:14">
      <c r="A116" t="s">
        <v>16498</v>
      </c>
      <c r="B116">
        <v>1</v>
      </c>
      <c r="C116" t="s">
        <v>15750</v>
      </c>
      <c r="D116" t="s">
        <v>4215</v>
      </c>
      <c r="E116" t="s">
        <v>17334</v>
      </c>
      <c r="F116">
        <v>3</v>
      </c>
      <c r="N116" t="s">
        <v>15750</v>
      </c>
    </row>
    <row r="117" spans="1:14">
      <c r="A117" t="s">
        <v>16507</v>
      </c>
      <c r="B117">
        <v>1</v>
      </c>
      <c r="C117" t="s">
        <v>15751</v>
      </c>
      <c r="D117" t="s">
        <v>4215</v>
      </c>
      <c r="E117" t="s">
        <v>17334</v>
      </c>
      <c r="F117">
        <v>3</v>
      </c>
      <c r="N117" t="s">
        <v>15751</v>
      </c>
    </row>
    <row r="118" spans="1:14">
      <c r="A118" t="s">
        <v>16516</v>
      </c>
      <c r="B118">
        <v>1</v>
      </c>
      <c r="C118" t="s">
        <v>15752</v>
      </c>
      <c r="D118" t="s">
        <v>4215</v>
      </c>
      <c r="E118" t="s">
        <v>17334</v>
      </c>
      <c r="F118">
        <v>3</v>
      </c>
      <c r="N118" t="s">
        <v>15752</v>
      </c>
    </row>
    <row r="119" spans="1:14">
      <c r="A119" t="s">
        <v>16525</v>
      </c>
      <c r="B119">
        <v>1</v>
      </c>
      <c r="C119" t="s">
        <v>15753</v>
      </c>
      <c r="D119" t="s">
        <v>4215</v>
      </c>
      <c r="E119" t="s">
        <v>17334</v>
      </c>
      <c r="F119">
        <v>3</v>
      </c>
      <c r="N119" t="s">
        <v>15753</v>
      </c>
    </row>
    <row r="120" spans="1:14">
      <c r="A120" t="s">
        <v>16534</v>
      </c>
      <c r="B120">
        <v>1</v>
      </c>
      <c r="C120" t="s">
        <v>15754</v>
      </c>
      <c r="D120" t="s">
        <v>4215</v>
      </c>
      <c r="E120" t="s">
        <v>17334</v>
      </c>
      <c r="F120">
        <v>3</v>
      </c>
      <c r="N120" t="s">
        <v>15754</v>
      </c>
    </row>
    <row r="121" spans="1:14">
      <c r="A121" t="s">
        <v>16543</v>
      </c>
      <c r="B121">
        <v>1</v>
      </c>
      <c r="C121" t="s">
        <v>15755</v>
      </c>
      <c r="D121" t="s">
        <v>4215</v>
      </c>
      <c r="E121" t="s">
        <v>17334</v>
      </c>
      <c r="F121">
        <v>3</v>
      </c>
      <c r="N121" t="s">
        <v>15755</v>
      </c>
    </row>
    <row r="122" spans="1:14">
      <c r="A122" t="s">
        <v>16550</v>
      </c>
      <c r="B122">
        <v>1</v>
      </c>
      <c r="C122" t="s">
        <v>15756</v>
      </c>
      <c r="D122" t="s">
        <v>4215</v>
      </c>
      <c r="E122" t="s">
        <v>17334</v>
      </c>
      <c r="F122">
        <v>3</v>
      </c>
      <c r="N122" t="s">
        <v>15756</v>
      </c>
    </row>
    <row r="123" spans="1:14">
      <c r="A123" t="s">
        <v>16557</v>
      </c>
      <c r="B123">
        <v>1</v>
      </c>
      <c r="C123" t="s">
        <v>15757</v>
      </c>
      <c r="D123" t="s">
        <v>4215</v>
      </c>
      <c r="E123" t="s">
        <v>17334</v>
      </c>
      <c r="F123">
        <v>3</v>
      </c>
      <c r="N123" t="s">
        <v>15757</v>
      </c>
    </row>
    <row r="124" spans="1:14">
      <c r="A124" t="s">
        <v>16564</v>
      </c>
      <c r="B124">
        <v>1</v>
      </c>
      <c r="C124" t="s">
        <v>15758</v>
      </c>
      <c r="D124" t="s">
        <v>4215</v>
      </c>
      <c r="E124" t="s">
        <v>17334</v>
      </c>
      <c r="F124">
        <v>3</v>
      </c>
      <c r="N124" t="s">
        <v>15758</v>
      </c>
    </row>
    <row r="125" spans="1:14">
      <c r="A125" t="s">
        <v>16571</v>
      </c>
      <c r="B125">
        <v>1</v>
      </c>
      <c r="C125" t="s">
        <v>15759</v>
      </c>
      <c r="D125" t="s">
        <v>4215</v>
      </c>
      <c r="E125" t="s">
        <v>17334</v>
      </c>
      <c r="F125">
        <v>3</v>
      </c>
      <c r="N125" t="s">
        <v>15759</v>
      </c>
    </row>
    <row r="126" spans="1:14">
      <c r="A126" t="s">
        <v>16578</v>
      </c>
      <c r="B126">
        <v>1</v>
      </c>
      <c r="C126" t="s">
        <v>15760</v>
      </c>
      <c r="D126" t="s">
        <v>4215</v>
      </c>
      <c r="E126" t="s">
        <v>17334</v>
      </c>
      <c r="F126">
        <v>3</v>
      </c>
      <c r="N126" t="s">
        <v>15760</v>
      </c>
    </row>
    <row r="127" spans="1:14">
      <c r="A127" t="s">
        <v>16585</v>
      </c>
      <c r="B127">
        <v>1</v>
      </c>
      <c r="C127" t="s">
        <v>15761</v>
      </c>
      <c r="D127" t="s">
        <v>4215</v>
      </c>
      <c r="E127" t="s">
        <v>17334</v>
      </c>
      <c r="F127">
        <v>3</v>
      </c>
      <c r="N127" t="s">
        <v>15761</v>
      </c>
    </row>
    <row r="128" spans="1:14">
      <c r="A128" t="s">
        <v>16592</v>
      </c>
      <c r="B128">
        <v>1</v>
      </c>
      <c r="C128" t="s">
        <v>15762</v>
      </c>
      <c r="D128" t="s">
        <v>4215</v>
      </c>
      <c r="E128" t="s">
        <v>17334</v>
      </c>
      <c r="F128">
        <v>3</v>
      </c>
      <c r="N128" t="s">
        <v>15762</v>
      </c>
    </row>
    <row r="129" spans="1:14">
      <c r="A129" t="s">
        <v>16599</v>
      </c>
      <c r="B129">
        <v>1</v>
      </c>
      <c r="C129" t="s">
        <v>15763</v>
      </c>
      <c r="D129" t="s">
        <v>4215</v>
      </c>
      <c r="E129" t="s">
        <v>17334</v>
      </c>
      <c r="F129">
        <v>3</v>
      </c>
      <c r="N129" t="s">
        <v>15763</v>
      </c>
    </row>
    <row r="130" spans="1:14">
      <c r="A130" t="s">
        <v>16606</v>
      </c>
      <c r="B130">
        <v>1</v>
      </c>
      <c r="C130" t="s">
        <v>15764</v>
      </c>
      <c r="D130" t="s">
        <v>4215</v>
      </c>
      <c r="E130" t="s">
        <v>17334</v>
      </c>
      <c r="F130">
        <v>3</v>
      </c>
      <c r="N130" t="s">
        <v>15764</v>
      </c>
    </row>
    <row r="131" spans="1:14">
      <c r="A131" t="s">
        <v>16613</v>
      </c>
      <c r="B131">
        <v>1</v>
      </c>
      <c r="C131" t="s">
        <v>15765</v>
      </c>
      <c r="D131" t="s">
        <v>4215</v>
      </c>
      <c r="E131" t="s">
        <v>17334</v>
      </c>
      <c r="F131">
        <v>3</v>
      </c>
      <c r="N131" t="s">
        <v>15765</v>
      </c>
    </row>
    <row r="132" spans="1:14">
      <c r="A132" t="s">
        <v>16620</v>
      </c>
      <c r="B132">
        <v>1</v>
      </c>
      <c r="C132" t="s">
        <v>15766</v>
      </c>
      <c r="D132" t="s">
        <v>4215</v>
      </c>
      <c r="E132" t="s">
        <v>17334</v>
      </c>
      <c r="F132">
        <v>3</v>
      </c>
      <c r="N132" t="s">
        <v>15766</v>
      </c>
    </row>
    <row r="133" spans="1:14">
      <c r="A133" t="s">
        <v>16627</v>
      </c>
      <c r="B133">
        <v>1</v>
      </c>
      <c r="C133" t="s">
        <v>15767</v>
      </c>
      <c r="D133" t="s">
        <v>4215</v>
      </c>
      <c r="E133" t="s">
        <v>17334</v>
      </c>
      <c r="F133">
        <v>3</v>
      </c>
      <c r="N133" t="s">
        <v>15767</v>
      </c>
    </row>
    <row r="134" spans="1:14">
      <c r="A134" t="s">
        <v>16634</v>
      </c>
      <c r="B134">
        <v>1</v>
      </c>
      <c r="C134" t="s">
        <v>15768</v>
      </c>
      <c r="D134" t="s">
        <v>4215</v>
      </c>
      <c r="E134" t="s">
        <v>17334</v>
      </c>
      <c r="F134">
        <v>3</v>
      </c>
      <c r="N134" t="s">
        <v>15768</v>
      </c>
    </row>
    <row r="135" spans="1:14">
      <c r="A135" t="s">
        <v>16641</v>
      </c>
      <c r="B135">
        <v>1</v>
      </c>
      <c r="C135" t="s">
        <v>15769</v>
      </c>
      <c r="D135" t="s">
        <v>4215</v>
      </c>
      <c r="E135" t="s">
        <v>17334</v>
      </c>
      <c r="F135">
        <v>3</v>
      </c>
      <c r="N135" t="s">
        <v>15769</v>
      </c>
    </row>
    <row r="136" spans="1:14">
      <c r="A136" t="s">
        <v>16648</v>
      </c>
      <c r="B136">
        <v>1</v>
      </c>
      <c r="C136" t="s">
        <v>15770</v>
      </c>
      <c r="D136" t="s">
        <v>4215</v>
      </c>
      <c r="E136" t="s">
        <v>17334</v>
      </c>
      <c r="F136">
        <v>3</v>
      </c>
      <c r="N136" t="s">
        <v>15770</v>
      </c>
    </row>
    <row r="137" spans="1:14">
      <c r="A137" t="s">
        <v>16655</v>
      </c>
      <c r="B137">
        <v>1</v>
      </c>
      <c r="C137" t="s">
        <v>15771</v>
      </c>
      <c r="D137" t="s">
        <v>4215</v>
      </c>
      <c r="E137" t="s">
        <v>17334</v>
      </c>
      <c r="F137">
        <v>3</v>
      </c>
      <c r="N137" t="s">
        <v>15771</v>
      </c>
    </row>
    <row r="138" spans="1:14">
      <c r="A138" t="s">
        <v>16662</v>
      </c>
      <c r="B138">
        <v>1</v>
      </c>
      <c r="C138" t="s">
        <v>15772</v>
      </c>
      <c r="D138" t="s">
        <v>4215</v>
      </c>
      <c r="E138" t="s">
        <v>17334</v>
      </c>
      <c r="F138">
        <v>3</v>
      </c>
      <c r="N138" t="s">
        <v>15772</v>
      </c>
    </row>
    <row r="139" spans="1:14">
      <c r="A139" t="s">
        <v>16669</v>
      </c>
      <c r="B139">
        <v>1</v>
      </c>
      <c r="C139" t="s">
        <v>15773</v>
      </c>
      <c r="D139" t="s">
        <v>4215</v>
      </c>
      <c r="E139" t="s">
        <v>17334</v>
      </c>
      <c r="F139">
        <v>3</v>
      </c>
      <c r="N139" t="s">
        <v>15773</v>
      </c>
    </row>
    <row r="140" spans="1:14">
      <c r="A140" t="s">
        <v>16676</v>
      </c>
      <c r="B140">
        <v>1</v>
      </c>
      <c r="C140" t="s">
        <v>15774</v>
      </c>
      <c r="D140" t="s">
        <v>4215</v>
      </c>
      <c r="E140" t="s">
        <v>17334</v>
      </c>
      <c r="F140">
        <v>3</v>
      </c>
      <c r="N140" t="s">
        <v>15774</v>
      </c>
    </row>
    <row r="141" spans="1:14">
      <c r="A141" t="s">
        <v>16683</v>
      </c>
      <c r="B141">
        <v>1</v>
      </c>
      <c r="C141" t="s">
        <v>15775</v>
      </c>
      <c r="D141" t="s">
        <v>4215</v>
      </c>
      <c r="E141" t="s">
        <v>17334</v>
      </c>
      <c r="F141">
        <v>3</v>
      </c>
      <c r="N141" t="s">
        <v>15775</v>
      </c>
    </row>
    <row r="142" spans="1:14">
      <c r="A142" t="s">
        <v>16481</v>
      </c>
      <c r="B142">
        <v>1</v>
      </c>
      <c r="C142" t="s">
        <v>15776</v>
      </c>
      <c r="D142" t="s">
        <v>4215</v>
      </c>
      <c r="E142" t="s">
        <v>17334</v>
      </c>
      <c r="F142">
        <v>3</v>
      </c>
      <c r="N142" t="s">
        <v>15776</v>
      </c>
    </row>
    <row r="143" spans="1:14">
      <c r="A143" t="s">
        <v>16490</v>
      </c>
      <c r="B143">
        <v>1</v>
      </c>
      <c r="C143" t="s">
        <v>15777</v>
      </c>
      <c r="D143" t="s">
        <v>4215</v>
      </c>
      <c r="E143" t="s">
        <v>17334</v>
      </c>
      <c r="F143">
        <v>3</v>
      </c>
      <c r="N143" t="s">
        <v>15777</v>
      </c>
    </row>
    <row r="144" spans="1:14">
      <c r="A144" t="s">
        <v>16499</v>
      </c>
      <c r="B144">
        <v>1</v>
      </c>
      <c r="C144" t="s">
        <v>15778</v>
      </c>
      <c r="D144" t="s">
        <v>4215</v>
      </c>
      <c r="E144" t="s">
        <v>17334</v>
      </c>
      <c r="F144">
        <v>3</v>
      </c>
      <c r="N144" t="s">
        <v>15778</v>
      </c>
    </row>
    <row r="145" spans="1:14">
      <c r="A145" t="s">
        <v>16508</v>
      </c>
      <c r="B145">
        <v>1</v>
      </c>
      <c r="C145" t="s">
        <v>15779</v>
      </c>
      <c r="D145" t="s">
        <v>4215</v>
      </c>
      <c r="E145" t="s">
        <v>17334</v>
      </c>
      <c r="F145">
        <v>3</v>
      </c>
      <c r="N145" t="s">
        <v>15779</v>
      </c>
    </row>
    <row r="146" spans="1:14">
      <c r="A146" t="s">
        <v>16517</v>
      </c>
      <c r="B146">
        <v>1</v>
      </c>
      <c r="C146" t="s">
        <v>15780</v>
      </c>
      <c r="D146" t="s">
        <v>4215</v>
      </c>
      <c r="E146" t="s">
        <v>17334</v>
      </c>
      <c r="F146">
        <v>3</v>
      </c>
      <c r="N146" t="s">
        <v>15780</v>
      </c>
    </row>
    <row r="147" spans="1:14">
      <c r="A147" t="s">
        <v>16526</v>
      </c>
      <c r="B147">
        <v>1</v>
      </c>
      <c r="C147" t="s">
        <v>15781</v>
      </c>
      <c r="D147" t="s">
        <v>4215</v>
      </c>
      <c r="E147" t="s">
        <v>17334</v>
      </c>
      <c r="F147">
        <v>3</v>
      </c>
      <c r="N147" t="s">
        <v>15781</v>
      </c>
    </row>
    <row r="148" spans="1:14">
      <c r="A148" t="s">
        <v>16535</v>
      </c>
      <c r="B148">
        <v>1</v>
      </c>
      <c r="C148" t="s">
        <v>15782</v>
      </c>
      <c r="D148" t="s">
        <v>4215</v>
      </c>
      <c r="E148" t="s">
        <v>17334</v>
      </c>
      <c r="F148">
        <v>3</v>
      </c>
      <c r="N148" t="s">
        <v>15782</v>
      </c>
    </row>
    <row r="149" spans="1:14">
      <c r="A149" t="s">
        <v>16544</v>
      </c>
      <c r="B149">
        <v>1</v>
      </c>
      <c r="C149" t="s">
        <v>15783</v>
      </c>
      <c r="D149" t="s">
        <v>4215</v>
      </c>
      <c r="E149" t="s">
        <v>17334</v>
      </c>
      <c r="F149">
        <v>3</v>
      </c>
      <c r="N149" t="s">
        <v>15783</v>
      </c>
    </row>
    <row r="150" spans="1:14">
      <c r="A150" t="s">
        <v>16551</v>
      </c>
      <c r="B150">
        <v>1</v>
      </c>
      <c r="C150" t="s">
        <v>15784</v>
      </c>
      <c r="D150" t="s">
        <v>4215</v>
      </c>
      <c r="E150" t="s">
        <v>17334</v>
      </c>
      <c r="F150">
        <v>3</v>
      </c>
      <c r="N150" t="s">
        <v>15784</v>
      </c>
    </row>
    <row r="151" spans="1:14">
      <c r="A151" t="s">
        <v>16558</v>
      </c>
      <c r="B151">
        <v>1</v>
      </c>
      <c r="C151" t="s">
        <v>15785</v>
      </c>
      <c r="D151" t="s">
        <v>4215</v>
      </c>
      <c r="E151" t="s">
        <v>17334</v>
      </c>
      <c r="F151">
        <v>3</v>
      </c>
      <c r="N151" t="s">
        <v>15785</v>
      </c>
    </row>
    <row r="152" spans="1:14">
      <c r="A152" t="s">
        <v>16565</v>
      </c>
      <c r="B152">
        <v>1</v>
      </c>
      <c r="C152" t="s">
        <v>15786</v>
      </c>
      <c r="D152" t="s">
        <v>4215</v>
      </c>
      <c r="E152" t="s">
        <v>17334</v>
      </c>
      <c r="F152">
        <v>3</v>
      </c>
      <c r="N152" t="s">
        <v>15786</v>
      </c>
    </row>
    <row r="153" spans="1:14">
      <c r="A153" t="s">
        <v>16572</v>
      </c>
      <c r="B153">
        <v>1</v>
      </c>
      <c r="C153" t="s">
        <v>15787</v>
      </c>
      <c r="D153" t="s">
        <v>4215</v>
      </c>
      <c r="E153" t="s">
        <v>17334</v>
      </c>
      <c r="F153">
        <v>3</v>
      </c>
      <c r="N153" t="s">
        <v>15787</v>
      </c>
    </row>
    <row r="154" spans="1:14">
      <c r="A154" t="s">
        <v>16579</v>
      </c>
      <c r="B154">
        <v>1</v>
      </c>
      <c r="C154" t="s">
        <v>15788</v>
      </c>
      <c r="D154" t="s">
        <v>4215</v>
      </c>
      <c r="E154" t="s">
        <v>17334</v>
      </c>
      <c r="F154">
        <v>3</v>
      </c>
      <c r="N154" t="s">
        <v>15788</v>
      </c>
    </row>
    <row r="155" spans="1:14">
      <c r="A155" t="s">
        <v>16586</v>
      </c>
      <c r="B155">
        <v>1</v>
      </c>
      <c r="C155" t="s">
        <v>15789</v>
      </c>
      <c r="D155" t="s">
        <v>4215</v>
      </c>
      <c r="E155" t="s">
        <v>17334</v>
      </c>
      <c r="F155">
        <v>3</v>
      </c>
      <c r="N155" t="s">
        <v>15789</v>
      </c>
    </row>
    <row r="156" spans="1:14">
      <c r="A156" t="s">
        <v>16593</v>
      </c>
      <c r="B156">
        <v>1</v>
      </c>
      <c r="C156" t="s">
        <v>15790</v>
      </c>
      <c r="D156" t="s">
        <v>4215</v>
      </c>
      <c r="E156" t="s">
        <v>17334</v>
      </c>
      <c r="F156">
        <v>3</v>
      </c>
      <c r="N156" t="s">
        <v>15790</v>
      </c>
    </row>
    <row r="157" spans="1:14">
      <c r="A157" t="s">
        <v>16600</v>
      </c>
      <c r="B157">
        <v>1</v>
      </c>
      <c r="C157" t="s">
        <v>15791</v>
      </c>
      <c r="D157" t="s">
        <v>4215</v>
      </c>
      <c r="E157" t="s">
        <v>17334</v>
      </c>
      <c r="F157">
        <v>3</v>
      </c>
      <c r="N157" t="s">
        <v>15791</v>
      </c>
    </row>
    <row r="158" spans="1:14">
      <c r="A158" t="s">
        <v>16607</v>
      </c>
      <c r="B158">
        <v>1</v>
      </c>
      <c r="C158" t="s">
        <v>15792</v>
      </c>
      <c r="D158" t="s">
        <v>4215</v>
      </c>
      <c r="E158" t="s">
        <v>17334</v>
      </c>
      <c r="F158">
        <v>3</v>
      </c>
      <c r="N158" t="s">
        <v>15792</v>
      </c>
    </row>
    <row r="159" spans="1:14">
      <c r="A159" t="s">
        <v>16614</v>
      </c>
      <c r="B159">
        <v>1</v>
      </c>
      <c r="C159" t="s">
        <v>15793</v>
      </c>
      <c r="D159" t="s">
        <v>4215</v>
      </c>
      <c r="E159" t="s">
        <v>17334</v>
      </c>
      <c r="F159">
        <v>3</v>
      </c>
      <c r="N159" t="s">
        <v>15793</v>
      </c>
    </row>
    <row r="160" spans="1:14">
      <c r="A160" t="s">
        <v>16621</v>
      </c>
      <c r="B160">
        <v>1</v>
      </c>
      <c r="C160" t="s">
        <v>15794</v>
      </c>
      <c r="D160" t="s">
        <v>4215</v>
      </c>
      <c r="E160" t="s">
        <v>17334</v>
      </c>
      <c r="F160">
        <v>3</v>
      </c>
      <c r="N160" t="s">
        <v>15794</v>
      </c>
    </row>
    <row r="161" spans="1:14">
      <c r="A161" t="s">
        <v>16628</v>
      </c>
      <c r="B161">
        <v>1</v>
      </c>
      <c r="C161" t="s">
        <v>15795</v>
      </c>
      <c r="D161" t="s">
        <v>4215</v>
      </c>
      <c r="E161" t="s">
        <v>17334</v>
      </c>
      <c r="F161">
        <v>3</v>
      </c>
      <c r="N161" t="s">
        <v>15795</v>
      </c>
    </row>
    <row r="162" spans="1:14">
      <c r="A162" t="s">
        <v>16635</v>
      </c>
      <c r="B162">
        <v>1</v>
      </c>
      <c r="C162" t="s">
        <v>15796</v>
      </c>
      <c r="D162" t="s">
        <v>4215</v>
      </c>
      <c r="E162" t="s">
        <v>17334</v>
      </c>
      <c r="F162">
        <v>3</v>
      </c>
      <c r="N162" t="s">
        <v>15796</v>
      </c>
    </row>
    <row r="163" spans="1:14">
      <c r="A163" t="s">
        <v>16642</v>
      </c>
      <c r="B163">
        <v>1</v>
      </c>
      <c r="C163" t="s">
        <v>15797</v>
      </c>
      <c r="D163" t="s">
        <v>4215</v>
      </c>
      <c r="E163" t="s">
        <v>17334</v>
      </c>
      <c r="F163">
        <v>3</v>
      </c>
      <c r="N163" t="s">
        <v>15797</v>
      </c>
    </row>
    <row r="164" spans="1:14">
      <c r="A164" t="s">
        <v>16649</v>
      </c>
      <c r="B164">
        <v>1</v>
      </c>
      <c r="C164" t="s">
        <v>15798</v>
      </c>
      <c r="D164" t="s">
        <v>4215</v>
      </c>
      <c r="E164" t="s">
        <v>17334</v>
      </c>
      <c r="F164">
        <v>3</v>
      </c>
      <c r="N164" t="s">
        <v>15798</v>
      </c>
    </row>
    <row r="165" spans="1:14">
      <c r="A165" t="s">
        <v>16656</v>
      </c>
      <c r="B165">
        <v>1</v>
      </c>
      <c r="C165" t="s">
        <v>15799</v>
      </c>
      <c r="D165" t="s">
        <v>4215</v>
      </c>
      <c r="E165" t="s">
        <v>17334</v>
      </c>
      <c r="F165">
        <v>3</v>
      </c>
      <c r="N165" t="s">
        <v>15799</v>
      </c>
    </row>
    <row r="166" spans="1:14">
      <c r="A166" t="s">
        <v>16663</v>
      </c>
      <c r="B166">
        <v>1</v>
      </c>
      <c r="C166" t="s">
        <v>15800</v>
      </c>
      <c r="D166" t="s">
        <v>4215</v>
      </c>
      <c r="E166" t="s">
        <v>17334</v>
      </c>
      <c r="F166">
        <v>3</v>
      </c>
      <c r="N166" t="s">
        <v>15800</v>
      </c>
    </row>
    <row r="167" spans="1:14">
      <c r="A167" t="s">
        <v>16670</v>
      </c>
      <c r="B167">
        <v>1</v>
      </c>
      <c r="C167" t="s">
        <v>15801</v>
      </c>
      <c r="D167" t="s">
        <v>4215</v>
      </c>
      <c r="E167" t="s">
        <v>17334</v>
      </c>
      <c r="F167">
        <v>3</v>
      </c>
      <c r="N167" t="s">
        <v>15801</v>
      </c>
    </row>
    <row r="168" spans="1:14">
      <c r="A168" t="s">
        <v>16677</v>
      </c>
      <c r="B168">
        <v>1</v>
      </c>
      <c r="C168" t="s">
        <v>15802</v>
      </c>
      <c r="D168" t="s">
        <v>4215</v>
      </c>
      <c r="E168" t="s">
        <v>17334</v>
      </c>
      <c r="F168">
        <v>3</v>
      </c>
      <c r="N168" t="s">
        <v>15802</v>
      </c>
    </row>
    <row r="169" spans="1:14">
      <c r="A169" t="s">
        <v>16684</v>
      </c>
      <c r="B169">
        <v>1</v>
      </c>
      <c r="C169" t="s">
        <v>15803</v>
      </c>
      <c r="D169" t="s">
        <v>4215</v>
      </c>
      <c r="E169" t="s">
        <v>17334</v>
      </c>
      <c r="F169">
        <v>3</v>
      </c>
      <c r="N169" t="s">
        <v>15803</v>
      </c>
    </row>
    <row r="170" spans="1:14">
      <c r="A170" t="s">
        <v>16482</v>
      </c>
      <c r="B170">
        <v>1</v>
      </c>
      <c r="C170" t="s">
        <v>15804</v>
      </c>
      <c r="D170" t="s">
        <v>4215</v>
      </c>
      <c r="E170" t="s">
        <v>17334</v>
      </c>
      <c r="F170">
        <v>3</v>
      </c>
      <c r="N170" t="s">
        <v>15804</v>
      </c>
    </row>
    <row r="171" spans="1:14">
      <c r="A171" t="s">
        <v>16491</v>
      </c>
      <c r="B171">
        <v>1</v>
      </c>
      <c r="C171" t="s">
        <v>15805</v>
      </c>
      <c r="D171" t="s">
        <v>4215</v>
      </c>
      <c r="E171" t="s">
        <v>17334</v>
      </c>
      <c r="F171">
        <v>3</v>
      </c>
      <c r="N171" t="s">
        <v>15805</v>
      </c>
    </row>
    <row r="172" spans="1:14">
      <c r="A172" t="s">
        <v>16500</v>
      </c>
      <c r="B172">
        <v>1</v>
      </c>
      <c r="C172" t="s">
        <v>15806</v>
      </c>
      <c r="D172" t="s">
        <v>4215</v>
      </c>
      <c r="E172" t="s">
        <v>17334</v>
      </c>
      <c r="F172">
        <v>3</v>
      </c>
      <c r="N172" t="s">
        <v>15806</v>
      </c>
    </row>
    <row r="173" spans="1:14">
      <c r="A173" t="s">
        <v>16509</v>
      </c>
      <c r="B173">
        <v>1</v>
      </c>
      <c r="C173" t="s">
        <v>15807</v>
      </c>
      <c r="D173" t="s">
        <v>4215</v>
      </c>
      <c r="E173" t="s">
        <v>17334</v>
      </c>
      <c r="F173">
        <v>3</v>
      </c>
      <c r="N173" t="s">
        <v>15807</v>
      </c>
    </row>
    <row r="174" spans="1:14">
      <c r="A174" t="s">
        <v>16518</v>
      </c>
      <c r="B174">
        <v>1</v>
      </c>
      <c r="C174" t="s">
        <v>15808</v>
      </c>
      <c r="D174" t="s">
        <v>4215</v>
      </c>
      <c r="E174" t="s">
        <v>17334</v>
      </c>
      <c r="F174">
        <v>3</v>
      </c>
      <c r="N174" t="s">
        <v>15808</v>
      </c>
    </row>
    <row r="175" spans="1:14">
      <c r="A175" t="s">
        <v>16527</v>
      </c>
      <c r="B175">
        <v>1</v>
      </c>
      <c r="C175" t="s">
        <v>15809</v>
      </c>
      <c r="D175" t="s">
        <v>4215</v>
      </c>
      <c r="E175" t="s">
        <v>17334</v>
      </c>
      <c r="F175">
        <v>3</v>
      </c>
      <c r="N175" t="s">
        <v>15809</v>
      </c>
    </row>
    <row r="176" spans="1:14">
      <c r="A176" t="s">
        <v>16536</v>
      </c>
      <c r="B176">
        <v>1</v>
      </c>
      <c r="C176" t="s">
        <v>15810</v>
      </c>
      <c r="D176" t="s">
        <v>4215</v>
      </c>
      <c r="E176" t="s">
        <v>17334</v>
      </c>
      <c r="F176">
        <v>3</v>
      </c>
      <c r="N176" t="s">
        <v>15810</v>
      </c>
    </row>
    <row r="177" spans="1:14">
      <c r="A177" t="s">
        <v>16545</v>
      </c>
      <c r="B177">
        <v>1</v>
      </c>
      <c r="C177" t="s">
        <v>15811</v>
      </c>
      <c r="D177" t="s">
        <v>4215</v>
      </c>
      <c r="E177" t="s">
        <v>17334</v>
      </c>
      <c r="F177">
        <v>3</v>
      </c>
      <c r="N177" t="s">
        <v>15811</v>
      </c>
    </row>
    <row r="178" spans="1:14">
      <c r="A178" t="s">
        <v>16552</v>
      </c>
      <c r="B178">
        <v>1</v>
      </c>
      <c r="C178" t="s">
        <v>15812</v>
      </c>
      <c r="D178" t="s">
        <v>4215</v>
      </c>
      <c r="E178" t="s">
        <v>17334</v>
      </c>
      <c r="F178">
        <v>3</v>
      </c>
      <c r="N178" t="s">
        <v>15812</v>
      </c>
    </row>
    <row r="179" spans="1:14">
      <c r="A179" t="s">
        <v>16559</v>
      </c>
      <c r="B179">
        <v>1</v>
      </c>
      <c r="C179" t="s">
        <v>15813</v>
      </c>
      <c r="D179" t="s">
        <v>4215</v>
      </c>
      <c r="E179" t="s">
        <v>17334</v>
      </c>
      <c r="F179">
        <v>3</v>
      </c>
      <c r="N179" t="s">
        <v>15813</v>
      </c>
    </row>
    <row r="180" spans="1:14">
      <c r="A180" t="s">
        <v>16566</v>
      </c>
      <c r="B180">
        <v>1</v>
      </c>
      <c r="C180" t="s">
        <v>15814</v>
      </c>
      <c r="D180" t="s">
        <v>4215</v>
      </c>
      <c r="E180" t="s">
        <v>17334</v>
      </c>
      <c r="F180">
        <v>3</v>
      </c>
      <c r="N180" t="s">
        <v>15814</v>
      </c>
    </row>
    <row r="181" spans="1:14">
      <c r="A181" t="s">
        <v>16573</v>
      </c>
      <c r="B181">
        <v>1</v>
      </c>
      <c r="C181" t="s">
        <v>15815</v>
      </c>
      <c r="D181" t="s">
        <v>4215</v>
      </c>
      <c r="E181" t="s">
        <v>17334</v>
      </c>
      <c r="F181">
        <v>3</v>
      </c>
      <c r="N181" t="s">
        <v>15815</v>
      </c>
    </row>
    <row r="182" spans="1:14">
      <c r="A182" t="s">
        <v>16580</v>
      </c>
      <c r="B182">
        <v>1</v>
      </c>
      <c r="C182" t="s">
        <v>15816</v>
      </c>
      <c r="D182" t="s">
        <v>4215</v>
      </c>
      <c r="E182" t="s">
        <v>17334</v>
      </c>
      <c r="F182">
        <v>3</v>
      </c>
      <c r="N182" t="s">
        <v>15816</v>
      </c>
    </row>
    <row r="183" spans="1:14">
      <c r="A183" t="s">
        <v>16587</v>
      </c>
      <c r="B183">
        <v>1</v>
      </c>
      <c r="C183" t="s">
        <v>15817</v>
      </c>
      <c r="D183" t="s">
        <v>4215</v>
      </c>
      <c r="E183" t="s">
        <v>17334</v>
      </c>
      <c r="F183">
        <v>3</v>
      </c>
      <c r="N183" t="s">
        <v>15817</v>
      </c>
    </row>
    <row r="184" spans="1:14">
      <c r="A184" t="s">
        <v>16594</v>
      </c>
      <c r="B184">
        <v>1</v>
      </c>
      <c r="C184" t="s">
        <v>15818</v>
      </c>
      <c r="D184" t="s">
        <v>4215</v>
      </c>
      <c r="E184" t="s">
        <v>17334</v>
      </c>
      <c r="F184">
        <v>3</v>
      </c>
      <c r="N184" t="s">
        <v>15818</v>
      </c>
    </row>
    <row r="185" spans="1:14">
      <c r="A185" t="s">
        <v>16601</v>
      </c>
      <c r="B185">
        <v>1</v>
      </c>
      <c r="C185" t="s">
        <v>15819</v>
      </c>
      <c r="D185" t="s">
        <v>4215</v>
      </c>
      <c r="E185" t="s">
        <v>17334</v>
      </c>
      <c r="F185">
        <v>3</v>
      </c>
      <c r="N185" t="s">
        <v>15819</v>
      </c>
    </row>
    <row r="186" spans="1:14">
      <c r="A186" t="s">
        <v>16608</v>
      </c>
      <c r="B186">
        <v>1</v>
      </c>
      <c r="C186" t="s">
        <v>15820</v>
      </c>
      <c r="D186" t="s">
        <v>4215</v>
      </c>
      <c r="E186" t="s">
        <v>17334</v>
      </c>
      <c r="F186">
        <v>3</v>
      </c>
      <c r="N186" t="s">
        <v>15820</v>
      </c>
    </row>
    <row r="187" spans="1:14">
      <c r="A187" t="s">
        <v>16615</v>
      </c>
      <c r="B187">
        <v>1</v>
      </c>
      <c r="C187" t="s">
        <v>15821</v>
      </c>
      <c r="D187" t="s">
        <v>4215</v>
      </c>
      <c r="E187" t="s">
        <v>17334</v>
      </c>
      <c r="F187">
        <v>3</v>
      </c>
      <c r="N187" t="s">
        <v>15821</v>
      </c>
    </row>
    <row r="188" spans="1:14">
      <c r="A188" t="s">
        <v>16622</v>
      </c>
      <c r="B188">
        <v>1</v>
      </c>
      <c r="C188" t="s">
        <v>15822</v>
      </c>
      <c r="D188" t="s">
        <v>4215</v>
      </c>
      <c r="E188" t="s">
        <v>17334</v>
      </c>
      <c r="F188">
        <v>3</v>
      </c>
      <c r="N188" t="s">
        <v>15822</v>
      </c>
    </row>
    <row r="189" spans="1:14">
      <c r="A189" t="s">
        <v>16629</v>
      </c>
      <c r="B189">
        <v>1</v>
      </c>
      <c r="C189" t="s">
        <v>15823</v>
      </c>
      <c r="D189" t="s">
        <v>4215</v>
      </c>
      <c r="E189" t="s">
        <v>17334</v>
      </c>
      <c r="F189">
        <v>3</v>
      </c>
      <c r="N189" t="s">
        <v>15823</v>
      </c>
    </row>
    <row r="190" spans="1:14">
      <c r="A190" t="s">
        <v>16636</v>
      </c>
      <c r="B190">
        <v>1</v>
      </c>
      <c r="C190" t="s">
        <v>15824</v>
      </c>
      <c r="D190" t="s">
        <v>4215</v>
      </c>
      <c r="E190" t="s">
        <v>17334</v>
      </c>
      <c r="F190">
        <v>3</v>
      </c>
      <c r="N190" t="s">
        <v>15824</v>
      </c>
    </row>
    <row r="191" spans="1:14">
      <c r="A191" t="s">
        <v>16643</v>
      </c>
      <c r="B191">
        <v>1</v>
      </c>
      <c r="C191" t="s">
        <v>15825</v>
      </c>
      <c r="D191" t="s">
        <v>4215</v>
      </c>
      <c r="E191" t="s">
        <v>17334</v>
      </c>
      <c r="F191">
        <v>3</v>
      </c>
      <c r="N191" t="s">
        <v>15825</v>
      </c>
    </row>
    <row r="192" spans="1:14">
      <c r="A192" t="s">
        <v>16650</v>
      </c>
      <c r="B192">
        <v>1</v>
      </c>
      <c r="C192" t="s">
        <v>15826</v>
      </c>
      <c r="D192" t="s">
        <v>4215</v>
      </c>
      <c r="E192" t="s">
        <v>17334</v>
      </c>
      <c r="F192">
        <v>3</v>
      </c>
      <c r="N192" t="s">
        <v>15826</v>
      </c>
    </row>
    <row r="193" spans="1:14">
      <c r="A193" t="s">
        <v>16657</v>
      </c>
      <c r="B193">
        <v>1</v>
      </c>
      <c r="C193" t="s">
        <v>15827</v>
      </c>
      <c r="D193" t="s">
        <v>4215</v>
      </c>
      <c r="E193" t="s">
        <v>17334</v>
      </c>
      <c r="F193">
        <v>3</v>
      </c>
      <c r="N193" t="s">
        <v>15827</v>
      </c>
    </row>
    <row r="194" spans="1:14">
      <c r="A194" t="s">
        <v>16664</v>
      </c>
      <c r="B194">
        <v>1</v>
      </c>
      <c r="C194" t="s">
        <v>15828</v>
      </c>
      <c r="D194" t="s">
        <v>4215</v>
      </c>
      <c r="E194" t="s">
        <v>17334</v>
      </c>
      <c r="F194">
        <v>3</v>
      </c>
      <c r="N194" t="s">
        <v>15828</v>
      </c>
    </row>
    <row r="195" spans="1:14">
      <c r="A195" t="s">
        <v>16671</v>
      </c>
      <c r="B195">
        <v>1</v>
      </c>
      <c r="C195" t="s">
        <v>15829</v>
      </c>
      <c r="D195" t="s">
        <v>4215</v>
      </c>
      <c r="E195" t="s">
        <v>17334</v>
      </c>
      <c r="F195">
        <v>3</v>
      </c>
      <c r="N195" t="s">
        <v>15829</v>
      </c>
    </row>
    <row r="196" spans="1:14">
      <c r="A196" t="s">
        <v>16678</v>
      </c>
      <c r="B196">
        <v>1</v>
      </c>
      <c r="C196" t="s">
        <v>15830</v>
      </c>
      <c r="D196" t="s">
        <v>4215</v>
      </c>
      <c r="E196" t="s">
        <v>17334</v>
      </c>
      <c r="F196">
        <v>3</v>
      </c>
      <c r="N196" t="s">
        <v>15830</v>
      </c>
    </row>
    <row r="197" spans="1:14">
      <c r="A197" t="s">
        <v>16685</v>
      </c>
      <c r="B197">
        <v>1</v>
      </c>
      <c r="C197" t="s">
        <v>15831</v>
      </c>
      <c r="D197" t="s">
        <v>4215</v>
      </c>
      <c r="E197" t="s">
        <v>17334</v>
      </c>
      <c r="F197">
        <v>3</v>
      </c>
      <c r="N197" t="s">
        <v>15831</v>
      </c>
    </row>
    <row r="198" spans="1:14">
      <c r="A198" t="s">
        <v>16483</v>
      </c>
      <c r="B198">
        <v>1</v>
      </c>
      <c r="C198" t="s">
        <v>15832</v>
      </c>
      <c r="D198" t="s">
        <v>4215</v>
      </c>
      <c r="E198" t="s">
        <v>17334</v>
      </c>
      <c r="F198">
        <v>3</v>
      </c>
      <c r="N198" t="s">
        <v>15832</v>
      </c>
    </row>
    <row r="199" spans="1:14">
      <c r="A199" t="s">
        <v>16492</v>
      </c>
      <c r="B199">
        <v>1</v>
      </c>
      <c r="C199" t="s">
        <v>15833</v>
      </c>
      <c r="D199" t="s">
        <v>4215</v>
      </c>
      <c r="E199" t="s">
        <v>17334</v>
      </c>
      <c r="F199">
        <v>3</v>
      </c>
      <c r="N199" t="s">
        <v>15833</v>
      </c>
    </row>
    <row r="200" spans="1:14">
      <c r="A200" t="s">
        <v>16501</v>
      </c>
      <c r="B200">
        <v>1</v>
      </c>
      <c r="C200" t="s">
        <v>15834</v>
      </c>
      <c r="D200" t="s">
        <v>4215</v>
      </c>
      <c r="E200" t="s">
        <v>17334</v>
      </c>
      <c r="F200">
        <v>3</v>
      </c>
      <c r="N200" t="s">
        <v>15834</v>
      </c>
    </row>
    <row r="201" spans="1:14">
      <c r="A201" t="s">
        <v>16510</v>
      </c>
      <c r="B201">
        <v>1</v>
      </c>
      <c r="C201" t="s">
        <v>15835</v>
      </c>
      <c r="D201" t="s">
        <v>4215</v>
      </c>
      <c r="E201" t="s">
        <v>17334</v>
      </c>
      <c r="F201">
        <v>3</v>
      </c>
      <c r="N201" t="s">
        <v>15835</v>
      </c>
    </row>
    <row r="202" spans="1:14">
      <c r="A202" t="s">
        <v>16519</v>
      </c>
      <c r="B202">
        <v>1</v>
      </c>
      <c r="C202" t="s">
        <v>15836</v>
      </c>
      <c r="D202" t="s">
        <v>4215</v>
      </c>
      <c r="E202" t="s">
        <v>17334</v>
      </c>
      <c r="F202">
        <v>3</v>
      </c>
      <c r="N202" t="s">
        <v>15836</v>
      </c>
    </row>
    <row r="203" spans="1:14">
      <c r="A203" t="s">
        <v>16528</v>
      </c>
      <c r="B203">
        <v>1</v>
      </c>
      <c r="C203" t="s">
        <v>15837</v>
      </c>
      <c r="D203" t="s">
        <v>4215</v>
      </c>
      <c r="E203" t="s">
        <v>17334</v>
      </c>
      <c r="F203">
        <v>3</v>
      </c>
      <c r="N203" t="s">
        <v>15837</v>
      </c>
    </row>
    <row r="204" spans="1:14">
      <c r="A204" t="s">
        <v>16537</v>
      </c>
      <c r="B204">
        <v>1</v>
      </c>
      <c r="C204" t="s">
        <v>15838</v>
      </c>
      <c r="D204" t="s">
        <v>4215</v>
      </c>
      <c r="E204" t="s">
        <v>17334</v>
      </c>
      <c r="F204">
        <v>3</v>
      </c>
      <c r="N204" t="s">
        <v>15838</v>
      </c>
    </row>
    <row r="205" spans="1:14">
      <c r="A205" t="s">
        <v>16484</v>
      </c>
      <c r="B205">
        <v>1</v>
      </c>
      <c r="C205" t="s">
        <v>15839</v>
      </c>
      <c r="D205" t="s">
        <v>4215</v>
      </c>
      <c r="E205" t="s">
        <v>17334</v>
      </c>
      <c r="F205">
        <v>3</v>
      </c>
      <c r="N205" t="s">
        <v>15839</v>
      </c>
    </row>
    <row r="206" spans="1:14">
      <c r="A206" t="s">
        <v>16493</v>
      </c>
      <c r="B206">
        <v>1</v>
      </c>
      <c r="C206" t="s">
        <v>15840</v>
      </c>
      <c r="D206" t="s">
        <v>4215</v>
      </c>
      <c r="E206" t="s">
        <v>17334</v>
      </c>
      <c r="F206">
        <v>3</v>
      </c>
      <c r="N206" t="s">
        <v>15840</v>
      </c>
    </row>
    <row r="207" spans="1:14">
      <c r="A207" t="s">
        <v>16502</v>
      </c>
      <c r="B207">
        <v>1</v>
      </c>
      <c r="C207" t="s">
        <v>15841</v>
      </c>
      <c r="D207" t="s">
        <v>4215</v>
      </c>
      <c r="E207" t="s">
        <v>17334</v>
      </c>
      <c r="F207">
        <v>3</v>
      </c>
      <c r="N207" t="s">
        <v>15841</v>
      </c>
    </row>
    <row r="208" spans="1:14">
      <c r="A208" t="s">
        <v>16511</v>
      </c>
      <c r="B208">
        <v>1</v>
      </c>
      <c r="C208" t="s">
        <v>15842</v>
      </c>
      <c r="D208" t="s">
        <v>4215</v>
      </c>
      <c r="E208" t="s">
        <v>17334</v>
      </c>
      <c r="F208">
        <v>3</v>
      </c>
      <c r="N208" t="s">
        <v>15842</v>
      </c>
    </row>
    <row r="209" spans="1:14">
      <c r="A209" t="s">
        <v>16520</v>
      </c>
      <c r="B209">
        <v>1</v>
      </c>
      <c r="C209" t="s">
        <v>15843</v>
      </c>
      <c r="D209" t="s">
        <v>4215</v>
      </c>
      <c r="E209" t="s">
        <v>17334</v>
      </c>
      <c r="F209">
        <v>3</v>
      </c>
      <c r="N209" t="s">
        <v>15843</v>
      </c>
    </row>
    <row r="210" spans="1:14">
      <c r="A210" t="s">
        <v>16529</v>
      </c>
      <c r="B210">
        <v>1</v>
      </c>
      <c r="C210" t="s">
        <v>15844</v>
      </c>
      <c r="D210" t="s">
        <v>4215</v>
      </c>
      <c r="E210" t="s">
        <v>17334</v>
      </c>
      <c r="F210">
        <v>3</v>
      </c>
      <c r="N210" t="s">
        <v>15844</v>
      </c>
    </row>
    <row r="211" spans="1:14">
      <c r="A211" t="s">
        <v>16538</v>
      </c>
      <c r="B211">
        <v>1</v>
      </c>
      <c r="C211" t="s">
        <v>15845</v>
      </c>
      <c r="D211" t="s">
        <v>4215</v>
      </c>
      <c r="E211" t="s">
        <v>17334</v>
      </c>
      <c r="F211">
        <v>3</v>
      </c>
      <c r="N211" t="s">
        <v>15845</v>
      </c>
    </row>
    <row r="212" spans="1:14">
      <c r="A212" t="s">
        <v>16686</v>
      </c>
      <c r="B212">
        <v>1</v>
      </c>
      <c r="C212" t="s">
        <v>15846</v>
      </c>
      <c r="D212" t="s">
        <v>4215</v>
      </c>
      <c r="E212" t="s">
        <v>17334</v>
      </c>
      <c r="F212">
        <v>3</v>
      </c>
      <c r="N212" t="s">
        <v>15846</v>
      </c>
    </row>
    <row r="213" spans="1:14">
      <c r="A213" t="s">
        <v>16695</v>
      </c>
      <c r="B213">
        <v>1</v>
      </c>
      <c r="C213" t="s">
        <v>15847</v>
      </c>
      <c r="D213" t="s">
        <v>4215</v>
      </c>
      <c r="E213" t="s">
        <v>17334</v>
      </c>
      <c r="F213">
        <v>3</v>
      </c>
      <c r="N213" t="s">
        <v>15847</v>
      </c>
    </row>
    <row r="214" spans="1:14">
      <c r="A214" t="s">
        <v>16704</v>
      </c>
      <c r="B214">
        <v>1</v>
      </c>
      <c r="C214" t="s">
        <v>15848</v>
      </c>
      <c r="D214" t="s">
        <v>4215</v>
      </c>
      <c r="E214" t="s">
        <v>17334</v>
      </c>
      <c r="F214">
        <v>3</v>
      </c>
      <c r="N214" t="s">
        <v>15848</v>
      </c>
    </row>
    <row r="215" spans="1:14">
      <c r="A215" t="s">
        <v>16713</v>
      </c>
      <c r="B215">
        <v>1</v>
      </c>
      <c r="C215" t="s">
        <v>15849</v>
      </c>
      <c r="D215" t="s">
        <v>4215</v>
      </c>
      <c r="E215" t="s">
        <v>17334</v>
      </c>
      <c r="F215">
        <v>3</v>
      </c>
      <c r="N215" t="s">
        <v>15849</v>
      </c>
    </row>
    <row r="216" spans="1:14">
      <c r="A216" t="s">
        <v>16722</v>
      </c>
      <c r="B216">
        <v>1</v>
      </c>
      <c r="C216" t="s">
        <v>15850</v>
      </c>
      <c r="D216" t="s">
        <v>4215</v>
      </c>
      <c r="E216" t="s">
        <v>17334</v>
      </c>
      <c r="F216">
        <v>3</v>
      </c>
      <c r="N216" t="s">
        <v>15850</v>
      </c>
    </row>
    <row r="217" spans="1:14">
      <c r="A217" t="s">
        <v>16731</v>
      </c>
      <c r="B217">
        <v>1</v>
      </c>
      <c r="C217" t="s">
        <v>15851</v>
      </c>
      <c r="D217" t="s">
        <v>4215</v>
      </c>
      <c r="E217" t="s">
        <v>17334</v>
      </c>
      <c r="F217">
        <v>3</v>
      </c>
      <c r="N217" t="s">
        <v>15851</v>
      </c>
    </row>
    <row r="218" spans="1:14">
      <c r="A218" t="s">
        <v>16740</v>
      </c>
      <c r="B218">
        <v>1</v>
      </c>
      <c r="C218" t="s">
        <v>15852</v>
      </c>
      <c r="D218" t="s">
        <v>4215</v>
      </c>
      <c r="E218" t="s">
        <v>17334</v>
      </c>
      <c r="F218">
        <v>3</v>
      </c>
      <c r="N218" t="s">
        <v>15852</v>
      </c>
    </row>
    <row r="219" spans="1:14">
      <c r="A219" t="s">
        <v>16749</v>
      </c>
      <c r="B219">
        <v>1</v>
      </c>
      <c r="C219" t="s">
        <v>15853</v>
      </c>
      <c r="D219" t="s">
        <v>4215</v>
      </c>
      <c r="E219" t="s">
        <v>17334</v>
      </c>
      <c r="F219">
        <v>3</v>
      </c>
      <c r="N219" t="s">
        <v>15853</v>
      </c>
    </row>
    <row r="220" spans="1:14">
      <c r="A220" t="s">
        <v>16757</v>
      </c>
      <c r="B220">
        <v>1</v>
      </c>
      <c r="C220" t="s">
        <v>15854</v>
      </c>
      <c r="D220" t="s">
        <v>4215</v>
      </c>
      <c r="E220" t="s">
        <v>17334</v>
      </c>
      <c r="F220">
        <v>3</v>
      </c>
      <c r="N220" t="s">
        <v>15854</v>
      </c>
    </row>
    <row r="221" spans="1:14">
      <c r="A221" t="s">
        <v>16764</v>
      </c>
      <c r="B221">
        <v>1</v>
      </c>
      <c r="C221" t="s">
        <v>15855</v>
      </c>
      <c r="D221" t="s">
        <v>4215</v>
      </c>
      <c r="E221" t="s">
        <v>17334</v>
      </c>
      <c r="F221">
        <v>3</v>
      </c>
      <c r="N221" t="s">
        <v>15855</v>
      </c>
    </row>
    <row r="222" spans="1:14">
      <c r="A222" t="s">
        <v>16771</v>
      </c>
      <c r="B222">
        <v>1</v>
      </c>
      <c r="C222" t="s">
        <v>15856</v>
      </c>
      <c r="D222" t="s">
        <v>4215</v>
      </c>
      <c r="E222" t="s">
        <v>17334</v>
      </c>
      <c r="F222">
        <v>3</v>
      </c>
      <c r="N222" t="s">
        <v>15856</v>
      </c>
    </row>
    <row r="223" spans="1:14">
      <c r="A223" t="s">
        <v>16778</v>
      </c>
      <c r="B223">
        <v>1</v>
      </c>
      <c r="C223" t="s">
        <v>15857</v>
      </c>
      <c r="D223" t="s">
        <v>4215</v>
      </c>
      <c r="E223" t="s">
        <v>17334</v>
      </c>
      <c r="F223">
        <v>3</v>
      </c>
      <c r="N223" t="s">
        <v>15857</v>
      </c>
    </row>
    <row r="224" spans="1:14">
      <c r="A224" t="s">
        <v>16785</v>
      </c>
      <c r="B224">
        <v>1</v>
      </c>
      <c r="C224" t="s">
        <v>15858</v>
      </c>
      <c r="D224" t="s">
        <v>4215</v>
      </c>
      <c r="E224" t="s">
        <v>17334</v>
      </c>
      <c r="F224">
        <v>3</v>
      </c>
      <c r="N224" t="s">
        <v>15858</v>
      </c>
    </row>
    <row r="225" spans="1:14">
      <c r="A225" t="s">
        <v>16792</v>
      </c>
      <c r="B225">
        <v>1</v>
      </c>
      <c r="C225" t="s">
        <v>15859</v>
      </c>
      <c r="D225" t="s">
        <v>4215</v>
      </c>
      <c r="E225" t="s">
        <v>17334</v>
      </c>
      <c r="F225">
        <v>3</v>
      </c>
      <c r="N225" t="s">
        <v>15859</v>
      </c>
    </row>
    <row r="226" spans="1:14">
      <c r="A226" t="s">
        <v>16799</v>
      </c>
      <c r="B226">
        <v>1</v>
      </c>
      <c r="C226" t="s">
        <v>15860</v>
      </c>
      <c r="D226" t="s">
        <v>4215</v>
      </c>
      <c r="E226" t="s">
        <v>17334</v>
      </c>
      <c r="F226">
        <v>3</v>
      </c>
      <c r="N226" t="s">
        <v>15860</v>
      </c>
    </row>
    <row r="227" spans="1:14">
      <c r="A227" t="s">
        <v>16806</v>
      </c>
      <c r="B227">
        <v>1</v>
      </c>
      <c r="C227" t="s">
        <v>15861</v>
      </c>
      <c r="D227" t="s">
        <v>4215</v>
      </c>
      <c r="E227" t="s">
        <v>17334</v>
      </c>
      <c r="F227">
        <v>3</v>
      </c>
      <c r="N227" t="s">
        <v>15861</v>
      </c>
    </row>
    <row r="228" spans="1:14">
      <c r="A228" t="s">
        <v>16813</v>
      </c>
      <c r="B228">
        <v>1</v>
      </c>
      <c r="C228" t="s">
        <v>15862</v>
      </c>
      <c r="D228" t="s">
        <v>4215</v>
      </c>
      <c r="E228" t="s">
        <v>17334</v>
      </c>
      <c r="F228">
        <v>3</v>
      </c>
      <c r="N228" t="s">
        <v>15862</v>
      </c>
    </row>
    <row r="229" spans="1:14">
      <c r="A229" t="s">
        <v>16820</v>
      </c>
      <c r="B229">
        <v>1</v>
      </c>
      <c r="C229" t="s">
        <v>15863</v>
      </c>
      <c r="D229" t="s">
        <v>4215</v>
      </c>
      <c r="E229" t="s">
        <v>17334</v>
      </c>
      <c r="F229">
        <v>3</v>
      </c>
      <c r="N229" t="s">
        <v>15863</v>
      </c>
    </row>
    <row r="230" spans="1:14">
      <c r="A230" t="s">
        <v>16827</v>
      </c>
      <c r="B230">
        <v>1</v>
      </c>
      <c r="C230" t="s">
        <v>15864</v>
      </c>
      <c r="D230" t="s">
        <v>4215</v>
      </c>
      <c r="E230" t="s">
        <v>17334</v>
      </c>
      <c r="F230">
        <v>3</v>
      </c>
      <c r="N230" t="s">
        <v>15864</v>
      </c>
    </row>
    <row r="231" spans="1:14">
      <c r="A231" t="s">
        <v>16834</v>
      </c>
      <c r="B231">
        <v>1</v>
      </c>
      <c r="C231" t="s">
        <v>15865</v>
      </c>
      <c r="D231" t="s">
        <v>4215</v>
      </c>
      <c r="E231" t="s">
        <v>17334</v>
      </c>
      <c r="F231">
        <v>3</v>
      </c>
      <c r="N231" t="s">
        <v>15865</v>
      </c>
    </row>
    <row r="232" spans="1:14">
      <c r="A232" t="s">
        <v>16841</v>
      </c>
      <c r="B232">
        <v>1</v>
      </c>
      <c r="C232" t="s">
        <v>15866</v>
      </c>
      <c r="D232" t="s">
        <v>4215</v>
      </c>
      <c r="E232" t="s">
        <v>17334</v>
      </c>
      <c r="F232">
        <v>3</v>
      </c>
      <c r="N232" t="s">
        <v>15866</v>
      </c>
    </row>
    <row r="233" spans="1:14">
      <c r="A233" t="s">
        <v>16848</v>
      </c>
      <c r="B233">
        <v>1</v>
      </c>
      <c r="C233" t="s">
        <v>15867</v>
      </c>
      <c r="D233" t="s">
        <v>4215</v>
      </c>
      <c r="E233" t="s">
        <v>17334</v>
      </c>
      <c r="F233">
        <v>3</v>
      </c>
      <c r="N233" t="s">
        <v>15867</v>
      </c>
    </row>
    <row r="234" spans="1:14">
      <c r="A234" t="s">
        <v>16855</v>
      </c>
      <c r="B234">
        <v>1</v>
      </c>
      <c r="C234" t="s">
        <v>15868</v>
      </c>
      <c r="D234" t="s">
        <v>4215</v>
      </c>
      <c r="E234" t="s">
        <v>17334</v>
      </c>
      <c r="F234">
        <v>3</v>
      </c>
      <c r="N234" t="s">
        <v>15868</v>
      </c>
    </row>
    <row r="235" spans="1:14">
      <c r="A235" t="s">
        <v>16862</v>
      </c>
      <c r="B235">
        <v>1</v>
      </c>
      <c r="C235" t="s">
        <v>15869</v>
      </c>
      <c r="D235" t="s">
        <v>4215</v>
      </c>
      <c r="E235" t="s">
        <v>17334</v>
      </c>
      <c r="F235">
        <v>3</v>
      </c>
      <c r="N235" t="s">
        <v>15869</v>
      </c>
    </row>
    <row r="236" spans="1:14">
      <c r="A236" t="s">
        <v>16869</v>
      </c>
      <c r="B236">
        <v>1</v>
      </c>
      <c r="C236" t="s">
        <v>15870</v>
      </c>
      <c r="D236" t="s">
        <v>4215</v>
      </c>
      <c r="E236" t="s">
        <v>17334</v>
      </c>
      <c r="F236">
        <v>3</v>
      </c>
      <c r="N236" t="s">
        <v>15870</v>
      </c>
    </row>
    <row r="237" spans="1:14">
      <c r="A237" t="s">
        <v>16876</v>
      </c>
      <c r="B237">
        <v>1</v>
      </c>
      <c r="C237" t="s">
        <v>15871</v>
      </c>
      <c r="D237" t="s">
        <v>4215</v>
      </c>
      <c r="E237" t="s">
        <v>17334</v>
      </c>
      <c r="F237">
        <v>3</v>
      </c>
      <c r="N237" t="s">
        <v>15871</v>
      </c>
    </row>
    <row r="238" spans="1:14">
      <c r="A238" t="s">
        <v>16883</v>
      </c>
      <c r="B238">
        <v>1</v>
      </c>
      <c r="C238" t="s">
        <v>15872</v>
      </c>
      <c r="D238" t="s">
        <v>4215</v>
      </c>
      <c r="E238" t="s">
        <v>17334</v>
      </c>
      <c r="F238">
        <v>3</v>
      </c>
      <c r="N238" t="s">
        <v>15872</v>
      </c>
    </row>
    <row r="239" spans="1:14">
      <c r="A239" t="s">
        <v>16890</v>
      </c>
      <c r="B239">
        <v>1</v>
      </c>
      <c r="C239" t="s">
        <v>15873</v>
      </c>
      <c r="D239" t="s">
        <v>4215</v>
      </c>
      <c r="E239" t="s">
        <v>17334</v>
      </c>
      <c r="F239">
        <v>3</v>
      </c>
      <c r="N239" t="s">
        <v>15873</v>
      </c>
    </row>
    <row r="240" spans="1:14">
      <c r="A240" t="s">
        <v>16687</v>
      </c>
      <c r="B240">
        <v>1</v>
      </c>
      <c r="C240" t="s">
        <v>15874</v>
      </c>
      <c r="D240" t="s">
        <v>4215</v>
      </c>
      <c r="E240" t="s">
        <v>17334</v>
      </c>
      <c r="F240">
        <v>3</v>
      </c>
      <c r="N240" t="s">
        <v>15874</v>
      </c>
    </row>
    <row r="241" spans="1:14">
      <c r="A241" t="s">
        <v>16696</v>
      </c>
      <c r="B241">
        <v>1</v>
      </c>
      <c r="C241" t="s">
        <v>15875</v>
      </c>
      <c r="D241" t="s">
        <v>4215</v>
      </c>
      <c r="E241" t="s">
        <v>17334</v>
      </c>
      <c r="F241">
        <v>3</v>
      </c>
      <c r="N241" t="s">
        <v>15875</v>
      </c>
    </row>
    <row r="242" spans="1:14">
      <c r="A242" t="s">
        <v>16705</v>
      </c>
      <c r="B242">
        <v>1</v>
      </c>
      <c r="C242" t="s">
        <v>15876</v>
      </c>
      <c r="D242" t="s">
        <v>4215</v>
      </c>
      <c r="E242" t="s">
        <v>17334</v>
      </c>
      <c r="F242">
        <v>3</v>
      </c>
      <c r="N242" t="s">
        <v>15876</v>
      </c>
    </row>
    <row r="243" spans="1:14">
      <c r="A243" t="s">
        <v>16714</v>
      </c>
      <c r="B243">
        <v>1</v>
      </c>
      <c r="C243" t="s">
        <v>15877</v>
      </c>
      <c r="D243" t="s">
        <v>4215</v>
      </c>
      <c r="E243" t="s">
        <v>17334</v>
      </c>
      <c r="F243">
        <v>3</v>
      </c>
      <c r="N243" t="s">
        <v>15877</v>
      </c>
    </row>
    <row r="244" spans="1:14">
      <c r="A244" t="s">
        <v>16723</v>
      </c>
      <c r="B244">
        <v>1</v>
      </c>
      <c r="C244" t="s">
        <v>15878</v>
      </c>
      <c r="D244" t="s">
        <v>4215</v>
      </c>
      <c r="E244" t="s">
        <v>17334</v>
      </c>
      <c r="F244">
        <v>3</v>
      </c>
      <c r="N244" t="s">
        <v>15878</v>
      </c>
    </row>
    <row r="245" spans="1:14">
      <c r="A245" t="s">
        <v>16732</v>
      </c>
      <c r="B245">
        <v>1</v>
      </c>
      <c r="C245" t="s">
        <v>15879</v>
      </c>
      <c r="D245" t="s">
        <v>4215</v>
      </c>
      <c r="E245" t="s">
        <v>17334</v>
      </c>
      <c r="F245">
        <v>3</v>
      </c>
      <c r="N245" t="s">
        <v>15879</v>
      </c>
    </row>
    <row r="246" spans="1:14">
      <c r="A246" t="s">
        <v>16741</v>
      </c>
      <c r="B246">
        <v>1</v>
      </c>
      <c r="C246" t="s">
        <v>15880</v>
      </c>
      <c r="D246" t="s">
        <v>4215</v>
      </c>
      <c r="E246" t="s">
        <v>17334</v>
      </c>
      <c r="F246">
        <v>3</v>
      </c>
      <c r="N246" t="s">
        <v>15880</v>
      </c>
    </row>
    <row r="247" spans="1:14">
      <c r="A247" t="s">
        <v>16750</v>
      </c>
      <c r="B247">
        <v>1</v>
      </c>
      <c r="C247" t="s">
        <v>15881</v>
      </c>
      <c r="D247" t="s">
        <v>4215</v>
      </c>
      <c r="E247" t="s">
        <v>17334</v>
      </c>
      <c r="F247">
        <v>3</v>
      </c>
      <c r="N247" t="s">
        <v>15881</v>
      </c>
    </row>
    <row r="248" spans="1:14">
      <c r="A248" t="s">
        <v>16758</v>
      </c>
      <c r="B248">
        <v>1</v>
      </c>
      <c r="C248" t="s">
        <v>15882</v>
      </c>
      <c r="D248" t="s">
        <v>4215</v>
      </c>
      <c r="E248" t="s">
        <v>17334</v>
      </c>
      <c r="F248">
        <v>3</v>
      </c>
      <c r="N248" t="s">
        <v>15882</v>
      </c>
    </row>
    <row r="249" spans="1:14">
      <c r="A249" t="s">
        <v>16765</v>
      </c>
      <c r="B249">
        <v>1</v>
      </c>
      <c r="C249" t="s">
        <v>15883</v>
      </c>
      <c r="D249" t="s">
        <v>4215</v>
      </c>
      <c r="E249" t="s">
        <v>17334</v>
      </c>
      <c r="F249">
        <v>3</v>
      </c>
      <c r="N249" t="s">
        <v>15883</v>
      </c>
    </row>
    <row r="250" spans="1:14">
      <c r="A250" t="s">
        <v>16772</v>
      </c>
      <c r="B250">
        <v>1</v>
      </c>
      <c r="C250" t="s">
        <v>15884</v>
      </c>
      <c r="D250" t="s">
        <v>4215</v>
      </c>
      <c r="E250" t="s">
        <v>17334</v>
      </c>
      <c r="F250">
        <v>3</v>
      </c>
      <c r="N250" t="s">
        <v>15884</v>
      </c>
    </row>
    <row r="251" spans="1:14">
      <c r="A251" t="s">
        <v>16779</v>
      </c>
      <c r="B251">
        <v>1</v>
      </c>
      <c r="C251" t="s">
        <v>15885</v>
      </c>
      <c r="D251" t="s">
        <v>4215</v>
      </c>
      <c r="E251" t="s">
        <v>17334</v>
      </c>
      <c r="F251">
        <v>3</v>
      </c>
      <c r="N251" t="s">
        <v>15885</v>
      </c>
    </row>
    <row r="252" spans="1:14">
      <c r="A252" t="s">
        <v>16786</v>
      </c>
      <c r="B252">
        <v>1</v>
      </c>
      <c r="C252" t="s">
        <v>15886</v>
      </c>
      <c r="D252" t="s">
        <v>4215</v>
      </c>
      <c r="E252" t="s">
        <v>17334</v>
      </c>
      <c r="F252">
        <v>3</v>
      </c>
      <c r="N252" t="s">
        <v>15886</v>
      </c>
    </row>
    <row r="253" spans="1:14">
      <c r="A253" t="s">
        <v>16793</v>
      </c>
      <c r="B253">
        <v>1</v>
      </c>
      <c r="C253" t="s">
        <v>15887</v>
      </c>
      <c r="D253" t="s">
        <v>4215</v>
      </c>
      <c r="E253" t="s">
        <v>17334</v>
      </c>
      <c r="F253">
        <v>3</v>
      </c>
      <c r="N253" t="s">
        <v>15887</v>
      </c>
    </row>
    <row r="254" spans="1:14">
      <c r="A254" t="s">
        <v>16800</v>
      </c>
      <c r="B254">
        <v>1</v>
      </c>
      <c r="C254" t="s">
        <v>15888</v>
      </c>
      <c r="D254" t="s">
        <v>4215</v>
      </c>
      <c r="E254" t="s">
        <v>17334</v>
      </c>
      <c r="F254">
        <v>3</v>
      </c>
      <c r="N254" t="s">
        <v>15888</v>
      </c>
    </row>
    <row r="255" spans="1:14">
      <c r="A255" t="s">
        <v>16807</v>
      </c>
      <c r="B255">
        <v>1</v>
      </c>
      <c r="C255" t="s">
        <v>15889</v>
      </c>
      <c r="D255" t="s">
        <v>4215</v>
      </c>
      <c r="E255" t="s">
        <v>17334</v>
      </c>
      <c r="F255">
        <v>3</v>
      </c>
      <c r="N255" t="s">
        <v>15889</v>
      </c>
    </row>
    <row r="256" spans="1:14">
      <c r="A256" t="s">
        <v>16814</v>
      </c>
      <c r="B256">
        <v>1</v>
      </c>
      <c r="C256" t="s">
        <v>15890</v>
      </c>
      <c r="D256" t="s">
        <v>4215</v>
      </c>
      <c r="E256" t="s">
        <v>17334</v>
      </c>
      <c r="F256">
        <v>3</v>
      </c>
      <c r="N256" t="s">
        <v>15890</v>
      </c>
    </row>
    <row r="257" spans="1:14">
      <c r="A257" t="s">
        <v>16821</v>
      </c>
      <c r="B257">
        <v>1</v>
      </c>
      <c r="C257" t="s">
        <v>15891</v>
      </c>
      <c r="D257" t="s">
        <v>4215</v>
      </c>
      <c r="E257" t="s">
        <v>17334</v>
      </c>
      <c r="F257">
        <v>3</v>
      </c>
      <c r="N257" t="s">
        <v>15891</v>
      </c>
    </row>
    <row r="258" spans="1:14">
      <c r="A258" t="s">
        <v>16828</v>
      </c>
      <c r="B258">
        <v>1</v>
      </c>
      <c r="C258" t="s">
        <v>15892</v>
      </c>
      <c r="D258" t="s">
        <v>4215</v>
      </c>
      <c r="E258" t="s">
        <v>17334</v>
      </c>
      <c r="F258">
        <v>3</v>
      </c>
      <c r="N258" t="s">
        <v>15892</v>
      </c>
    </row>
    <row r="259" spans="1:14">
      <c r="A259" t="s">
        <v>16835</v>
      </c>
      <c r="B259">
        <v>1</v>
      </c>
      <c r="C259" t="s">
        <v>15893</v>
      </c>
      <c r="D259" t="s">
        <v>4215</v>
      </c>
      <c r="E259" t="s">
        <v>17334</v>
      </c>
      <c r="F259">
        <v>3</v>
      </c>
      <c r="N259" t="s">
        <v>15893</v>
      </c>
    </row>
    <row r="260" spans="1:14">
      <c r="A260" t="s">
        <v>16842</v>
      </c>
      <c r="B260">
        <v>1</v>
      </c>
      <c r="C260" t="s">
        <v>15894</v>
      </c>
      <c r="D260" t="s">
        <v>4215</v>
      </c>
      <c r="E260" t="s">
        <v>17334</v>
      </c>
      <c r="F260">
        <v>3</v>
      </c>
      <c r="N260" t="s">
        <v>15894</v>
      </c>
    </row>
    <row r="261" spans="1:14">
      <c r="A261" t="s">
        <v>16849</v>
      </c>
      <c r="B261">
        <v>1</v>
      </c>
      <c r="C261" t="s">
        <v>15895</v>
      </c>
      <c r="D261" t="s">
        <v>4215</v>
      </c>
      <c r="E261" t="s">
        <v>17334</v>
      </c>
      <c r="F261">
        <v>3</v>
      </c>
      <c r="N261" t="s">
        <v>15895</v>
      </c>
    </row>
    <row r="262" spans="1:14">
      <c r="A262" t="s">
        <v>16856</v>
      </c>
      <c r="B262">
        <v>1</v>
      </c>
      <c r="C262" t="s">
        <v>15896</v>
      </c>
      <c r="D262" t="s">
        <v>4215</v>
      </c>
      <c r="E262" t="s">
        <v>17334</v>
      </c>
      <c r="F262">
        <v>3</v>
      </c>
      <c r="N262" t="s">
        <v>15896</v>
      </c>
    </row>
    <row r="263" spans="1:14">
      <c r="A263" t="s">
        <v>16863</v>
      </c>
      <c r="B263">
        <v>1</v>
      </c>
      <c r="C263" t="s">
        <v>15897</v>
      </c>
      <c r="D263" t="s">
        <v>4215</v>
      </c>
      <c r="E263" t="s">
        <v>17334</v>
      </c>
      <c r="F263">
        <v>3</v>
      </c>
      <c r="N263" t="s">
        <v>15897</v>
      </c>
    </row>
    <row r="264" spans="1:14">
      <c r="A264" t="s">
        <v>16870</v>
      </c>
      <c r="B264">
        <v>1</v>
      </c>
      <c r="C264" t="s">
        <v>15898</v>
      </c>
      <c r="D264" t="s">
        <v>4215</v>
      </c>
      <c r="E264" t="s">
        <v>17334</v>
      </c>
      <c r="F264">
        <v>3</v>
      </c>
      <c r="N264" t="s">
        <v>15898</v>
      </c>
    </row>
    <row r="265" spans="1:14">
      <c r="A265" t="s">
        <v>16877</v>
      </c>
      <c r="B265">
        <v>1</v>
      </c>
      <c r="C265" t="s">
        <v>15899</v>
      </c>
      <c r="D265" t="s">
        <v>4215</v>
      </c>
      <c r="E265" t="s">
        <v>17334</v>
      </c>
      <c r="F265">
        <v>3</v>
      </c>
      <c r="N265" t="s">
        <v>15899</v>
      </c>
    </row>
    <row r="266" spans="1:14">
      <c r="A266" t="s">
        <v>16884</v>
      </c>
      <c r="B266">
        <v>1</v>
      </c>
      <c r="C266" t="s">
        <v>15900</v>
      </c>
      <c r="D266" t="s">
        <v>4215</v>
      </c>
      <c r="E266" t="s">
        <v>17334</v>
      </c>
      <c r="F266">
        <v>3</v>
      </c>
      <c r="N266" t="s">
        <v>15900</v>
      </c>
    </row>
    <row r="267" spans="1:14">
      <c r="A267" t="s">
        <v>16891</v>
      </c>
      <c r="B267">
        <v>1</v>
      </c>
      <c r="C267" t="s">
        <v>15901</v>
      </c>
      <c r="D267" t="s">
        <v>4215</v>
      </c>
      <c r="E267" t="s">
        <v>17334</v>
      </c>
      <c r="F267">
        <v>3</v>
      </c>
      <c r="N267" t="s">
        <v>15901</v>
      </c>
    </row>
    <row r="268" spans="1:14">
      <c r="A268" t="s">
        <v>16688</v>
      </c>
      <c r="B268">
        <v>1</v>
      </c>
      <c r="C268" t="s">
        <v>15902</v>
      </c>
      <c r="D268" t="s">
        <v>4215</v>
      </c>
      <c r="E268" t="s">
        <v>17334</v>
      </c>
      <c r="F268">
        <v>3</v>
      </c>
      <c r="N268" t="s">
        <v>15902</v>
      </c>
    </row>
    <row r="269" spans="1:14">
      <c r="A269" t="s">
        <v>16697</v>
      </c>
      <c r="B269">
        <v>1</v>
      </c>
      <c r="C269" t="s">
        <v>15903</v>
      </c>
      <c r="D269" t="s">
        <v>4215</v>
      </c>
      <c r="E269" t="s">
        <v>17334</v>
      </c>
      <c r="F269">
        <v>3</v>
      </c>
      <c r="N269" t="s">
        <v>15903</v>
      </c>
    </row>
    <row r="270" spans="1:14">
      <c r="A270" t="s">
        <v>16706</v>
      </c>
      <c r="B270">
        <v>1</v>
      </c>
      <c r="C270" t="s">
        <v>15904</v>
      </c>
      <c r="D270" t="s">
        <v>4215</v>
      </c>
      <c r="E270" t="s">
        <v>17334</v>
      </c>
      <c r="F270">
        <v>3</v>
      </c>
      <c r="N270" t="s">
        <v>15904</v>
      </c>
    </row>
    <row r="271" spans="1:14">
      <c r="A271" t="s">
        <v>16715</v>
      </c>
      <c r="B271">
        <v>1</v>
      </c>
      <c r="C271" t="s">
        <v>15905</v>
      </c>
      <c r="D271" t="s">
        <v>4215</v>
      </c>
      <c r="E271" t="s">
        <v>17334</v>
      </c>
      <c r="F271">
        <v>3</v>
      </c>
      <c r="N271" t="s">
        <v>15905</v>
      </c>
    </row>
    <row r="272" spans="1:14">
      <c r="A272" t="s">
        <v>16724</v>
      </c>
      <c r="B272">
        <v>1</v>
      </c>
      <c r="C272" t="s">
        <v>15906</v>
      </c>
      <c r="D272" t="s">
        <v>4215</v>
      </c>
      <c r="E272" t="s">
        <v>17334</v>
      </c>
      <c r="F272">
        <v>3</v>
      </c>
      <c r="N272" t="s">
        <v>15906</v>
      </c>
    </row>
    <row r="273" spans="1:14">
      <c r="A273" t="s">
        <v>16733</v>
      </c>
      <c r="B273">
        <v>1</v>
      </c>
      <c r="C273" t="s">
        <v>15907</v>
      </c>
      <c r="D273" t="s">
        <v>4215</v>
      </c>
      <c r="E273" t="s">
        <v>17334</v>
      </c>
      <c r="F273">
        <v>3</v>
      </c>
      <c r="N273" t="s">
        <v>15907</v>
      </c>
    </row>
    <row r="274" spans="1:14">
      <c r="A274" t="s">
        <v>16742</v>
      </c>
      <c r="B274">
        <v>1</v>
      </c>
      <c r="C274" t="s">
        <v>15908</v>
      </c>
      <c r="D274" t="s">
        <v>4215</v>
      </c>
      <c r="E274" t="s">
        <v>17334</v>
      </c>
      <c r="F274">
        <v>3</v>
      </c>
      <c r="N274" t="s">
        <v>15908</v>
      </c>
    </row>
    <row r="275" spans="1:14">
      <c r="A275" t="s">
        <v>16751</v>
      </c>
      <c r="B275">
        <v>1</v>
      </c>
      <c r="C275" t="s">
        <v>15909</v>
      </c>
      <c r="D275" t="s">
        <v>4215</v>
      </c>
      <c r="E275" t="s">
        <v>17334</v>
      </c>
      <c r="F275">
        <v>3</v>
      </c>
      <c r="N275" t="s">
        <v>15909</v>
      </c>
    </row>
    <row r="276" spans="1:14">
      <c r="A276" t="s">
        <v>16759</v>
      </c>
      <c r="B276">
        <v>1</v>
      </c>
      <c r="C276" t="s">
        <v>15910</v>
      </c>
      <c r="D276" t="s">
        <v>4215</v>
      </c>
      <c r="E276" t="s">
        <v>17334</v>
      </c>
      <c r="F276">
        <v>3</v>
      </c>
      <c r="N276" t="s">
        <v>15910</v>
      </c>
    </row>
    <row r="277" spans="1:14">
      <c r="A277" t="s">
        <v>16766</v>
      </c>
      <c r="B277">
        <v>1</v>
      </c>
      <c r="C277" t="s">
        <v>15911</v>
      </c>
      <c r="D277" t="s">
        <v>4215</v>
      </c>
      <c r="E277" t="s">
        <v>17334</v>
      </c>
      <c r="F277">
        <v>3</v>
      </c>
      <c r="N277" t="s">
        <v>15911</v>
      </c>
    </row>
    <row r="278" spans="1:14">
      <c r="A278" t="s">
        <v>16773</v>
      </c>
      <c r="B278">
        <v>1</v>
      </c>
      <c r="C278" t="s">
        <v>15912</v>
      </c>
      <c r="D278" t="s">
        <v>4215</v>
      </c>
      <c r="E278" t="s">
        <v>17334</v>
      </c>
      <c r="F278">
        <v>3</v>
      </c>
      <c r="N278" t="s">
        <v>15912</v>
      </c>
    </row>
    <row r="279" spans="1:14">
      <c r="A279" t="s">
        <v>16780</v>
      </c>
      <c r="B279">
        <v>1</v>
      </c>
      <c r="C279" t="s">
        <v>15913</v>
      </c>
      <c r="D279" t="s">
        <v>4215</v>
      </c>
      <c r="E279" t="s">
        <v>17334</v>
      </c>
      <c r="F279">
        <v>3</v>
      </c>
      <c r="N279" t="s">
        <v>15913</v>
      </c>
    </row>
    <row r="280" spans="1:14">
      <c r="A280" t="s">
        <v>16787</v>
      </c>
      <c r="B280">
        <v>1</v>
      </c>
      <c r="C280" t="s">
        <v>15914</v>
      </c>
      <c r="D280" t="s">
        <v>4215</v>
      </c>
      <c r="E280" t="s">
        <v>17334</v>
      </c>
      <c r="F280">
        <v>3</v>
      </c>
      <c r="N280" t="s">
        <v>15914</v>
      </c>
    </row>
    <row r="281" spans="1:14">
      <c r="A281" t="s">
        <v>16794</v>
      </c>
      <c r="B281">
        <v>1</v>
      </c>
      <c r="C281" t="s">
        <v>15915</v>
      </c>
      <c r="D281" t="s">
        <v>4215</v>
      </c>
      <c r="E281" t="s">
        <v>17334</v>
      </c>
      <c r="F281">
        <v>3</v>
      </c>
      <c r="N281" t="s">
        <v>15915</v>
      </c>
    </row>
    <row r="282" spans="1:14">
      <c r="A282" t="s">
        <v>16801</v>
      </c>
      <c r="B282">
        <v>1</v>
      </c>
      <c r="C282" t="s">
        <v>15916</v>
      </c>
      <c r="D282" t="s">
        <v>4215</v>
      </c>
      <c r="E282" t="s">
        <v>17334</v>
      </c>
      <c r="F282">
        <v>3</v>
      </c>
      <c r="N282" t="s">
        <v>15916</v>
      </c>
    </row>
    <row r="283" spans="1:14">
      <c r="A283" t="s">
        <v>16808</v>
      </c>
      <c r="B283">
        <v>1</v>
      </c>
      <c r="C283" t="s">
        <v>15917</v>
      </c>
      <c r="D283" t="s">
        <v>4215</v>
      </c>
      <c r="E283" t="s">
        <v>17334</v>
      </c>
      <c r="F283">
        <v>3</v>
      </c>
      <c r="N283" t="s">
        <v>15917</v>
      </c>
    </row>
    <row r="284" spans="1:14">
      <c r="A284" t="s">
        <v>16815</v>
      </c>
      <c r="B284">
        <v>1</v>
      </c>
      <c r="C284" t="s">
        <v>15918</v>
      </c>
      <c r="D284" t="s">
        <v>4215</v>
      </c>
      <c r="E284" t="s">
        <v>17334</v>
      </c>
      <c r="F284">
        <v>3</v>
      </c>
      <c r="N284" t="s">
        <v>15918</v>
      </c>
    </row>
    <row r="285" spans="1:14">
      <c r="A285" t="s">
        <v>16822</v>
      </c>
      <c r="B285">
        <v>1</v>
      </c>
      <c r="C285" t="s">
        <v>15919</v>
      </c>
      <c r="D285" t="s">
        <v>4215</v>
      </c>
      <c r="E285" t="s">
        <v>17334</v>
      </c>
      <c r="F285">
        <v>3</v>
      </c>
      <c r="N285" t="s">
        <v>15919</v>
      </c>
    </row>
    <row r="286" spans="1:14">
      <c r="A286" t="s">
        <v>16829</v>
      </c>
      <c r="B286">
        <v>1</v>
      </c>
      <c r="C286" t="s">
        <v>15920</v>
      </c>
      <c r="D286" t="s">
        <v>4215</v>
      </c>
      <c r="E286" t="s">
        <v>17334</v>
      </c>
      <c r="F286">
        <v>3</v>
      </c>
      <c r="N286" t="s">
        <v>15920</v>
      </c>
    </row>
    <row r="287" spans="1:14">
      <c r="A287" t="s">
        <v>16836</v>
      </c>
      <c r="B287">
        <v>1</v>
      </c>
      <c r="C287" t="s">
        <v>15921</v>
      </c>
      <c r="D287" t="s">
        <v>4215</v>
      </c>
      <c r="E287" t="s">
        <v>17334</v>
      </c>
      <c r="F287">
        <v>3</v>
      </c>
      <c r="N287" t="s">
        <v>15921</v>
      </c>
    </row>
    <row r="288" spans="1:14">
      <c r="A288" t="s">
        <v>16843</v>
      </c>
      <c r="B288">
        <v>1</v>
      </c>
      <c r="C288" t="s">
        <v>15922</v>
      </c>
      <c r="D288" t="s">
        <v>4215</v>
      </c>
      <c r="E288" t="s">
        <v>17334</v>
      </c>
      <c r="F288">
        <v>3</v>
      </c>
      <c r="N288" t="s">
        <v>15922</v>
      </c>
    </row>
    <row r="289" spans="1:14">
      <c r="A289" t="s">
        <v>16850</v>
      </c>
      <c r="B289">
        <v>1</v>
      </c>
      <c r="C289" t="s">
        <v>15923</v>
      </c>
      <c r="D289" t="s">
        <v>4215</v>
      </c>
      <c r="E289" t="s">
        <v>17334</v>
      </c>
      <c r="F289">
        <v>3</v>
      </c>
      <c r="N289" t="s">
        <v>15923</v>
      </c>
    </row>
    <row r="290" spans="1:14">
      <c r="A290" t="s">
        <v>16857</v>
      </c>
      <c r="B290">
        <v>1</v>
      </c>
      <c r="C290" t="s">
        <v>15924</v>
      </c>
      <c r="D290" t="s">
        <v>4215</v>
      </c>
      <c r="E290" t="s">
        <v>17334</v>
      </c>
      <c r="F290">
        <v>3</v>
      </c>
      <c r="N290" t="s">
        <v>15924</v>
      </c>
    </row>
    <row r="291" spans="1:14">
      <c r="A291" t="s">
        <v>16864</v>
      </c>
      <c r="B291">
        <v>1</v>
      </c>
      <c r="C291" t="s">
        <v>15925</v>
      </c>
      <c r="D291" t="s">
        <v>4215</v>
      </c>
      <c r="E291" t="s">
        <v>17334</v>
      </c>
      <c r="F291">
        <v>3</v>
      </c>
      <c r="N291" t="s">
        <v>15925</v>
      </c>
    </row>
    <row r="292" spans="1:14">
      <c r="A292" t="s">
        <v>16871</v>
      </c>
      <c r="B292">
        <v>1</v>
      </c>
      <c r="C292" t="s">
        <v>15926</v>
      </c>
      <c r="D292" t="s">
        <v>4215</v>
      </c>
      <c r="E292" t="s">
        <v>17334</v>
      </c>
      <c r="F292">
        <v>3</v>
      </c>
      <c r="N292" t="s">
        <v>15926</v>
      </c>
    </row>
    <row r="293" spans="1:14">
      <c r="A293" t="s">
        <v>16878</v>
      </c>
      <c r="B293">
        <v>1</v>
      </c>
      <c r="C293" t="s">
        <v>15927</v>
      </c>
      <c r="D293" t="s">
        <v>4215</v>
      </c>
      <c r="E293" t="s">
        <v>17334</v>
      </c>
      <c r="F293">
        <v>3</v>
      </c>
      <c r="N293" t="s">
        <v>15927</v>
      </c>
    </row>
    <row r="294" spans="1:14">
      <c r="A294" t="s">
        <v>16885</v>
      </c>
      <c r="B294">
        <v>1</v>
      </c>
      <c r="C294" t="s">
        <v>15928</v>
      </c>
      <c r="D294" t="s">
        <v>4215</v>
      </c>
      <c r="E294" t="s">
        <v>17334</v>
      </c>
      <c r="F294">
        <v>3</v>
      </c>
      <c r="N294" t="s">
        <v>15928</v>
      </c>
    </row>
    <row r="295" spans="1:14">
      <c r="A295" t="s">
        <v>16892</v>
      </c>
      <c r="B295">
        <v>1</v>
      </c>
      <c r="C295" t="s">
        <v>15929</v>
      </c>
      <c r="D295" t="s">
        <v>4215</v>
      </c>
      <c r="E295" t="s">
        <v>17334</v>
      </c>
      <c r="F295">
        <v>3</v>
      </c>
      <c r="N295" t="s">
        <v>15929</v>
      </c>
    </row>
    <row r="296" spans="1:14">
      <c r="A296" t="s">
        <v>16689</v>
      </c>
      <c r="B296">
        <v>1</v>
      </c>
      <c r="C296" t="s">
        <v>15930</v>
      </c>
      <c r="D296" t="s">
        <v>4215</v>
      </c>
      <c r="E296" t="s">
        <v>17334</v>
      </c>
      <c r="F296">
        <v>3</v>
      </c>
      <c r="N296" t="s">
        <v>15930</v>
      </c>
    </row>
    <row r="297" spans="1:14">
      <c r="A297" t="s">
        <v>16698</v>
      </c>
      <c r="B297">
        <v>1</v>
      </c>
      <c r="C297" t="s">
        <v>15931</v>
      </c>
      <c r="D297" t="s">
        <v>4215</v>
      </c>
      <c r="E297" t="s">
        <v>17334</v>
      </c>
      <c r="F297">
        <v>3</v>
      </c>
      <c r="N297" t="s">
        <v>15931</v>
      </c>
    </row>
    <row r="298" spans="1:14">
      <c r="A298" t="s">
        <v>16707</v>
      </c>
      <c r="B298">
        <v>1</v>
      </c>
      <c r="C298" t="s">
        <v>15932</v>
      </c>
      <c r="D298" t="s">
        <v>4215</v>
      </c>
      <c r="E298" t="s">
        <v>17334</v>
      </c>
      <c r="F298">
        <v>3</v>
      </c>
      <c r="N298" t="s">
        <v>15932</v>
      </c>
    </row>
    <row r="299" spans="1:14">
      <c r="A299" t="s">
        <v>16716</v>
      </c>
      <c r="B299">
        <v>1</v>
      </c>
      <c r="C299" t="s">
        <v>15933</v>
      </c>
      <c r="D299" t="s">
        <v>4215</v>
      </c>
      <c r="E299" t="s">
        <v>17334</v>
      </c>
      <c r="F299">
        <v>3</v>
      </c>
      <c r="N299" t="s">
        <v>15933</v>
      </c>
    </row>
    <row r="300" spans="1:14">
      <c r="A300" t="s">
        <v>16725</v>
      </c>
      <c r="B300">
        <v>1</v>
      </c>
      <c r="C300" t="s">
        <v>15934</v>
      </c>
      <c r="D300" t="s">
        <v>4215</v>
      </c>
      <c r="E300" t="s">
        <v>17334</v>
      </c>
      <c r="F300">
        <v>3</v>
      </c>
      <c r="N300" t="s">
        <v>15934</v>
      </c>
    </row>
    <row r="301" spans="1:14">
      <c r="A301" t="s">
        <v>16734</v>
      </c>
      <c r="B301">
        <v>1</v>
      </c>
      <c r="C301" t="s">
        <v>15935</v>
      </c>
      <c r="D301" t="s">
        <v>4215</v>
      </c>
      <c r="E301" t="s">
        <v>17334</v>
      </c>
      <c r="F301">
        <v>3</v>
      </c>
      <c r="N301" t="s">
        <v>15935</v>
      </c>
    </row>
    <row r="302" spans="1:14">
      <c r="A302" t="s">
        <v>16743</v>
      </c>
      <c r="B302">
        <v>1</v>
      </c>
      <c r="C302" t="s">
        <v>15936</v>
      </c>
      <c r="D302" t="s">
        <v>4215</v>
      </c>
      <c r="E302" t="s">
        <v>17334</v>
      </c>
      <c r="F302">
        <v>3</v>
      </c>
      <c r="N302" t="s">
        <v>15936</v>
      </c>
    </row>
    <row r="303" spans="1:14">
      <c r="A303" t="s">
        <v>16752</v>
      </c>
      <c r="B303">
        <v>1</v>
      </c>
      <c r="C303" t="s">
        <v>15937</v>
      </c>
      <c r="D303" t="s">
        <v>4215</v>
      </c>
      <c r="E303" t="s">
        <v>17334</v>
      </c>
      <c r="F303">
        <v>3</v>
      </c>
      <c r="N303" t="s">
        <v>15937</v>
      </c>
    </row>
    <row r="304" spans="1:14">
      <c r="A304" t="s">
        <v>16760</v>
      </c>
      <c r="B304">
        <v>1</v>
      </c>
      <c r="C304" t="s">
        <v>15938</v>
      </c>
      <c r="D304" t="s">
        <v>4215</v>
      </c>
      <c r="E304" t="s">
        <v>17334</v>
      </c>
      <c r="F304">
        <v>3</v>
      </c>
      <c r="N304" t="s">
        <v>15938</v>
      </c>
    </row>
    <row r="305" spans="1:14">
      <c r="A305" t="s">
        <v>16767</v>
      </c>
      <c r="B305">
        <v>1</v>
      </c>
      <c r="C305" t="s">
        <v>15939</v>
      </c>
      <c r="D305" t="s">
        <v>4215</v>
      </c>
      <c r="E305" t="s">
        <v>17334</v>
      </c>
      <c r="F305">
        <v>3</v>
      </c>
      <c r="N305" t="s">
        <v>15939</v>
      </c>
    </row>
    <row r="306" spans="1:14">
      <c r="A306" t="s">
        <v>16774</v>
      </c>
      <c r="B306">
        <v>1</v>
      </c>
      <c r="C306" t="s">
        <v>15940</v>
      </c>
      <c r="D306" t="s">
        <v>4215</v>
      </c>
      <c r="E306" t="s">
        <v>17334</v>
      </c>
      <c r="F306">
        <v>3</v>
      </c>
      <c r="N306" t="s">
        <v>15940</v>
      </c>
    </row>
    <row r="307" spans="1:14">
      <c r="A307" t="s">
        <v>16781</v>
      </c>
      <c r="B307">
        <v>1</v>
      </c>
      <c r="C307" t="s">
        <v>15941</v>
      </c>
      <c r="D307" t="s">
        <v>4215</v>
      </c>
      <c r="E307" t="s">
        <v>17334</v>
      </c>
      <c r="F307">
        <v>3</v>
      </c>
      <c r="N307" t="s">
        <v>15941</v>
      </c>
    </row>
    <row r="308" spans="1:14">
      <c r="A308" t="s">
        <v>16788</v>
      </c>
      <c r="B308">
        <v>1</v>
      </c>
      <c r="C308" t="s">
        <v>15942</v>
      </c>
      <c r="D308" t="s">
        <v>4215</v>
      </c>
      <c r="E308" t="s">
        <v>17334</v>
      </c>
      <c r="F308">
        <v>3</v>
      </c>
      <c r="N308" t="s">
        <v>15942</v>
      </c>
    </row>
    <row r="309" spans="1:14">
      <c r="A309" t="s">
        <v>16795</v>
      </c>
      <c r="B309">
        <v>1</v>
      </c>
      <c r="C309" t="s">
        <v>15943</v>
      </c>
      <c r="D309" t="s">
        <v>4215</v>
      </c>
      <c r="E309" t="s">
        <v>17334</v>
      </c>
      <c r="F309">
        <v>3</v>
      </c>
      <c r="N309" t="s">
        <v>15943</v>
      </c>
    </row>
    <row r="310" spans="1:14">
      <c r="A310" t="s">
        <v>16802</v>
      </c>
      <c r="B310">
        <v>1</v>
      </c>
      <c r="C310" t="s">
        <v>15944</v>
      </c>
      <c r="D310" t="s">
        <v>4215</v>
      </c>
      <c r="E310" t="s">
        <v>17334</v>
      </c>
      <c r="F310">
        <v>3</v>
      </c>
      <c r="N310" t="s">
        <v>15944</v>
      </c>
    </row>
    <row r="311" spans="1:14">
      <c r="A311" t="s">
        <v>16809</v>
      </c>
      <c r="B311">
        <v>1</v>
      </c>
      <c r="C311" t="s">
        <v>15945</v>
      </c>
      <c r="D311" t="s">
        <v>4215</v>
      </c>
      <c r="E311" t="s">
        <v>17334</v>
      </c>
      <c r="F311">
        <v>3</v>
      </c>
      <c r="N311" t="s">
        <v>15945</v>
      </c>
    </row>
    <row r="312" spans="1:14">
      <c r="A312" t="s">
        <v>16816</v>
      </c>
      <c r="B312">
        <v>1</v>
      </c>
      <c r="C312" t="s">
        <v>15946</v>
      </c>
      <c r="D312" t="s">
        <v>4215</v>
      </c>
      <c r="E312" t="s">
        <v>17334</v>
      </c>
      <c r="F312">
        <v>3</v>
      </c>
      <c r="N312" t="s">
        <v>15946</v>
      </c>
    </row>
    <row r="313" spans="1:14">
      <c r="A313" t="s">
        <v>16823</v>
      </c>
      <c r="B313">
        <v>1</v>
      </c>
      <c r="C313" t="s">
        <v>15947</v>
      </c>
      <c r="D313" t="s">
        <v>4215</v>
      </c>
      <c r="E313" t="s">
        <v>17334</v>
      </c>
      <c r="F313">
        <v>3</v>
      </c>
      <c r="N313" t="s">
        <v>15947</v>
      </c>
    </row>
    <row r="314" spans="1:14">
      <c r="A314" t="s">
        <v>16830</v>
      </c>
      <c r="B314">
        <v>1</v>
      </c>
      <c r="C314" t="s">
        <v>15948</v>
      </c>
      <c r="D314" t="s">
        <v>4215</v>
      </c>
      <c r="E314" t="s">
        <v>17334</v>
      </c>
      <c r="F314">
        <v>3</v>
      </c>
      <c r="N314" t="s">
        <v>15948</v>
      </c>
    </row>
    <row r="315" spans="1:14">
      <c r="A315" t="s">
        <v>16837</v>
      </c>
      <c r="B315">
        <v>1</v>
      </c>
      <c r="C315" t="s">
        <v>15949</v>
      </c>
      <c r="D315" t="s">
        <v>4215</v>
      </c>
      <c r="E315" t="s">
        <v>17334</v>
      </c>
      <c r="F315">
        <v>3</v>
      </c>
      <c r="N315" t="s">
        <v>15949</v>
      </c>
    </row>
    <row r="316" spans="1:14">
      <c r="A316" t="s">
        <v>16844</v>
      </c>
      <c r="B316">
        <v>1</v>
      </c>
      <c r="C316" t="s">
        <v>15950</v>
      </c>
      <c r="D316" t="s">
        <v>4215</v>
      </c>
      <c r="E316" t="s">
        <v>17334</v>
      </c>
      <c r="F316">
        <v>3</v>
      </c>
      <c r="N316" t="s">
        <v>15950</v>
      </c>
    </row>
    <row r="317" spans="1:14">
      <c r="A317" t="s">
        <v>16851</v>
      </c>
      <c r="B317">
        <v>1</v>
      </c>
      <c r="C317" t="s">
        <v>15951</v>
      </c>
      <c r="D317" t="s">
        <v>4215</v>
      </c>
      <c r="E317" t="s">
        <v>17334</v>
      </c>
      <c r="F317">
        <v>3</v>
      </c>
      <c r="N317" t="s">
        <v>15951</v>
      </c>
    </row>
    <row r="318" spans="1:14">
      <c r="A318" t="s">
        <v>16858</v>
      </c>
      <c r="B318">
        <v>1</v>
      </c>
      <c r="C318" t="s">
        <v>15952</v>
      </c>
      <c r="D318" t="s">
        <v>4215</v>
      </c>
      <c r="E318" t="s">
        <v>17334</v>
      </c>
      <c r="F318">
        <v>3</v>
      </c>
      <c r="N318" t="s">
        <v>15952</v>
      </c>
    </row>
    <row r="319" spans="1:14">
      <c r="A319" t="s">
        <v>16865</v>
      </c>
      <c r="B319">
        <v>1</v>
      </c>
      <c r="C319" t="s">
        <v>15953</v>
      </c>
      <c r="D319" t="s">
        <v>4215</v>
      </c>
      <c r="E319" t="s">
        <v>17334</v>
      </c>
      <c r="F319">
        <v>3</v>
      </c>
      <c r="N319" t="s">
        <v>15953</v>
      </c>
    </row>
    <row r="320" spans="1:14">
      <c r="A320" t="s">
        <v>16872</v>
      </c>
      <c r="B320">
        <v>1</v>
      </c>
      <c r="C320" t="s">
        <v>15954</v>
      </c>
      <c r="D320" t="s">
        <v>4215</v>
      </c>
      <c r="E320" t="s">
        <v>17334</v>
      </c>
      <c r="F320">
        <v>3</v>
      </c>
      <c r="N320" t="s">
        <v>15954</v>
      </c>
    </row>
    <row r="321" spans="1:14">
      <c r="A321" t="s">
        <v>16879</v>
      </c>
      <c r="B321">
        <v>1</v>
      </c>
      <c r="C321" t="s">
        <v>15955</v>
      </c>
      <c r="D321" t="s">
        <v>4215</v>
      </c>
      <c r="E321" t="s">
        <v>17334</v>
      </c>
      <c r="F321">
        <v>3</v>
      </c>
      <c r="N321" t="s">
        <v>15955</v>
      </c>
    </row>
    <row r="322" spans="1:14">
      <c r="A322" t="s">
        <v>16886</v>
      </c>
      <c r="B322">
        <v>1</v>
      </c>
      <c r="C322" t="s">
        <v>15956</v>
      </c>
      <c r="D322" t="s">
        <v>4215</v>
      </c>
      <c r="E322" t="s">
        <v>17334</v>
      </c>
      <c r="F322">
        <v>3</v>
      </c>
      <c r="N322" t="s">
        <v>15956</v>
      </c>
    </row>
    <row r="323" spans="1:14">
      <c r="A323" t="s">
        <v>16893</v>
      </c>
      <c r="B323">
        <v>1</v>
      </c>
      <c r="C323" t="s">
        <v>15957</v>
      </c>
      <c r="D323" t="s">
        <v>4215</v>
      </c>
      <c r="E323" t="s">
        <v>17334</v>
      </c>
      <c r="F323">
        <v>3</v>
      </c>
      <c r="N323" t="s">
        <v>15957</v>
      </c>
    </row>
    <row r="324" spans="1:14">
      <c r="A324" t="s">
        <v>16690</v>
      </c>
      <c r="B324">
        <v>1</v>
      </c>
      <c r="C324" t="s">
        <v>15958</v>
      </c>
      <c r="D324" t="s">
        <v>4215</v>
      </c>
      <c r="E324" t="s">
        <v>17334</v>
      </c>
      <c r="F324">
        <v>3</v>
      </c>
      <c r="N324" t="s">
        <v>15958</v>
      </c>
    </row>
    <row r="325" spans="1:14">
      <c r="A325" t="s">
        <v>16699</v>
      </c>
      <c r="B325">
        <v>1</v>
      </c>
      <c r="C325" t="s">
        <v>15959</v>
      </c>
      <c r="D325" t="s">
        <v>4215</v>
      </c>
      <c r="E325" t="s">
        <v>17334</v>
      </c>
      <c r="F325">
        <v>3</v>
      </c>
      <c r="N325" t="s">
        <v>15959</v>
      </c>
    </row>
    <row r="326" spans="1:14">
      <c r="A326" t="s">
        <v>16708</v>
      </c>
      <c r="B326">
        <v>1</v>
      </c>
      <c r="C326" t="s">
        <v>15960</v>
      </c>
      <c r="D326" t="s">
        <v>4215</v>
      </c>
      <c r="E326" t="s">
        <v>17334</v>
      </c>
      <c r="F326">
        <v>3</v>
      </c>
      <c r="N326" t="s">
        <v>15960</v>
      </c>
    </row>
    <row r="327" spans="1:14">
      <c r="A327" t="s">
        <v>16717</v>
      </c>
      <c r="B327">
        <v>1</v>
      </c>
      <c r="C327" t="s">
        <v>15961</v>
      </c>
      <c r="D327" t="s">
        <v>4215</v>
      </c>
      <c r="E327" t="s">
        <v>17334</v>
      </c>
      <c r="F327">
        <v>3</v>
      </c>
      <c r="N327" t="s">
        <v>15961</v>
      </c>
    </row>
    <row r="328" spans="1:14">
      <c r="A328" t="s">
        <v>16726</v>
      </c>
      <c r="B328">
        <v>1</v>
      </c>
      <c r="C328" t="s">
        <v>15962</v>
      </c>
      <c r="D328" t="s">
        <v>4215</v>
      </c>
      <c r="E328" t="s">
        <v>17334</v>
      </c>
      <c r="F328">
        <v>3</v>
      </c>
      <c r="N328" t="s">
        <v>15962</v>
      </c>
    </row>
    <row r="329" spans="1:14">
      <c r="A329" t="s">
        <v>16735</v>
      </c>
      <c r="B329">
        <v>1</v>
      </c>
      <c r="C329" t="s">
        <v>15963</v>
      </c>
      <c r="D329" t="s">
        <v>4215</v>
      </c>
      <c r="E329" t="s">
        <v>17334</v>
      </c>
      <c r="F329">
        <v>3</v>
      </c>
      <c r="N329" t="s">
        <v>15963</v>
      </c>
    </row>
    <row r="330" spans="1:14">
      <c r="A330" t="s">
        <v>16744</v>
      </c>
      <c r="B330">
        <v>1</v>
      </c>
      <c r="C330" t="s">
        <v>15964</v>
      </c>
      <c r="D330" t="s">
        <v>4215</v>
      </c>
      <c r="E330" t="s">
        <v>17334</v>
      </c>
      <c r="F330">
        <v>3</v>
      </c>
      <c r="N330" t="s">
        <v>15964</v>
      </c>
    </row>
    <row r="331" spans="1:14">
      <c r="A331" t="s">
        <v>16753</v>
      </c>
      <c r="B331">
        <v>1</v>
      </c>
      <c r="C331" t="s">
        <v>15965</v>
      </c>
      <c r="D331" t="s">
        <v>4215</v>
      </c>
      <c r="E331" t="s">
        <v>17334</v>
      </c>
      <c r="F331">
        <v>3</v>
      </c>
      <c r="N331" t="s">
        <v>15965</v>
      </c>
    </row>
    <row r="332" spans="1:14">
      <c r="A332" t="s">
        <v>16761</v>
      </c>
      <c r="B332">
        <v>1</v>
      </c>
      <c r="C332" t="s">
        <v>15966</v>
      </c>
      <c r="D332" t="s">
        <v>4215</v>
      </c>
      <c r="E332" t="s">
        <v>17334</v>
      </c>
      <c r="F332">
        <v>3</v>
      </c>
      <c r="N332" t="s">
        <v>15966</v>
      </c>
    </row>
    <row r="333" spans="1:14">
      <c r="A333" t="s">
        <v>16768</v>
      </c>
      <c r="B333">
        <v>1</v>
      </c>
      <c r="C333" t="s">
        <v>15967</v>
      </c>
      <c r="D333" t="s">
        <v>4215</v>
      </c>
      <c r="E333" t="s">
        <v>17334</v>
      </c>
      <c r="F333">
        <v>3</v>
      </c>
      <c r="N333" t="s">
        <v>15967</v>
      </c>
    </row>
    <row r="334" spans="1:14">
      <c r="A334" t="s">
        <v>16775</v>
      </c>
      <c r="B334">
        <v>1</v>
      </c>
      <c r="C334" t="s">
        <v>15968</v>
      </c>
      <c r="D334" t="s">
        <v>4215</v>
      </c>
      <c r="E334" t="s">
        <v>17334</v>
      </c>
      <c r="F334">
        <v>3</v>
      </c>
      <c r="N334" t="s">
        <v>15968</v>
      </c>
    </row>
    <row r="335" spans="1:14">
      <c r="A335" t="s">
        <v>16782</v>
      </c>
      <c r="B335">
        <v>1</v>
      </c>
      <c r="C335" t="s">
        <v>15969</v>
      </c>
      <c r="D335" t="s">
        <v>4215</v>
      </c>
      <c r="E335" t="s">
        <v>17334</v>
      </c>
      <c r="F335">
        <v>3</v>
      </c>
      <c r="N335" t="s">
        <v>15969</v>
      </c>
    </row>
    <row r="336" spans="1:14">
      <c r="A336" t="s">
        <v>16789</v>
      </c>
      <c r="B336">
        <v>1</v>
      </c>
      <c r="C336" t="s">
        <v>15970</v>
      </c>
      <c r="D336" t="s">
        <v>4215</v>
      </c>
      <c r="E336" t="s">
        <v>17334</v>
      </c>
      <c r="F336">
        <v>3</v>
      </c>
      <c r="N336" t="s">
        <v>15970</v>
      </c>
    </row>
    <row r="337" spans="1:14">
      <c r="A337" t="s">
        <v>16796</v>
      </c>
      <c r="B337">
        <v>1</v>
      </c>
      <c r="C337" t="s">
        <v>15971</v>
      </c>
      <c r="D337" t="s">
        <v>4215</v>
      </c>
      <c r="E337" t="s">
        <v>17334</v>
      </c>
      <c r="F337">
        <v>3</v>
      </c>
      <c r="N337" t="s">
        <v>15971</v>
      </c>
    </row>
    <row r="338" spans="1:14">
      <c r="A338" t="s">
        <v>16803</v>
      </c>
      <c r="B338">
        <v>1</v>
      </c>
      <c r="C338" t="s">
        <v>15972</v>
      </c>
      <c r="D338" t="s">
        <v>4215</v>
      </c>
      <c r="E338" t="s">
        <v>17334</v>
      </c>
      <c r="F338">
        <v>3</v>
      </c>
      <c r="N338" t="s">
        <v>15972</v>
      </c>
    </row>
    <row r="339" spans="1:14">
      <c r="A339" t="s">
        <v>16810</v>
      </c>
      <c r="B339">
        <v>1</v>
      </c>
      <c r="C339" t="s">
        <v>15973</v>
      </c>
      <c r="D339" t="s">
        <v>4215</v>
      </c>
      <c r="E339" t="s">
        <v>17334</v>
      </c>
      <c r="F339">
        <v>3</v>
      </c>
      <c r="N339" t="s">
        <v>15973</v>
      </c>
    </row>
    <row r="340" spans="1:14">
      <c r="A340" t="s">
        <v>16817</v>
      </c>
      <c r="B340">
        <v>1</v>
      </c>
      <c r="C340" t="s">
        <v>15974</v>
      </c>
      <c r="D340" t="s">
        <v>4215</v>
      </c>
      <c r="E340" t="s">
        <v>17334</v>
      </c>
      <c r="F340">
        <v>3</v>
      </c>
      <c r="N340" t="s">
        <v>15974</v>
      </c>
    </row>
    <row r="341" spans="1:14">
      <c r="A341" t="s">
        <v>16824</v>
      </c>
      <c r="B341">
        <v>1</v>
      </c>
      <c r="C341" t="s">
        <v>15975</v>
      </c>
      <c r="D341" t="s">
        <v>4215</v>
      </c>
      <c r="E341" t="s">
        <v>17334</v>
      </c>
      <c r="F341">
        <v>3</v>
      </c>
      <c r="N341" t="s">
        <v>15975</v>
      </c>
    </row>
    <row r="342" spans="1:14">
      <c r="A342" t="s">
        <v>16831</v>
      </c>
      <c r="B342">
        <v>1</v>
      </c>
      <c r="C342" t="s">
        <v>15976</v>
      </c>
      <c r="D342" t="s">
        <v>4215</v>
      </c>
      <c r="E342" t="s">
        <v>17334</v>
      </c>
      <c r="F342">
        <v>3</v>
      </c>
      <c r="N342" t="s">
        <v>15976</v>
      </c>
    </row>
    <row r="343" spans="1:14">
      <c r="A343" t="s">
        <v>16838</v>
      </c>
      <c r="B343">
        <v>1</v>
      </c>
      <c r="C343" t="s">
        <v>15977</v>
      </c>
      <c r="D343" t="s">
        <v>4215</v>
      </c>
      <c r="E343" t="s">
        <v>17334</v>
      </c>
      <c r="F343">
        <v>3</v>
      </c>
      <c r="N343" t="s">
        <v>15977</v>
      </c>
    </row>
    <row r="344" spans="1:14">
      <c r="A344" t="s">
        <v>16845</v>
      </c>
      <c r="B344">
        <v>1</v>
      </c>
      <c r="C344" t="s">
        <v>15978</v>
      </c>
      <c r="D344" t="s">
        <v>4215</v>
      </c>
      <c r="E344" t="s">
        <v>17334</v>
      </c>
      <c r="F344">
        <v>3</v>
      </c>
      <c r="N344" t="s">
        <v>15978</v>
      </c>
    </row>
    <row r="345" spans="1:14">
      <c r="A345" t="s">
        <v>16852</v>
      </c>
      <c r="B345">
        <v>1</v>
      </c>
      <c r="C345" t="s">
        <v>15979</v>
      </c>
      <c r="D345" t="s">
        <v>4215</v>
      </c>
      <c r="E345" t="s">
        <v>17334</v>
      </c>
      <c r="F345">
        <v>3</v>
      </c>
      <c r="N345" t="s">
        <v>15979</v>
      </c>
    </row>
    <row r="346" spans="1:14">
      <c r="A346" t="s">
        <v>16859</v>
      </c>
      <c r="B346">
        <v>1</v>
      </c>
      <c r="C346" t="s">
        <v>15980</v>
      </c>
      <c r="D346" t="s">
        <v>4215</v>
      </c>
      <c r="E346" t="s">
        <v>17334</v>
      </c>
      <c r="F346">
        <v>3</v>
      </c>
      <c r="N346" t="s">
        <v>15980</v>
      </c>
    </row>
    <row r="347" spans="1:14">
      <c r="A347" t="s">
        <v>16866</v>
      </c>
      <c r="B347">
        <v>1</v>
      </c>
      <c r="C347" t="s">
        <v>15981</v>
      </c>
      <c r="D347" t="s">
        <v>4215</v>
      </c>
      <c r="E347" t="s">
        <v>17334</v>
      </c>
      <c r="F347">
        <v>3</v>
      </c>
      <c r="N347" t="s">
        <v>15981</v>
      </c>
    </row>
    <row r="348" spans="1:14">
      <c r="A348" t="s">
        <v>16873</v>
      </c>
      <c r="B348">
        <v>1</v>
      </c>
      <c r="C348" t="s">
        <v>15982</v>
      </c>
      <c r="D348" t="s">
        <v>4215</v>
      </c>
      <c r="E348" t="s">
        <v>17334</v>
      </c>
      <c r="F348">
        <v>3</v>
      </c>
      <c r="N348" t="s">
        <v>15982</v>
      </c>
    </row>
    <row r="349" spans="1:14">
      <c r="A349" t="s">
        <v>16880</v>
      </c>
      <c r="B349">
        <v>1</v>
      </c>
      <c r="C349" t="s">
        <v>15983</v>
      </c>
      <c r="D349" t="s">
        <v>4215</v>
      </c>
      <c r="E349" t="s">
        <v>17334</v>
      </c>
      <c r="F349">
        <v>3</v>
      </c>
      <c r="N349" t="s">
        <v>15983</v>
      </c>
    </row>
    <row r="350" spans="1:14">
      <c r="A350" t="s">
        <v>16887</v>
      </c>
      <c r="B350">
        <v>1</v>
      </c>
      <c r="C350" t="s">
        <v>15984</v>
      </c>
      <c r="D350" t="s">
        <v>4215</v>
      </c>
      <c r="E350" t="s">
        <v>17334</v>
      </c>
      <c r="F350">
        <v>3</v>
      </c>
      <c r="N350" t="s">
        <v>15984</v>
      </c>
    </row>
    <row r="351" spans="1:14">
      <c r="A351" t="s">
        <v>16894</v>
      </c>
      <c r="B351">
        <v>1</v>
      </c>
      <c r="C351" t="s">
        <v>15985</v>
      </c>
      <c r="D351" t="s">
        <v>4215</v>
      </c>
      <c r="E351" t="s">
        <v>17334</v>
      </c>
      <c r="F351">
        <v>3</v>
      </c>
      <c r="N351" t="s">
        <v>15985</v>
      </c>
    </row>
    <row r="352" spans="1:14">
      <c r="A352" t="s">
        <v>16691</v>
      </c>
      <c r="B352">
        <v>1</v>
      </c>
      <c r="C352" t="s">
        <v>15986</v>
      </c>
      <c r="D352" t="s">
        <v>4215</v>
      </c>
      <c r="E352" t="s">
        <v>17334</v>
      </c>
      <c r="F352">
        <v>3</v>
      </c>
      <c r="N352" t="s">
        <v>15986</v>
      </c>
    </row>
    <row r="353" spans="1:14">
      <c r="A353" t="s">
        <v>16700</v>
      </c>
      <c r="B353">
        <v>1</v>
      </c>
      <c r="C353" t="s">
        <v>15987</v>
      </c>
      <c r="D353" t="s">
        <v>4215</v>
      </c>
      <c r="E353" t="s">
        <v>17334</v>
      </c>
      <c r="F353">
        <v>3</v>
      </c>
      <c r="N353" t="s">
        <v>15987</v>
      </c>
    </row>
    <row r="354" spans="1:14">
      <c r="A354" t="s">
        <v>16709</v>
      </c>
      <c r="B354">
        <v>1</v>
      </c>
      <c r="C354" t="s">
        <v>15988</v>
      </c>
      <c r="D354" t="s">
        <v>4215</v>
      </c>
      <c r="E354" t="s">
        <v>17334</v>
      </c>
      <c r="F354">
        <v>3</v>
      </c>
      <c r="N354" t="s">
        <v>15988</v>
      </c>
    </row>
    <row r="355" spans="1:14">
      <c r="A355" t="s">
        <v>16718</v>
      </c>
      <c r="B355">
        <v>1</v>
      </c>
      <c r="C355" t="s">
        <v>15989</v>
      </c>
      <c r="D355" t="s">
        <v>4215</v>
      </c>
      <c r="E355" t="s">
        <v>17334</v>
      </c>
      <c r="F355">
        <v>3</v>
      </c>
      <c r="N355" t="s">
        <v>15989</v>
      </c>
    </row>
    <row r="356" spans="1:14">
      <c r="A356" t="s">
        <v>16727</v>
      </c>
      <c r="B356">
        <v>1</v>
      </c>
      <c r="C356" t="s">
        <v>15990</v>
      </c>
      <c r="D356" t="s">
        <v>4215</v>
      </c>
      <c r="E356" t="s">
        <v>17334</v>
      </c>
      <c r="F356">
        <v>3</v>
      </c>
      <c r="N356" t="s">
        <v>15990</v>
      </c>
    </row>
    <row r="357" spans="1:14">
      <c r="A357" t="s">
        <v>16736</v>
      </c>
      <c r="B357">
        <v>1</v>
      </c>
      <c r="C357" t="s">
        <v>15991</v>
      </c>
      <c r="D357" t="s">
        <v>4215</v>
      </c>
      <c r="E357" t="s">
        <v>17334</v>
      </c>
      <c r="F357">
        <v>3</v>
      </c>
      <c r="N357" t="s">
        <v>15991</v>
      </c>
    </row>
    <row r="358" spans="1:14">
      <c r="A358" t="s">
        <v>16745</v>
      </c>
      <c r="B358">
        <v>1</v>
      </c>
      <c r="C358" t="s">
        <v>15992</v>
      </c>
      <c r="D358" t="s">
        <v>4215</v>
      </c>
      <c r="E358" t="s">
        <v>17334</v>
      </c>
      <c r="F358">
        <v>3</v>
      </c>
      <c r="N358" t="s">
        <v>15992</v>
      </c>
    </row>
    <row r="359" spans="1:14">
      <c r="A359" t="s">
        <v>16754</v>
      </c>
      <c r="B359">
        <v>1</v>
      </c>
      <c r="C359" t="s">
        <v>15993</v>
      </c>
      <c r="D359" t="s">
        <v>4215</v>
      </c>
      <c r="E359" t="s">
        <v>17334</v>
      </c>
      <c r="F359">
        <v>3</v>
      </c>
      <c r="N359" t="s">
        <v>15993</v>
      </c>
    </row>
    <row r="360" spans="1:14">
      <c r="A360" t="s">
        <v>16762</v>
      </c>
      <c r="B360">
        <v>1</v>
      </c>
      <c r="C360" t="s">
        <v>15994</v>
      </c>
      <c r="D360" t="s">
        <v>4215</v>
      </c>
      <c r="E360" t="s">
        <v>17334</v>
      </c>
      <c r="F360">
        <v>3</v>
      </c>
      <c r="N360" t="s">
        <v>15994</v>
      </c>
    </row>
    <row r="361" spans="1:14">
      <c r="A361" t="s">
        <v>16769</v>
      </c>
      <c r="B361">
        <v>1</v>
      </c>
      <c r="C361" t="s">
        <v>15995</v>
      </c>
      <c r="D361" t="s">
        <v>4215</v>
      </c>
      <c r="E361" t="s">
        <v>17334</v>
      </c>
      <c r="F361">
        <v>3</v>
      </c>
      <c r="N361" t="s">
        <v>15995</v>
      </c>
    </row>
    <row r="362" spans="1:14">
      <c r="A362" t="s">
        <v>16776</v>
      </c>
      <c r="B362">
        <v>1</v>
      </c>
      <c r="C362" t="s">
        <v>15996</v>
      </c>
      <c r="D362" t="s">
        <v>4215</v>
      </c>
      <c r="E362" t="s">
        <v>17334</v>
      </c>
      <c r="F362">
        <v>3</v>
      </c>
      <c r="N362" t="s">
        <v>15996</v>
      </c>
    </row>
    <row r="363" spans="1:14">
      <c r="A363" t="s">
        <v>16783</v>
      </c>
      <c r="B363">
        <v>1</v>
      </c>
      <c r="C363" t="s">
        <v>15997</v>
      </c>
      <c r="D363" t="s">
        <v>4215</v>
      </c>
      <c r="E363" t="s">
        <v>17334</v>
      </c>
      <c r="F363">
        <v>3</v>
      </c>
      <c r="N363" t="s">
        <v>15997</v>
      </c>
    </row>
    <row r="364" spans="1:14">
      <c r="A364" t="s">
        <v>16790</v>
      </c>
      <c r="B364">
        <v>1</v>
      </c>
      <c r="C364" t="s">
        <v>15998</v>
      </c>
      <c r="D364" t="s">
        <v>4215</v>
      </c>
      <c r="E364" t="s">
        <v>17334</v>
      </c>
      <c r="F364">
        <v>3</v>
      </c>
      <c r="N364" t="s">
        <v>15998</v>
      </c>
    </row>
    <row r="365" spans="1:14">
      <c r="A365" t="s">
        <v>16797</v>
      </c>
      <c r="B365">
        <v>1</v>
      </c>
      <c r="C365" t="s">
        <v>15999</v>
      </c>
      <c r="D365" t="s">
        <v>4215</v>
      </c>
      <c r="E365" t="s">
        <v>17334</v>
      </c>
      <c r="F365">
        <v>3</v>
      </c>
      <c r="N365" t="s">
        <v>15999</v>
      </c>
    </row>
    <row r="366" spans="1:14">
      <c r="A366" t="s">
        <v>16804</v>
      </c>
      <c r="B366">
        <v>1</v>
      </c>
      <c r="C366" t="s">
        <v>16000</v>
      </c>
      <c r="D366" t="s">
        <v>4215</v>
      </c>
      <c r="E366" t="s">
        <v>17334</v>
      </c>
      <c r="F366">
        <v>3</v>
      </c>
      <c r="N366" t="s">
        <v>16000</v>
      </c>
    </row>
    <row r="367" spans="1:14">
      <c r="A367" t="s">
        <v>16811</v>
      </c>
      <c r="B367">
        <v>1</v>
      </c>
      <c r="C367" t="s">
        <v>16001</v>
      </c>
      <c r="D367" t="s">
        <v>4215</v>
      </c>
      <c r="E367" t="s">
        <v>17334</v>
      </c>
      <c r="F367">
        <v>3</v>
      </c>
      <c r="N367" t="s">
        <v>16001</v>
      </c>
    </row>
    <row r="368" spans="1:14">
      <c r="A368" t="s">
        <v>16818</v>
      </c>
      <c r="B368">
        <v>1</v>
      </c>
      <c r="C368" t="s">
        <v>16002</v>
      </c>
      <c r="D368" t="s">
        <v>4215</v>
      </c>
      <c r="E368" t="s">
        <v>17334</v>
      </c>
      <c r="F368">
        <v>3</v>
      </c>
      <c r="N368" t="s">
        <v>16002</v>
      </c>
    </row>
    <row r="369" spans="1:14">
      <c r="A369" t="s">
        <v>16825</v>
      </c>
      <c r="B369">
        <v>1</v>
      </c>
      <c r="C369" t="s">
        <v>16003</v>
      </c>
      <c r="D369" t="s">
        <v>4215</v>
      </c>
      <c r="E369" t="s">
        <v>17334</v>
      </c>
      <c r="F369">
        <v>3</v>
      </c>
      <c r="N369" t="s">
        <v>16003</v>
      </c>
    </row>
    <row r="370" spans="1:14">
      <c r="A370" t="s">
        <v>16832</v>
      </c>
      <c r="B370">
        <v>1</v>
      </c>
      <c r="C370" t="s">
        <v>16004</v>
      </c>
      <c r="D370" t="s">
        <v>4215</v>
      </c>
      <c r="E370" t="s">
        <v>17334</v>
      </c>
      <c r="F370">
        <v>3</v>
      </c>
      <c r="N370" t="s">
        <v>16004</v>
      </c>
    </row>
    <row r="371" spans="1:14">
      <c r="A371" t="s">
        <v>16839</v>
      </c>
      <c r="B371">
        <v>1</v>
      </c>
      <c r="C371" t="s">
        <v>16005</v>
      </c>
      <c r="D371" t="s">
        <v>4215</v>
      </c>
      <c r="E371" t="s">
        <v>17334</v>
      </c>
      <c r="F371">
        <v>3</v>
      </c>
      <c r="N371" t="s">
        <v>16005</v>
      </c>
    </row>
    <row r="372" spans="1:14">
      <c r="A372" t="s">
        <v>16846</v>
      </c>
      <c r="B372">
        <v>1</v>
      </c>
      <c r="C372" t="s">
        <v>16006</v>
      </c>
      <c r="D372" t="s">
        <v>4215</v>
      </c>
      <c r="E372" t="s">
        <v>17334</v>
      </c>
      <c r="F372">
        <v>3</v>
      </c>
      <c r="N372" t="s">
        <v>16006</v>
      </c>
    </row>
    <row r="373" spans="1:14">
      <c r="A373" t="s">
        <v>16853</v>
      </c>
      <c r="B373">
        <v>1</v>
      </c>
      <c r="C373" t="s">
        <v>16007</v>
      </c>
      <c r="D373" t="s">
        <v>4215</v>
      </c>
      <c r="E373" t="s">
        <v>17334</v>
      </c>
      <c r="F373">
        <v>3</v>
      </c>
      <c r="N373" t="s">
        <v>16007</v>
      </c>
    </row>
    <row r="374" spans="1:14">
      <c r="A374" t="s">
        <v>16860</v>
      </c>
      <c r="B374">
        <v>1</v>
      </c>
      <c r="C374" t="s">
        <v>16008</v>
      </c>
      <c r="D374" t="s">
        <v>4215</v>
      </c>
      <c r="E374" t="s">
        <v>17334</v>
      </c>
      <c r="F374">
        <v>3</v>
      </c>
      <c r="N374" t="s">
        <v>16008</v>
      </c>
    </row>
    <row r="375" spans="1:14">
      <c r="A375" t="s">
        <v>16867</v>
      </c>
      <c r="B375">
        <v>1</v>
      </c>
      <c r="C375" t="s">
        <v>16009</v>
      </c>
      <c r="D375" t="s">
        <v>4215</v>
      </c>
      <c r="E375" t="s">
        <v>17334</v>
      </c>
      <c r="F375">
        <v>3</v>
      </c>
      <c r="N375" t="s">
        <v>16009</v>
      </c>
    </row>
    <row r="376" spans="1:14">
      <c r="A376" t="s">
        <v>16874</v>
      </c>
      <c r="B376">
        <v>1</v>
      </c>
      <c r="C376" t="s">
        <v>16010</v>
      </c>
      <c r="D376" t="s">
        <v>4215</v>
      </c>
      <c r="E376" t="s">
        <v>17334</v>
      </c>
      <c r="F376">
        <v>3</v>
      </c>
      <c r="N376" t="s">
        <v>16010</v>
      </c>
    </row>
    <row r="377" spans="1:14">
      <c r="A377" t="s">
        <v>16881</v>
      </c>
      <c r="B377">
        <v>1</v>
      </c>
      <c r="C377" t="s">
        <v>16011</v>
      </c>
      <c r="D377" t="s">
        <v>4215</v>
      </c>
      <c r="E377" t="s">
        <v>17334</v>
      </c>
      <c r="F377">
        <v>3</v>
      </c>
      <c r="N377" t="s">
        <v>16011</v>
      </c>
    </row>
    <row r="378" spans="1:14">
      <c r="A378" t="s">
        <v>16888</v>
      </c>
      <c r="B378">
        <v>1</v>
      </c>
      <c r="C378" t="s">
        <v>16012</v>
      </c>
      <c r="D378" t="s">
        <v>4215</v>
      </c>
      <c r="E378" t="s">
        <v>17334</v>
      </c>
      <c r="F378">
        <v>3</v>
      </c>
      <c r="N378" t="s">
        <v>16012</v>
      </c>
    </row>
    <row r="379" spans="1:14">
      <c r="A379" t="s">
        <v>16895</v>
      </c>
      <c r="B379">
        <v>1</v>
      </c>
      <c r="C379" t="s">
        <v>16013</v>
      </c>
      <c r="D379" t="s">
        <v>4215</v>
      </c>
      <c r="E379" t="s">
        <v>17334</v>
      </c>
      <c r="F379">
        <v>3</v>
      </c>
      <c r="N379" t="s">
        <v>16013</v>
      </c>
    </row>
    <row r="380" spans="1:14">
      <c r="A380" t="s">
        <v>16692</v>
      </c>
      <c r="B380">
        <v>1</v>
      </c>
      <c r="C380" t="s">
        <v>16014</v>
      </c>
      <c r="D380" t="s">
        <v>4215</v>
      </c>
      <c r="E380" t="s">
        <v>17334</v>
      </c>
      <c r="F380">
        <v>3</v>
      </c>
      <c r="N380" t="s">
        <v>16014</v>
      </c>
    </row>
    <row r="381" spans="1:14">
      <c r="A381" t="s">
        <v>16701</v>
      </c>
      <c r="B381">
        <v>1</v>
      </c>
      <c r="C381" t="s">
        <v>16015</v>
      </c>
      <c r="D381" t="s">
        <v>4215</v>
      </c>
      <c r="E381" t="s">
        <v>17334</v>
      </c>
      <c r="F381">
        <v>3</v>
      </c>
      <c r="N381" t="s">
        <v>16015</v>
      </c>
    </row>
    <row r="382" spans="1:14">
      <c r="A382" t="s">
        <v>16710</v>
      </c>
      <c r="B382">
        <v>1</v>
      </c>
      <c r="C382" t="s">
        <v>16016</v>
      </c>
      <c r="D382" t="s">
        <v>4215</v>
      </c>
      <c r="E382" t="s">
        <v>17334</v>
      </c>
      <c r="F382">
        <v>3</v>
      </c>
      <c r="N382" t="s">
        <v>16016</v>
      </c>
    </row>
    <row r="383" spans="1:14">
      <c r="A383" t="s">
        <v>16719</v>
      </c>
      <c r="B383">
        <v>1</v>
      </c>
      <c r="C383" t="s">
        <v>16017</v>
      </c>
      <c r="D383" t="s">
        <v>4215</v>
      </c>
      <c r="E383" t="s">
        <v>17334</v>
      </c>
      <c r="F383">
        <v>3</v>
      </c>
      <c r="N383" t="s">
        <v>16017</v>
      </c>
    </row>
    <row r="384" spans="1:14">
      <c r="A384" t="s">
        <v>16728</v>
      </c>
      <c r="B384">
        <v>1</v>
      </c>
      <c r="C384" t="s">
        <v>16018</v>
      </c>
      <c r="D384" t="s">
        <v>4215</v>
      </c>
      <c r="E384" t="s">
        <v>17334</v>
      </c>
      <c r="F384">
        <v>3</v>
      </c>
      <c r="N384" t="s">
        <v>16018</v>
      </c>
    </row>
    <row r="385" spans="1:14">
      <c r="A385" t="s">
        <v>16737</v>
      </c>
      <c r="B385">
        <v>1</v>
      </c>
      <c r="C385" t="s">
        <v>16019</v>
      </c>
      <c r="D385" t="s">
        <v>4215</v>
      </c>
      <c r="E385" t="s">
        <v>17334</v>
      </c>
      <c r="F385">
        <v>3</v>
      </c>
      <c r="N385" t="s">
        <v>16019</v>
      </c>
    </row>
    <row r="386" spans="1:14">
      <c r="A386" t="s">
        <v>16746</v>
      </c>
      <c r="B386">
        <v>1</v>
      </c>
      <c r="C386" t="s">
        <v>16020</v>
      </c>
      <c r="D386" t="s">
        <v>4215</v>
      </c>
      <c r="E386" t="s">
        <v>17334</v>
      </c>
      <c r="F386">
        <v>3</v>
      </c>
      <c r="N386" t="s">
        <v>16020</v>
      </c>
    </row>
    <row r="387" spans="1:14">
      <c r="A387" t="s">
        <v>16755</v>
      </c>
      <c r="B387">
        <v>1</v>
      </c>
      <c r="C387" t="s">
        <v>16021</v>
      </c>
      <c r="D387" t="s">
        <v>4215</v>
      </c>
      <c r="E387" t="s">
        <v>17334</v>
      </c>
      <c r="F387">
        <v>3</v>
      </c>
      <c r="N387" t="s">
        <v>16021</v>
      </c>
    </row>
    <row r="388" spans="1:14">
      <c r="A388" t="s">
        <v>16763</v>
      </c>
      <c r="B388">
        <v>1</v>
      </c>
      <c r="C388" t="s">
        <v>16022</v>
      </c>
      <c r="D388" t="s">
        <v>4215</v>
      </c>
      <c r="E388" t="s">
        <v>17334</v>
      </c>
      <c r="F388">
        <v>3</v>
      </c>
      <c r="N388" t="s">
        <v>16022</v>
      </c>
    </row>
    <row r="389" spans="1:14">
      <c r="A389" t="s">
        <v>16770</v>
      </c>
      <c r="B389">
        <v>1</v>
      </c>
      <c r="C389" t="s">
        <v>16023</v>
      </c>
      <c r="D389" t="s">
        <v>4215</v>
      </c>
      <c r="E389" t="s">
        <v>17334</v>
      </c>
      <c r="F389">
        <v>3</v>
      </c>
      <c r="N389" t="s">
        <v>16023</v>
      </c>
    </row>
    <row r="390" spans="1:14">
      <c r="A390" t="s">
        <v>16777</v>
      </c>
      <c r="B390">
        <v>1</v>
      </c>
      <c r="C390" t="s">
        <v>16024</v>
      </c>
      <c r="D390" t="s">
        <v>4215</v>
      </c>
      <c r="E390" t="s">
        <v>17334</v>
      </c>
      <c r="F390">
        <v>3</v>
      </c>
      <c r="N390" t="s">
        <v>16024</v>
      </c>
    </row>
    <row r="391" spans="1:14">
      <c r="A391" t="s">
        <v>16784</v>
      </c>
      <c r="B391">
        <v>1</v>
      </c>
      <c r="C391" t="s">
        <v>16025</v>
      </c>
      <c r="D391" t="s">
        <v>4215</v>
      </c>
      <c r="E391" t="s">
        <v>17334</v>
      </c>
      <c r="F391">
        <v>3</v>
      </c>
      <c r="N391" t="s">
        <v>16025</v>
      </c>
    </row>
    <row r="392" spans="1:14">
      <c r="A392" t="s">
        <v>16791</v>
      </c>
      <c r="B392">
        <v>1</v>
      </c>
      <c r="C392" t="s">
        <v>16026</v>
      </c>
      <c r="D392" t="s">
        <v>4215</v>
      </c>
      <c r="E392" t="s">
        <v>17334</v>
      </c>
      <c r="F392">
        <v>3</v>
      </c>
      <c r="N392" t="s">
        <v>16026</v>
      </c>
    </row>
    <row r="393" spans="1:14">
      <c r="A393" t="s">
        <v>16798</v>
      </c>
      <c r="B393">
        <v>1</v>
      </c>
      <c r="C393" t="s">
        <v>16027</v>
      </c>
      <c r="D393" t="s">
        <v>4215</v>
      </c>
      <c r="E393" t="s">
        <v>17334</v>
      </c>
      <c r="F393">
        <v>3</v>
      </c>
      <c r="N393" t="s">
        <v>16027</v>
      </c>
    </row>
    <row r="394" spans="1:14">
      <c r="A394" t="s">
        <v>16805</v>
      </c>
      <c r="B394">
        <v>1</v>
      </c>
      <c r="C394" t="s">
        <v>16028</v>
      </c>
      <c r="D394" t="s">
        <v>4215</v>
      </c>
      <c r="E394" t="s">
        <v>17334</v>
      </c>
      <c r="F394">
        <v>3</v>
      </c>
      <c r="N394" t="s">
        <v>16028</v>
      </c>
    </row>
    <row r="395" spans="1:14">
      <c r="A395" t="s">
        <v>16812</v>
      </c>
      <c r="B395">
        <v>1</v>
      </c>
      <c r="C395" t="s">
        <v>16029</v>
      </c>
      <c r="D395" t="s">
        <v>4215</v>
      </c>
      <c r="E395" t="s">
        <v>17334</v>
      </c>
      <c r="F395">
        <v>3</v>
      </c>
      <c r="N395" t="s">
        <v>16029</v>
      </c>
    </row>
    <row r="396" spans="1:14">
      <c r="A396" t="s">
        <v>16819</v>
      </c>
      <c r="B396">
        <v>1</v>
      </c>
      <c r="C396" t="s">
        <v>16030</v>
      </c>
      <c r="D396" t="s">
        <v>4215</v>
      </c>
      <c r="E396" t="s">
        <v>17334</v>
      </c>
      <c r="F396">
        <v>3</v>
      </c>
      <c r="N396" t="s">
        <v>16030</v>
      </c>
    </row>
    <row r="397" spans="1:14">
      <c r="A397" t="s">
        <v>16826</v>
      </c>
      <c r="B397">
        <v>1</v>
      </c>
      <c r="C397" t="s">
        <v>16031</v>
      </c>
      <c r="D397" t="s">
        <v>4215</v>
      </c>
      <c r="E397" t="s">
        <v>17334</v>
      </c>
      <c r="F397">
        <v>3</v>
      </c>
      <c r="N397" t="s">
        <v>16031</v>
      </c>
    </row>
    <row r="398" spans="1:14">
      <c r="A398" t="s">
        <v>16833</v>
      </c>
      <c r="B398">
        <v>1</v>
      </c>
      <c r="C398" t="s">
        <v>16032</v>
      </c>
      <c r="D398" t="s">
        <v>4215</v>
      </c>
      <c r="E398" t="s">
        <v>17334</v>
      </c>
      <c r="F398">
        <v>3</v>
      </c>
      <c r="N398" t="s">
        <v>16032</v>
      </c>
    </row>
    <row r="399" spans="1:14">
      <c r="A399" t="s">
        <v>16840</v>
      </c>
      <c r="B399">
        <v>1</v>
      </c>
      <c r="C399" t="s">
        <v>16033</v>
      </c>
      <c r="D399" t="s">
        <v>4215</v>
      </c>
      <c r="E399" t="s">
        <v>17334</v>
      </c>
      <c r="F399">
        <v>3</v>
      </c>
      <c r="N399" t="s">
        <v>16033</v>
      </c>
    </row>
    <row r="400" spans="1:14">
      <c r="A400" t="s">
        <v>16847</v>
      </c>
      <c r="B400">
        <v>1</v>
      </c>
      <c r="C400" t="s">
        <v>16034</v>
      </c>
      <c r="D400" t="s">
        <v>4215</v>
      </c>
      <c r="E400" t="s">
        <v>17334</v>
      </c>
      <c r="F400">
        <v>3</v>
      </c>
      <c r="N400" t="s">
        <v>16034</v>
      </c>
    </row>
    <row r="401" spans="1:14">
      <c r="A401" t="s">
        <v>16854</v>
      </c>
      <c r="B401">
        <v>1</v>
      </c>
      <c r="C401" t="s">
        <v>16035</v>
      </c>
      <c r="D401" t="s">
        <v>4215</v>
      </c>
      <c r="E401" t="s">
        <v>17334</v>
      </c>
      <c r="F401">
        <v>3</v>
      </c>
      <c r="N401" t="s">
        <v>16035</v>
      </c>
    </row>
    <row r="402" spans="1:14">
      <c r="A402" t="s">
        <v>16861</v>
      </c>
      <c r="B402">
        <v>1</v>
      </c>
      <c r="C402" t="s">
        <v>16036</v>
      </c>
      <c r="D402" t="s">
        <v>4215</v>
      </c>
      <c r="E402" t="s">
        <v>17334</v>
      </c>
      <c r="F402">
        <v>3</v>
      </c>
      <c r="N402" t="s">
        <v>16036</v>
      </c>
    </row>
    <row r="403" spans="1:14">
      <c r="A403" t="s">
        <v>16868</v>
      </c>
      <c r="B403">
        <v>1</v>
      </c>
      <c r="C403" t="s">
        <v>16037</v>
      </c>
      <c r="D403" t="s">
        <v>4215</v>
      </c>
      <c r="E403" t="s">
        <v>17334</v>
      </c>
      <c r="F403">
        <v>3</v>
      </c>
      <c r="N403" t="s">
        <v>16037</v>
      </c>
    </row>
    <row r="404" spans="1:14">
      <c r="A404" t="s">
        <v>16875</v>
      </c>
      <c r="B404">
        <v>1</v>
      </c>
      <c r="C404" t="s">
        <v>16038</v>
      </c>
      <c r="D404" t="s">
        <v>4215</v>
      </c>
      <c r="E404" t="s">
        <v>17334</v>
      </c>
      <c r="F404">
        <v>3</v>
      </c>
      <c r="N404" t="s">
        <v>16038</v>
      </c>
    </row>
    <row r="405" spans="1:14">
      <c r="A405" t="s">
        <v>16882</v>
      </c>
      <c r="B405">
        <v>1</v>
      </c>
      <c r="C405" t="s">
        <v>16039</v>
      </c>
      <c r="D405" t="s">
        <v>4215</v>
      </c>
      <c r="E405" t="s">
        <v>17334</v>
      </c>
      <c r="F405">
        <v>3</v>
      </c>
      <c r="N405" t="s">
        <v>16039</v>
      </c>
    </row>
    <row r="406" spans="1:14">
      <c r="A406" t="s">
        <v>16889</v>
      </c>
      <c r="B406">
        <v>1</v>
      </c>
      <c r="C406" t="s">
        <v>16040</v>
      </c>
      <c r="D406" t="s">
        <v>4215</v>
      </c>
      <c r="E406" t="s">
        <v>17334</v>
      </c>
      <c r="F406">
        <v>3</v>
      </c>
      <c r="N406" t="s">
        <v>16040</v>
      </c>
    </row>
    <row r="407" spans="1:14">
      <c r="A407" t="s">
        <v>16896</v>
      </c>
      <c r="B407">
        <v>1</v>
      </c>
      <c r="C407" t="s">
        <v>16041</v>
      </c>
      <c r="D407" t="s">
        <v>4215</v>
      </c>
      <c r="E407" t="s">
        <v>17334</v>
      </c>
      <c r="F407">
        <v>3</v>
      </c>
      <c r="N407" t="s">
        <v>16041</v>
      </c>
    </row>
    <row r="408" spans="1:14">
      <c r="A408" t="s">
        <v>16693</v>
      </c>
      <c r="B408">
        <v>1</v>
      </c>
      <c r="C408" t="s">
        <v>16042</v>
      </c>
      <c r="D408" t="s">
        <v>4215</v>
      </c>
      <c r="E408" t="s">
        <v>17334</v>
      </c>
      <c r="F408">
        <v>3</v>
      </c>
      <c r="N408" t="s">
        <v>16042</v>
      </c>
    </row>
    <row r="409" spans="1:14">
      <c r="A409" t="s">
        <v>16702</v>
      </c>
      <c r="B409">
        <v>1</v>
      </c>
      <c r="C409" t="s">
        <v>16043</v>
      </c>
      <c r="D409" t="s">
        <v>4215</v>
      </c>
      <c r="E409" t="s">
        <v>17334</v>
      </c>
      <c r="F409">
        <v>3</v>
      </c>
      <c r="N409" t="s">
        <v>16043</v>
      </c>
    </row>
    <row r="410" spans="1:14">
      <c r="A410" t="s">
        <v>16711</v>
      </c>
      <c r="B410">
        <v>1</v>
      </c>
      <c r="C410" t="s">
        <v>16044</v>
      </c>
      <c r="D410" t="s">
        <v>4215</v>
      </c>
      <c r="E410" t="s">
        <v>17334</v>
      </c>
      <c r="F410">
        <v>3</v>
      </c>
      <c r="N410" t="s">
        <v>16044</v>
      </c>
    </row>
    <row r="411" spans="1:14">
      <c r="A411" t="s">
        <v>16720</v>
      </c>
      <c r="B411">
        <v>1</v>
      </c>
      <c r="C411" t="s">
        <v>16045</v>
      </c>
      <c r="D411" t="s">
        <v>4215</v>
      </c>
      <c r="E411" t="s">
        <v>17334</v>
      </c>
      <c r="F411">
        <v>3</v>
      </c>
      <c r="N411" t="s">
        <v>16045</v>
      </c>
    </row>
    <row r="412" spans="1:14">
      <c r="A412" t="s">
        <v>16729</v>
      </c>
      <c r="B412">
        <v>1</v>
      </c>
      <c r="C412" t="s">
        <v>16046</v>
      </c>
      <c r="D412" t="s">
        <v>4215</v>
      </c>
      <c r="E412" t="s">
        <v>17334</v>
      </c>
      <c r="F412">
        <v>3</v>
      </c>
      <c r="N412" t="s">
        <v>16046</v>
      </c>
    </row>
    <row r="413" spans="1:14">
      <c r="A413" t="s">
        <v>16738</v>
      </c>
      <c r="B413">
        <v>1</v>
      </c>
      <c r="C413" t="s">
        <v>16047</v>
      </c>
      <c r="D413" t="s">
        <v>4215</v>
      </c>
      <c r="E413" t="s">
        <v>17334</v>
      </c>
      <c r="F413">
        <v>3</v>
      </c>
      <c r="N413" t="s">
        <v>16047</v>
      </c>
    </row>
    <row r="414" spans="1:14">
      <c r="A414" t="s">
        <v>16747</v>
      </c>
      <c r="B414">
        <v>1</v>
      </c>
      <c r="C414" t="s">
        <v>16048</v>
      </c>
      <c r="D414" t="s">
        <v>4215</v>
      </c>
      <c r="E414" t="s">
        <v>17334</v>
      </c>
      <c r="F414">
        <v>3</v>
      </c>
      <c r="N414" t="s">
        <v>16048</v>
      </c>
    </row>
    <row r="415" spans="1:14">
      <c r="A415" t="s">
        <v>16694</v>
      </c>
      <c r="B415">
        <v>1</v>
      </c>
      <c r="C415" t="s">
        <v>16049</v>
      </c>
      <c r="D415" t="s">
        <v>4215</v>
      </c>
      <c r="E415" t="s">
        <v>17334</v>
      </c>
      <c r="F415">
        <v>3</v>
      </c>
      <c r="N415" t="s">
        <v>16049</v>
      </c>
    </row>
    <row r="416" spans="1:14">
      <c r="A416" t="s">
        <v>16703</v>
      </c>
      <c r="B416">
        <v>1</v>
      </c>
      <c r="C416" t="s">
        <v>16050</v>
      </c>
      <c r="D416" t="s">
        <v>4215</v>
      </c>
      <c r="E416" t="s">
        <v>17334</v>
      </c>
      <c r="F416">
        <v>3</v>
      </c>
      <c r="N416" t="s">
        <v>16050</v>
      </c>
    </row>
    <row r="417" spans="1:14">
      <c r="A417" t="s">
        <v>16712</v>
      </c>
      <c r="B417">
        <v>1</v>
      </c>
      <c r="C417" t="s">
        <v>16051</v>
      </c>
      <c r="D417" t="s">
        <v>4215</v>
      </c>
      <c r="E417" t="s">
        <v>17334</v>
      </c>
      <c r="F417">
        <v>3</v>
      </c>
      <c r="N417" t="s">
        <v>16051</v>
      </c>
    </row>
    <row r="418" spans="1:14">
      <c r="A418" t="s">
        <v>16721</v>
      </c>
      <c r="B418">
        <v>1</v>
      </c>
      <c r="C418" t="s">
        <v>16052</v>
      </c>
      <c r="D418" t="s">
        <v>4215</v>
      </c>
      <c r="E418" t="s">
        <v>17334</v>
      </c>
      <c r="F418">
        <v>3</v>
      </c>
      <c r="N418" t="s">
        <v>16052</v>
      </c>
    </row>
    <row r="419" spans="1:14">
      <c r="A419" t="s">
        <v>16730</v>
      </c>
      <c r="B419">
        <v>1</v>
      </c>
      <c r="C419" t="s">
        <v>16053</v>
      </c>
      <c r="D419" t="s">
        <v>4215</v>
      </c>
      <c r="E419" t="s">
        <v>17334</v>
      </c>
      <c r="F419">
        <v>3</v>
      </c>
      <c r="N419" t="s">
        <v>16053</v>
      </c>
    </row>
    <row r="420" spans="1:14">
      <c r="A420" t="s">
        <v>16739</v>
      </c>
      <c r="B420">
        <v>1</v>
      </c>
      <c r="C420" t="s">
        <v>16054</v>
      </c>
      <c r="D420" t="s">
        <v>4215</v>
      </c>
      <c r="E420" t="s">
        <v>17334</v>
      </c>
      <c r="F420">
        <v>3</v>
      </c>
      <c r="N420" t="s">
        <v>16054</v>
      </c>
    </row>
    <row r="421" spans="1:14">
      <c r="A421" t="s">
        <v>16748</v>
      </c>
      <c r="B421">
        <v>1</v>
      </c>
      <c r="C421" t="s">
        <v>16055</v>
      </c>
      <c r="D421" t="s">
        <v>4215</v>
      </c>
      <c r="E421" t="s">
        <v>17334</v>
      </c>
      <c r="F421">
        <v>3</v>
      </c>
      <c r="N421" t="s">
        <v>16055</v>
      </c>
    </row>
    <row r="422" spans="1:14">
      <c r="A422" t="s">
        <v>16897</v>
      </c>
      <c r="B422">
        <v>1</v>
      </c>
      <c r="C422" t="s">
        <v>16056</v>
      </c>
      <c r="D422" t="s">
        <v>4215</v>
      </c>
      <c r="E422" t="s">
        <v>17334</v>
      </c>
      <c r="F422">
        <v>3</v>
      </c>
      <c r="N422" t="s">
        <v>16056</v>
      </c>
    </row>
    <row r="423" spans="1:14">
      <c r="A423" t="s">
        <v>16906</v>
      </c>
      <c r="B423">
        <v>1</v>
      </c>
      <c r="C423" t="s">
        <v>16057</v>
      </c>
      <c r="D423" t="s">
        <v>4215</v>
      </c>
      <c r="E423" t="s">
        <v>17334</v>
      </c>
      <c r="F423">
        <v>3</v>
      </c>
      <c r="N423" t="s">
        <v>16057</v>
      </c>
    </row>
    <row r="424" spans="1:14">
      <c r="A424" t="s">
        <v>16915</v>
      </c>
      <c r="B424">
        <v>1</v>
      </c>
      <c r="C424" t="s">
        <v>16058</v>
      </c>
      <c r="D424" t="s">
        <v>4215</v>
      </c>
      <c r="E424" t="s">
        <v>17334</v>
      </c>
      <c r="F424">
        <v>3</v>
      </c>
      <c r="N424" t="s">
        <v>16058</v>
      </c>
    </row>
    <row r="425" spans="1:14">
      <c r="A425" t="s">
        <v>16924</v>
      </c>
      <c r="B425">
        <v>1</v>
      </c>
      <c r="C425" t="s">
        <v>16059</v>
      </c>
      <c r="D425" t="s">
        <v>4215</v>
      </c>
      <c r="E425" t="s">
        <v>17334</v>
      </c>
      <c r="F425">
        <v>3</v>
      </c>
      <c r="N425" t="s">
        <v>16059</v>
      </c>
    </row>
    <row r="426" spans="1:14">
      <c r="A426" t="s">
        <v>16933</v>
      </c>
      <c r="B426">
        <v>1</v>
      </c>
      <c r="C426" t="s">
        <v>16060</v>
      </c>
      <c r="D426" t="s">
        <v>4215</v>
      </c>
      <c r="E426" t="s">
        <v>17334</v>
      </c>
      <c r="F426">
        <v>3</v>
      </c>
      <c r="N426" t="s">
        <v>16060</v>
      </c>
    </row>
    <row r="427" spans="1:14">
      <c r="A427" t="s">
        <v>16942</v>
      </c>
      <c r="B427">
        <v>1</v>
      </c>
      <c r="C427" t="s">
        <v>16061</v>
      </c>
      <c r="D427" t="s">
        <v>4215</v>
      </c>
      <c r="E427" t="s">
        <v>17334</v>
      </c>
      <c r="F427">
        <v>3</v>
      </c>
      <c r="N427" t="s">
        <v>16061</v>
      </c>
    </row>
    <row r="428" spans="1:14">
      <c r="A428" t="s">
        <v>16951</v>
      </c>
      <c r="B428">
        <v>1</v>
      </c>
      <c r="C428" t="s">
        <v>16062</v>
      </c>
      <c r="D428" t="s">
        <v>4215</v>
      </c>
      <c r="E428" t="s">
        <v>17334</v>
      </c>
      <c r="F428">
        <v>3</v>
      </c>
      <c r="N428" t="s">
        <v>16062</v>
      </c>
    </row>
    <row r="429" spans="1:14">
      <c r="A429" t="s">
        <v>16960</v>
      </c>
      <c r="B429">
        <v>1</v>
      </c>
      <c r="C429" t="s">
        <v>16063</v>
      </c>
      <c r="D429" t="s">
        <v>4215</v>
      </c>
      <c r="E429" t="s">
        <v>17334</v>
      </c>
      <c r="F429">
        <v>3</v>
      </c>
      <c r="N429" t="s">
        <v>16063</v>
      </c>
    </row>
    <row r="430" spans="1:14">
      <c r="A430" t="s">
        <v>16968</v>
      </c>
      <c r="B430">
        <v>1</v>
      </c>
      <c r="C430" t="s">
        <v>16064</v>
      </c>
      <c r="D430" t="s">
        <v>4215</v>
      </c>
      <c r="E430" t="s">
        <v>17334</v>
      </c>
      <c r="F430">
        <v>3</v>
      </c>
      <c r="N430" t="s">
        <v>16064</v>
      </c>
    </row>
    <row r="431" spans="1:14">
      <c r="A431" t="s">
        <v>16975</v>
      </c>
      <c r="B431">
        <v>1</v>
      </c>
      <c r="C431" t="s">
        <v>16065</v>
      </c>
      <c r="D431" t="s">
        <v>4215</v>
      </c>
      <c r="E431" t="s">
        <v>17334</v>
      </c>
      <c r="F431">
        <v>3</v>
      </c>
      <c r="N431" t="s">
        <v>16065</v>
      </c>
    </row>
    <row r="432" spans="1:14">
      <c r="A432" t="s">
        <v>16982</v>
      </c>
      <c r="B432">
        <v>1</v>
      </c>
      <c r="C432" t="s">
        <v>16066</v>
      </c>
      <c r="D432" t="s">
        <v>4215</v>
      </c>
      <c r="E432" t="s">
        <v>17334</v>
      </c>
      <c r="F432">
        <v>3</v>
      </c>
      <c r="N432" t="s">
        <v>16066</v>
      </c>
    </row>
    <row r="433" spans="1:14">
      <c r="A433" t="s">
        <v>16989</v>
      </c>
      <c r="B433">
        <v>1</v>
      </c>
      <c r="C433" t="s">
        <v>16067</v>
      </c>
      <c r="D433" t="s">
        <v>4215</v>
      </c>
      <c r="E433" t="s">
        <v>17334</v>
      </c>
      <c r="F433">
        <v>3</v>
      </c>
      <c r="N433" t="s">
        <v>16067</v>
      </c>
    </row>
    <row r="434" spans="1:14">
      <c r="A434" t="s">
        <v>16996</v>
      </c>
      <c r="B434">
        <v>1</v>
      </c>
      <c r="C434" t="s">
        <v>16068</v>
      </c>
      <c r="D434" t="s">
        <v>4215</v>
      </c>
      <c r="E434" t="s">
        <v>17334</v>
      </c>
      <c r="F434">
        <v>3</v>
      </c>
      <c r="N434" t="s">
        <v>16068</v>
      </c>
    </row>
    <row r="435" spans="1:14">
      <c r="A435" t="s">
        <v>17003</v>
      </c>
      <c r="B435">
        <v>1</v>
      </c>
      <c r="C435" t="s">
        <v>16069</v>
      </c>
      <c r="D435" t="s">
        <v>4215</v>
      </c>
      <c r="E435" t="s">
        <v>17334</v>
      </c>
      <c r="F435">
        <v>3</v>
      </c>
      <c r="N435" t="s">
        <v>16069</v>
      </c>
    </row>
    <row r="436" spans="1:14">
      <c r="A436" t="s">
        <v>17010</v>
      </c>
      <c r="B436">
        <v>1</v>
      </c>
      <c r="C436" t="s">
        <v>16070</v>
      </c>
      <c r="D436" t="s">
        <v>4215</v>
      </c>
      <c r="E436" t="s">
        <v>17334</v>
      </c>
      <c r="F436">
        <v>3</v>
      </c>
      <c r="N436" t="s">
        <v>16070</v>
      </c>
    </row>
    <row r="437" spans="1:14">
      <c r="A437" t="s">
        <v>17017</v>
      </c>
      <c r="B437">
        <v>1</v>
      </c>
      <c r="C437" t="s">
        <v>16071</v>
      </c>
      <c r="D437" t="s">
        <v>4215</v>
      </c>
      <c r="E437" t="s">
        <v>17334</v>
      </c>
      <c r="F437">
        <v>3</v>
      </c>
      <c r="N437" t="s">
        <v>16071</v>
      </c>
    </row>
    <row r="438" spans="1:14">
      <c r="A438" t="s">
        <v>17024</v>
      </c>
      <c r="B438">
        <v>1</v>
      </c>
      <c r="C438" t="s">
        <v>16072</v>
      </c>
      <c r="D438" t="s">
        <v>4215</v>
      </c>
      <c r="E438" t="s">
        <v>17334</v>
      </c>
      <c r="F438">
        <v>3</v>
      </c>
      <c r="N438" t="s">
        <v>16072</v>
      </c>
    </row>
    <row r="439" spans="1:14">
      <c r="A439" t="s">
        <v>17031</v>
      </c>
      <c r="B439">
        <v>1</v>
      </c>
      <c r="C439" t="s">
        <v>16073</v>
      </c>
      <c r="D439" t="s">
        <v>4215</v>
      </c>
      <c r="E439" t="s">
        <v>17334</v>
      </c>
      <c r="F439">
        <v>3</v>
      </c>
      <c r="N439" t="s">
        <v>16073</v>
      </c>
    </row>
    <row r="440" spans="1:14">
      <c r="A440" t="s">
        <v>17038</v>
      </c>
      <c r="B440">
        <v>1</v>
      </c>
      <c r="C440" t="s">
        <v>16074</v>
      </c>
      <c r="D440" t="s">
        <v>4215</v>
      </c>
      <c r="E440" t="s">
        <v>17334</v>
      </c>
      <c r="F440">
        <v>3</v>
      </c>
      <c r="N440" t="s">
        <v>16074</v>
      </c>
    </row>
    <row r="441" spans="1:14">
      <c r="A441" t="s">
        <v>17045</v>
      </c>
      <c r="B441">
        <v>1</v>
      </c>
      <c r="C441" t="s">
        <v>16075</v>
      </c>
      <c r="D441" t="s">
        <v>4215</v>
      </c>
      <c r="E441" t="s">
        <v>17334</v>
      </c>
      <c r="F441">
        <v>3</v>
      </c>
      <c r="N441" t="s">
        <v>16075</v>
      </c>
    </row>
    <row r="442" spans="1:14">
      <c r="A442" t="s">
        <v>17052</v>
      </c>
      <c r="B442">
        <v>1</v>
      </c>
      <c r="C442" t="s">
        <v>16076</v>
      </c>
      <c r="D442" t="s">
        <v>4215</v>
      </c>
      <c r="E442" t="s">
        <v>17334</v>
      </c>
      <c r="F442">
        <v>3</v>
      </c>
      <c r="N442" t="s">
        <v>16076</v>
      </c>
    </row>
    <row r="443" spans="1:14">
      <c r="A443" t="s">
        <v>17059</v>
      </c>
      <c r="B443">
        <v>1</v>
      </c>
      <c r="C443" t="s">
        <v>16077</v>
      </c>
      <c r="D443" t="s">
        <v>4215</v>
      </c>
      <c r="E443" t="s">
        <v>17334</v>
      </c>
      <c r="F443">
        <v>3</v>
      </c>
      <c r="N443" t="s">
        <v>16077</v>
      </c>
    </row>
    <row r="444" spans="1:14">
      <c r="A444" t="s">
        <v>17066</v>
      </c>
      <c r="B444">
        <v>1</v>
      </c>
      <c r="C444" t="s">
        <v>16078</v>
      </c>
      <c r="D444" t="s">
        <v>4215</v>
      </c>
      <c r="E444" t="s">
        <v>17334</v>
      </c>
      <c r="F444">
        <v>3</v>
      </c>
      <c r="N444" t="s">
        <v>16078</v>
      </c>
    </row>
    <row r="445" spans="1:14">
      <c r="A445" t="s">
        <v>17073</v>
      </c>
      <c r="B445">
        <v>1</v>
      </c>
      <c r="C445" t="s">
        <v>16079</v>
      </c>
      <c r="D445" t="s">
        <v>4215</v>
      </c>
      <c r="E445" t="s">
        <v>17334</v>
      </c>
      <c r="F445">
        <v>3</v>
      </c>
      <c r="N445" t="s">
        <v>16079</v>
      </c>
    </row>
    <row r="446" spans="1:14">
      <c r="A446" t="s">
        <v>17080</v>
      </c>
      <c r="B446">
        <v>1</v>
      </c>
      <c r="C446" t="s">
        <v>16080</v>
      </c>
      <c r="D446" t="s">
        <v>4215</v>
      </c>
      <c r="E446" t="s">
        <v>17334</v>
      </c>
      <c r="F446">
        <v>3</v>
      </c>
      <c r="N446" t="s">
        <v>16080</v>
      </c>
    </row>
    <row r="447" spans="1:14">
      <c r="A447" t="s">
        <v>17087</v>
      </c>
      <c r="B447">
        <v>1</v>
      </c>
      <c r="C447" t="s">
        <v>16081</v>
      </c>
      <c r="D447" t="s">
        <v>4215</v>
      </c>
      <c r="E447" t="s">
        <v>17334</v>
      </c>
      <c r="F447">
        <v>3</v>
      </c>
      <c r="N447" t="s">
        <v>16081</v>
      </c>
    </row>
    <row r="448" spans="1:14">
      <c r="A448" t="s">
        <v>17094</v>
      </c>
      <c r="B448">
        <v>1</v>
      </c>
      <c r="C448" t="s">
        <v>16082</v>
      </c>
      <c r="D448" t="s">
        <v>4215</v>
      </c>
      <c r="E448" t="s">
        <v>17334</v>
      </c>
      <c r="F448">
        <v>3</v>
      </c>
      <c r="N448" t="s">
        <v>16082</v>
      </c>
    </row>
    <row r="449" spans="1:14">
      <c r="A449" t="s">
        <v>17101</v>
      </c>
      <c r="B449">
        <v>1</v>
      </c>
      <c r="C449" t="s">
        <v>16083</v>
      </c>
      <c r="D449" t="s">
        <v>4215</v>
      </c>
      <c r="E449" t="s">
        <v>17334</v>
      </c>
      <c r="F449">
        <v>3</v>
      </c>
      <c r="N449" t="s">
        <v>16083</v>
      </c>
    </row>
    <row r="450" spans="1:14">
      <c r="A450" t="s">
        <v>16898</v>
      </c>
      <c r="B450">
        <v>1</v>
      </c>
      <c r="C450" t="s">
        <v>16084</v>
      </c>
      <c r="D450" t="s">
        <v>4215</v>
      </c>
      <c r="E450" t="s">
        <v>17334</v>
      </c>
      <c r="F450">
        <v>3</v>
      </c>
      <c r="N450" t="s">
        <v>16084</v>
      </c>
    </row>
    <row r="451" spans="1:14">
      <c r="A451" t="s">
        <v>16907</v>
      </c>
      <c r="B451">
        <v>1</v>
      </c>
      <c r="C451" t="s">
        <v>16085</v>
      </c>
      <c r="D451" t="s">
        <v>4215</v>
      </c>
      <c r="E451" t="s">
        <v>17334</v>
      </c>
      <c r="F451">
        <v>3</v>
      </c>
      <c r="N451" t="s">
        <v>16085</v>
      </c>
    </row>
    <row r="452" spans="1:14">
      <c r="A452" t="s">
        <v>16916</v>
      </c>
      <c r="B452">
        <v>1</v>
      </c>
      <c r="C452" t="s">
        <v>16086</v>
      </c>
      <c r="D452" t="s">
        <v>4215</v>
      </c>
      <c r="E452" t="s">
        <v>17334</v>
      </c>
      <c r="F452">
        <v>3</v>
      </c>
      <c r="N452" t="s">
        <v>16086</v>
      </c>
    </row>
    <row r="453" spans="1:14">
      <c r="A453" t="s">
        <v>16925</v>
      </c>
      <c r="B453">
        <v>1</v>
      </c>
      <c r="C453" t="s">
        <v>16087</v>
      </c>
      <c r="D453" t="s">
        <v>4215</v>
      </c>
      <c r="E453" t="s">
        <v>17334</v>
      </c>
      <c r="F453">
        <v>3</v>
      </c>
      <c r="N453" t="s">
        <v>16087</v>
      </c>
    </row>
    <row r="454" spans="1:14">
      <c r="A454" t="s">
        <v>16934</v>
      </c>
      <c r="B454">
        <v>1</v>
      </c>
      <c r="C454" t="s">
        <v>16088</v>
      </c>
      <c r="D454" t="s">
        <v>4215</v>
      </c>
      <c r="E454" t="s">
        <v>17334</v>
      </c>
      <c r="F454">
        <v>3</v>
      </c>
      <c r="N454" t="s">
        <v>16088</v>
      </c>
    </row>
    <row r="455" spans="1:14">
      <c r="A455" t="s">
        <v>16943</v>
      </c>
      <c r="B455">
        <v>1</v>
      </c>
      <c r="C455" t="s">
        <v>16089</v>
      </c>
      <c r="D455" t="s">
        <v>4215</v>
      </c>
      <c r="E455" t="s">
        <v>17334</v>
      </c>
      <c r="F455">
        <v>3</v>
      </c>
      <c r="N455" t="s">
        <v>16089</v>
      </c>
    </row>
    <row r="456" spans="1:14">
      <c r="A456" t="s">
        <v>16952</v>
      </c>
      <c r="B456">
        <v>1</v>
      </c>
      <c r="C456" t="s">
        <v>16090</v>
      </c>
      <c r="D456" t="s">
        <v>4215</v>
      </c>
      <c r="E456" t="s">
        <v>17334</v>
      </c>
      <c r="F456">
        <v>3</v>
      </c>
      <c r="N456" t="s">
        <v>16090</v>
      </c>
    </row>
    <row r="457" spans="1:14">
      <c r="A457" t="s">
        <v>16961</v>
      </c>
      <c r="B457">
        <v>1</v>
      </c>
      <c r="C457" t="s">
        <v>16091</v>
      </c>
      <c r="D457" t="s">
        <v>4215</v>
      </c>
      <c r="E457" t="s">
        <v>17334</v>
      </c>
      <c r="F457">
        <v>3</v>
      </c>
      <c r="N457" t="s">
        <v>16091</v>
      </c>
    </row>
    <row r="458" spans="1:14">
      <c r="A458" t="s">
        <v>16969</v>
      </c>
      <c r="B458">
        <v>1</v>
      </c>
      <c r="C458" t="s">
        <v>16092</v>
      </c>
      <c r="D458" t="s">
        <v>4215</v>
      </c>
      <c r="E458" t="s">
        <v>17334</v>
      </c>
      <c r="F458">
        <v>3</v>
      </c>
      <c r="N458" t="s">
        <v>16092</v>
      </c>
    </row>
    <row r="459" spans="1:14">
      <c r="A459" t="s">
        <v>16976</v>
      </c>
      <c r="B459">
        <v>1</v>
      </c>
      <c r="C459" t="s">
        <v>16093</v>
      </c>
      <c r="D459" t="s">
        <v>4215</v>
      </c>
      <c r="E459" t="s">
        <v>17334</v>
      </c>
      <c r="F459">
        <v>3</v>
      </c>
      <c r="N459" t="s">
        <v>16093</v>
      </c>
    </row>
    <row r="460" spans="1:14">
      <c r="A460" t="s">
        <v>16983</v>
      </c>
      <c r="B460">
        <v>1</v>
      </c>
      <c r="C460" t="s">
        <v>16094</v>
      </c>
      <c r="D460" t="s">
        <v>4215</v>
      </c>
      <c r="E460" t="s">
        <v>17334</v>
      </c>
      <c r="F460">
        <v>3</v>
      </c>
      <c r="N460" t="s">
        <v>16094</v>
      </c>
    </row>
    <row r="461" spans="1:14">
      <c r="A461" t="s">
        <v>16990</v>
      </c>
      <c r="B461">
        <v>1</v>
      </c>
      <c r="C461" t="s">
        <v>16095</v>
      </c>
      <c r="D461" t="s">
        <v>4215</v>
      </c>
      <c r="E461" t="s">
        <v>17334</v>
      </c>
      <c r="F461">
        <v>3</v>
      </c>
      <c r="N461" t="s">
        <v>16095</v>
      </c>
    </row>
    <row r="462" spans="1:14">
      <c r="A462" t="s">
        <v>16997</v>
      </c>
      <c r="B462">
        <v>1</v>
      </c>
      <c r="C462" t="s">
        <v>16096</v>
      </c>
      <c r="D462" t="s">
        <v>4215</v>
      </c>
      <c r="E462" t="s">
        <v>17334</v>
      </c>
      <c r="F462">
        <v>3</v>
      </c>
      <c r="N462" t="s">
        <v>16096</v>
      </c>
    </row>
    <row r="463" spans="1:14">
      <c r="A463" t="s">
        <v>17004</v>
      </c>
      <c r="B463">
        <v>1</v>
      </c>
      <c r="C463" t="s">
        <v>16097</v>
      </c>
      <c r="D463" t="s">
        <v>4215</v>
      </c>
      <c r="E463" t="s">
        <v>17334</v>
      </c>
      <c r="F463">
        <v>3</v>
      </c>
      <c r="N463" t="s">
        <v>16097</v>
      </c>
    </row>
    <row r="464" spans="1:14">
      <c r="A464" t="s">
        <v>17011</v>
      </c>
      <c r="B464">
        <v>1</v>
      </c>
      <c r="C464" t="s">
        <v>16098</v>
      </c>
      <c r="D464" t="s">
        <v>4215</v>
      </c>
      <c r="E464" t="s">
        <v>17334</v>
      </c>
      <c r="F464">
        <v>3</v>
      </c>
      <c r="N464" t="s">
        <v>16098</v>
      </c>
    </row>
    <row r="465" spans="1:14">
      <c r="A465" t="s">
        <v>17018</v>
      </c>
      <c r="B465">
        <v>1</v>
      </c>
      <c r="C465" t="s">
        <v>16099</v>
      </c>
      <c r="D465" t="s">
        <v>4215</v>
      </c>
      <c r="E465" t="s">
        <v>17334</v>
      </c>
      <c r="F465">
        <v>3</v>
      </c>
      <c r="N465" t="s">
        <v>16099</v>
      </c>
    </row>
    <row r="466" spans="1:14">
      <c r="A466" t="s">
        <v>17025</v>
      </c>
      <c r="B466">
        <v>1</v>
      </c>
      <c r="C466" t="s">
        <v>16100</v>
      </c>
      <c r="D466" t="s">
        <v>4215</v>
      </c>
      <c r="E466" t="s">
        <v>17334</v>
      </c>
      <c r="F466">
        <v>3</v>
      </c>
      <c r="N466" t="s">
        <v>16100</v>
      </c>
    </row>
    <row r="467" spans="1:14">
      <c r="A467" t="s">
        <v>17032</v>
      </c>
      <c r="B467">
        <v>1</v>
      </c>
      <c r="C467" t="s">
        <v>16101</v>
      </c>
      <c r="D467" t="s">
        <v>4215</v>
      </c>
      <c r="E467" t="s">
        <v>17334</v>
      </c>
      <c r="F467">
        <v>3</v>
      </c>
      <c r="N467" t="s">
        <v>16101</v>
      </c>
    </row>
    <row r="468" spans="1:14">
      <c r="A468" t="s">
        <v>17039</v>
      </c>
      <c r="B468">
        <v>1</v>
      </c>
      <c r="C468" t="s">
        <v>16102</v>
      </c>
      <c r="D468" t="s">
        <v>4215</v>
      </c>
      <c r="E468" t="s">
        <v>17334</v>
      </c>
      <c r="F468">
        <v>3</v>
      </c>
      <c r="N468" t="s">
        <v>16102</v>
      </c>
    </row>
    <row r="469" spans="1:14">
      <c r="A469" t="s">
        <v>17046</v>
      </c>
      <c r="B469">
        <v>1</v>
      </c>
      <c r="C469" t="s">
        <v>16103</v>
      </c>
      <c r="D469" t="s">
        <v>4215</v>
      </c>
      <c r="E469" t="s">
        <v>17334</v>
      </c>
      <c r="F469">
        <v>3</v>
      </c>
      <c r="N469" t="s">
        <v>16103</v>
      </c>
    </row>
    <row r="470" spans="1:14">
      <c r="A470" t="s">
        <v>17053</v>
      </c>
      <c r="B470">
        <v>1</v>
      </c>
      <c r="C470" t="s">
        <v>16104</v>
      </c>
      <c r="D470" t="s">
        <v>4215</v>
      </c>
      <c r="E470" t="s">
        <v>17334</v>
      </c>
      <c r="F470">
        <v>3</v>
      </c>
      <c r="N470" t="s">
        <v>16104</v>
      </c>
    </row>
    <row r="471" spans="1:14">
      <c r="A471" t="s">
        <v>17060</v>
      </c>
      <c r="B471">
        <v>1</v>
      </c>
      <c r="C471" t="s">
        <v>16105</v>
      </c>
      <c r="D471" t="s">
        <v>4215</v>
      </c>
      <c r="E471" t="s">
        <v>17334</v>
      </c>
      <c r="F471">
        <v>3</v>
      </c>
      <c r="N471" t="s">
        <v>16105</v>
      </c>
    </row>
    <row r="472" spans="1:14">
      <c r="A472" t="s">
        <v>17067</v>
      </c>
      <c r="B472">
        <v>1</v>
      </c>
      <c r="C472" t="s">
        <v>16106</v>
      </c>
      <c r="D472" t="s">
        <v>4215</v>
      </c>
      <c r="E472" t="s">
        <v>17334</v>
      </c>
      <c r="F472">
        <v>3</v>
      </c>
      <c r="N472" t="s">
        <v>16106</v>
      </c>
    </row>
    <row r="473" spans="1:14">
      <c r="A473" t="s">
        <v>17074</v>
      </c>
      <c r="B473">
        <v>1</v>
      </c>
      <c r="C473" t="s">
        <v>16107</v>
      </c>
      <c r="D473" t="s">
        <v>4215</v>
      </c>
      <c r="E473" t="s">
        <v>17334</v>
      </c>
      <c r="F473">
        <v>3</v>
      </c>
      <c r="N473" t="s">
        <v>16107</v>
      </c>
    </row>
    <row r="474" spans="1:14">
      <c r="A474" t="s">
        <v>17081</v>
      </c>
      <c r="B474">
        <v>1</v>
      </c>
      <c r="C474" t="s">
        <v>16108</v>
      </c>
      <c r="D474" t="s">
        <v>4215</v>
      </c>
      <c r="E474" t="s">
        <v>17334</v>
      </c>
      <c r="F474">
        <v>3</v>
      </c>
      <c r="N474" t="s">
        <v>16108</v>
      </c>
    </row>
    <row r="475" spans="1:14">
      <c r="A475" t="s">
        <v>17088</v>
      </c>
      <c r="B475">
        <v>1</v>
      </c>
      <c r="C475" t="s">
        <v>16109</v>
      </c>
      <c r="D475" t="s">
        <v>4215</v>
      </c>
      <c r="E475" t="s">
        <v>17334</v>
      </c>
      <c r="F475">
        <v>3</v>
      </c>
      <c r="N475" t="s">
        <v>16109</v>
      </c>
    </row>
    <row r="476" spans="1:14">
      <c r="A476" t="s">
        <v>17095</v>
      </c>
      <c r="B476">
        <v>1</v>
      </c>
      <c r="C476" t="s">
        <v>16110</v>
      </c>
      <c r="D476" t="s">
        <v>4215</v>
      </c>
      <c r="E476" t="s">
        <v>17334</v>
      </c>
      <c r="F476">
        <v>3</v>
      </c>
      <c r="N476" t="s">
        <v>16110</v>
      </c>
    </row>
    <row r="477" spans="1:14">
      <c r="A477" t="s">
        <v>17102</v>
      </c>
      <c r="B477">
        <v>1</v>
      </c>
      <c r="C477" t="s">
        <v>16111</v>
      </c>
      <c r="D477" t="s">
        <v>4215</v>
      </c>
      <c r="E477" t="s">
        <v>17334</v>
      </c>
      <c r="F477">
        <v>3</v>
      </c>
      <c r="N477" t="s">
        <v>16111</v>
      </c>
    </row>
    <row r="478" spans="1:14">
      <c r="A478" t="s">
        <v>16899</v>
      </c>
      <c r="B478">
        <v>1</v>
      </c>
      <c r="C478" t="s">
        <v>16112</v>
      </c>
      <c r="D478" t="s">
        <v>4215</v>
      </c>
      <c r="E478" t="s">
        <v>17334</v>
      </c>
      <c r="F478">
        <v>3</v>
      </c>
      <c r="N478" t="s">
        <v>16112</v>
      </c>
    </row>
    <row r="479" spans="1:14">
      <c r="A479" t="s">
        <v>16908</v>
      </c>
      <c r="B479">
        <v>1</v>
      </c>
      <c r="C479" t="s">
        <v>16113</v>
      </c>
      <c r="D479" t="s">
        <v>4215</v>
      </c>
      <c r="E479" t="s">
        <v>17334</v>
      </c>
      <c r="F479">
        <v>3</v>
      </c>
      <c r="N479" t="s">
        <v>16113</v>
      </c>
    </row>
    <row r="480" spans="1:14">
      <c r="A480" t="s">
        <v>16917</v>
      </c>
      <c r="B480">
        <v>1</v>
      </c>
      <c r="C480" t="s">
        <v>16114</v>
      </c>
      <c r="D480" t="s">
        <v>4215</v>
      </c>
      <c r="E480" t="s">
        <v>17334</v>
      </c>
      <c r="F480">
        <v>3</v>
      </c>
      <c r="N480" t="s">
        <v>16114</v>
      </c>
    </row>
    <row r="481" spans="1:14">
      <c r="A481" t="s">
        <v>16926</v>
      </c>
      <c r="B481">
        <v>1</v>
      </c>
      <c r="C481" t="s">
        <v>16115</v>
      </c>
      <c r="D481" t="s">
        <v>4215</v>
      </c>
      <c r="E481" t="s">
        <v>17334</v>
      </c>
      <c r="F481">
        <v>3</v>
      </c>
      <c r="N481" t="s">
        <v>16115</v>
      </c>
    </row>
    <row r="482" spans="1:14">
      <c r="A482" t="s">
        <v>16935</v>
      </c>
      <c r="B482">
        <v>1</v>
      </c>
      <c r="C482" t="s">
        <v>16116</v>
      </c>
      <c r="D482" t="s">
        <v>4215</v>
      </c>
      <c r="E482" t="s">
        <v>17334</v>
      </c>
      <c r="F482">
        <v>3</v>
      </c>
      <c r="N482" t="s">
        <v>16116</v>
      </c>
    </row>
    <row r="483" spans="1:14">
      <c r="A483" t="s">
        <v>16944</v>
      </c>
      <c r="B483">
        <v>1</v>
      </c>
      <c r="C483" t="s">
        <v>16117</v>
      </c>
      <c r="D483" t="s">
        <v>4215</v>
      </c>
      <c r="E483" t="s">
        <v>17334</v>
      </c>
      <c r="F483">
        <v>3</v>
      </c>
      <c r="N483" t="s">
        <v>16117</v>
      </c>
    </row>
    <row r="484" spans="1:14">
      <c r="A484" t="s">
        <v>16953</v>
      </c>
      <c r="B484">
        <v>1</v>
      </c>
      <c r="C484" t="s">
        <v>16118</v>
      </c>
      <c r="D484" t="s">
        <v>4215</v>
      </c>
      <c r="E484" t="s">
        <v>17334</v>
      </c>
      <c r="F484">
        <v>3</v>
      </c>
      <c r="N484" t="s">
        <v>16118</v>
      </c>
    </row>
    <row r="485" spans="1:14">
      <c r="A485" t="s">
        <v>16962</v>
      </c>
      <c r="B485">
        <v>1</v>
      </c>
      <c r="C485" t="s">
        <v>16119</v>
      </c>
      <c r="D485" t="s">
        <v>4215</v>
      </c>
      <c r="E485" t="s">
        <v>17334</v>
      </c>
      <c r="F485">
        <v>3</v>
      </c>
      <c r="N485" t="s">
        <v>16119</v>
      </c>
    </row>
    <row r="486" spans="1:14">
      <c r="A486" t="s">
        <v>16970</v>
      </c>
      <c r="B486">
        <v>1</v>
      </c>
      <c r="C486" t="s">
        <v>16120</v>
      </c>
      <c r="D486" t="s">
        <v>4215</v>
      </c>
      <c r="E486" t="s">
        <v>17334</v>
      </c>
      <c r="F486">
        <v>3</v>
      </c>
      <c r="N486" t="s">
        <v>16120</v>
      </c>
    </row>
    <row r="487" spans="1:14">
      <c r="A487" t="s">
        <v>16977</v>
      </c>
      <c r="B487">
        <v>1</v>
      </c>
      <c r="C487" t="s">
        <v>16121</v>
      </c>
      <c r="D487" t="s">
        <v>4215</v>
      </c>
      <c r="E487" t="s">
        <v>17334</v>
      </c>
      <c r="F487">
        <v>3</v>
      </c>
      <c r="N487" t="s">
        <v>16121</v>
      </c>
    </row>
    <row r="488" spans="1:14">
      <c r="A488" t="s">
        <v>16984</v>
      </c>
      <c r="B488">
        <v>1</v>
      </c>
      <c r="C488" t="s">
        <v>16122</v>
      </c>
      <c r="D488" t="s">
        <v>4215</v>
      </c>
      <c r="E488" t="s">
        <v>17334</v>
      </c>
      <c r="F488">
        <v>3</v>
      </c>
      <c r="N488" t="s">
        <v>16122</v>
      </c>
    </row>
    <row r="489" spans="1:14">
      <c r="A489" t="s">
        <v>16991</v>
      </c>
      <c r="B489">
        <v>1</v>
      </c>
      <c r="C489" t="s">
        <v>16123</v>
      </c>
      <c r="D489" t="s">
        <v>4215</v>
      </c>
      <c r="E489" t="s">
        <v>17334</v>
      </c>
      <c r="F489">
        <v>3</v>
      </c>
      <c r="N489" t="s">
        <v>16123</v>
      </c>
    </row>
    <row r="490" spans="1:14">
      <c r="A490" t="s">
        <v>16998</v>
      </c>
      <c r="B490">
        <v>1</v>
      </c>
      <c r="C490" t="s">
        <v>16124</v>
      </c>
      <c r="D490" t="s">
        <v>4215</v>
      </c>
      <c r="E490" t="s">
        <v>17334</v>
      </c>
      <c r="F490">
        <v>3</v>
      </c>
      <c r="N490" t="s">
        <v>16124</v>
      </c>
    </row>
    <row r="491" spans="1:14">
      <c r="A491" t="s">
        <v>17005</v>
      </c>
      <c r="B491">
        <v>1</v>
      </c>
      <c r="C491" t="s">
        <v>16125</v>
      </c>
      <c r="D491" t="s">
        <v>4215</v>
      </c>
      <c r="E491" t="s">
        <v>17334</v>
      </c>
      <c r="F491">
        <v>3</v>
      </c>
      <c r="N491" t="s">
        <v>16125</v>
      </c>
    </row>
    <row r="492" spans="1:14">
      <c r="A492" t="s">
        <v>17012</v>
      </c>
      <c r="B492">
        <v>1</v>
      </c>
      <c r="C492" t="s">
        <v>16126</v>
      </c>
      <c r="D492" t="s">
        <v>4215</v>
      </c>
      <c r="E492" t="s">
        <v>17334</v>
      </c>
      <c r="F492">
        <v>3</v>
      </c>
      <c r="N492" t="s">
        <v>16126</v>
      </c>
    </row>
    <row r="493" spans="1:14">
      <c r="A493" t="s">
        <v>17019</v>
      </c>
      <c r="B493">
        <v>1</v>
      </c>
      <c r="C493" t="s">
        <v>16127</v>
      </c>
      <c r="D493" t="s">
        <v>4215</v>
      </c>
      <c r="E493" t="s">
        <v>17334</v>
      </c>
      <c r="F493">
        <v>3</v>
      </c>
      <c r="N493" t="s">
        <v>16127</v>
      </c>
    </row>
    <row r="494" spans="1:14">
      <c r="A494" t="s">
        <v>17026</v>
      </c>
      <c r="B494">
        <v>1</v>
      </c>
      <c r="C494" t="s">
        <v>16128</v>
      </c>
      <c r="D494" t="s">
        <v>4215</v>
      </c>
      <c r="E494" t="s">
        <v>17334</v>
      </c>
      <c r="F494">
        <v>3</v>
      </c>
      <c r="N494" t="s">
        <v>16128</v>
      </c>
    </row>
    <row r="495" spans="1:14">
      <c r="A495" t="s">
        <v>17033</v>
      </c>
      <c r="B495">
        <v>1</v>
      </c>
      <c r="C495" t="s">
        <v>16129</v>
      </c>
      <c r="D495" t="s">
        <v>4215</v>
      </c>
      <c r="E495" t="s">
        <v>17334</v>
      </c>
      <c r="F495">
        <v>3</v>
      </c>
      <c r="N495" t="s">
        <v>16129</v>
      </c>
    </row>
    <row r="496" spans="1:14">
      <c r="A496" t="s">
        <v>17040</v>
      </c>
      <c r="B496">
        <v>1</v>
      </c>
      <c r="C496" t="s">
        <v>16130</v>
      </c>
      <c r="D496" t="s">
        <v>4215</v>
      </c>
      <c r="E496" t="s">
        <v>17334</v>
      </c>
      <c r="F496">
        <v>3</v>
      </c>
      <c r="N496" t="s">
        <v>16130</v>
      </c>
    </row>
    <row r="497" spans="1:14">
      <c r="A497" t="s">
        <v>17047</v>
      </c>
      <c r="B497">
        <v>1</v>
      </c>
      <c r="C497" t="s">
        <v>16131</v>
      </c>
      <c r="D497" t="s">
        <v>4215</v>
      </c>
      <c r="E497" t="s">
        <v>17334</v>
      </c>
      <c r="F497">
        <v>3</v>
      </c>
      <c r="N497" t="s">
        <v>16131</v>
      </c>
    </row>
    <row r="498" spans="1:14">
      <c r="A498" t="s">
        <v>17054</v>
      </c>
      <c r="B498">
        <v>1</v>
      </c>
      <c r="C498" t="s">
        <v>16132</v>
      </c>
      <c r="D498" t="s">
        <v>4215</v>
      </c>
      <c r="E498" t="s">
        <v>17334</v>
      </c>
      <c r="F498">
        <v>3</v>
      </c>
      <c r="N498" t="s">
        <v>16132</v>
      </c>
    </row>
    <row r="499" spans="1:14">
      <c r="A499" t="s">
        <v>17061</v>
      </c>
      <c r="B499">
        <v>1</v>
      </c>
      <c r="C499" t="s">
        <v>16133</v>
      </c>
      <c r="D499" t="s">
        <v>4215</v>
      </c>
      <c r="E499" t="s">
        <v>17334</v>
      </c>
      <c r="F499">
        <v>3</v>
      </c>
      <c r="N499" t="s">
        <v>16133</v>
      </c>
    </row>
    <row r="500" spans="1:14">
      <c r="A500" t="s">
        <v>17068</v>
      </c>
      <c r="B500">
        <v>1</v>
      </c>
      <c r="C500" t="s">
        <v>16134</v>
      </c>
      <c r="D500" t="s">
        <v>4215</v>
      </c>
      <c r="E500" t="s">
        <v>17334</v>
      </c>
      <c r="F500">
        <v>3</v>
      </c>
      <c r="N500" t="s">
        <v>16134</v>
      </c>
    </row>
    <row r="501" spans="1:14">
      <c r="A501" t="s">
        <v>17075</v>
      </c>
      <c r="B501">
        <v>1</v>
      </c>
      <c r="C501" t="s">
        <v>16135</v>
      </c>
      <c r="D501" t="s">
        <v>4215</v>
      </c>
      <c r="E501" t="s">
        <v>17334</v>
      </c>
      <c r="F501">
        <v>3</v>
      </c>
      <c r="N501" t="s">
        <v>16135</v>
      </c>
    </row>
    <row r="502" spans="1:14">
      <c r="A502" t="s">
        <v>17082</v>
      </c>
      <c r="B502">
        <v>1</v>
      </c>
      <c r="C502" t="s">
        <v>16136</v>
      </c>
      <c r="D502" t="s">
        <v>4215</v>
      </c>
      <c r="E502" t="s">
        <v>17334</v>
      </c>
      <c r="F502">
        <v>3</v>
      </c>
      <c r="N502" t="s">
        <v>16136</v>
      </c>
    </row>
    <row r="503" spans="1:14">
      <c r="A503" t="s">
        <v>17089</v>
      </c>
      <c r="B503">
        <v>1</v>
      </c>
      <c r="C503" t="s">
        <v>16137</v>
      </c>
      <c r="D503" t="s">
        <v>4215</v>
      </c>
      <c r="E503" t="s">
        <v>17334</v>
      </c>
      <c r="F503">
        <v>3</v>
      </c>
      <c r="N503" t="s">
        <v>16137</v>
      </c>
    </row>
    <row r="504" spans="1:14">
      <c r="A504" t="s">
        <v>17096</v>
      </c>
      <c r="B504">
        <v>1</v>
      </c>
      <c r="C504" t="s">
        <v>16138</v>
      </c>
      <c r="D504" t="s">
        <v>4215</v>
      </c>
      <c r="E504" t="s">
        <v>17334</v>
      </c>
      <c r="F504">
        <v>3</v>
      </c>
      <c r="N504" t="s">
        <v>16138</v>
      </c>
    </row>
    <row r="505" spans="1:14">
      <c r="A505" t="s">
        <v>17103</v>
      </c>
      <c r="B505">
        <v>1</v>
      </c>
      <c r="C505" t="s">
        <v>16139</v>
      </c>
      <c r="D505" t="s">
        <v>4215</v>
      </c>
      <c r="E505" t="s">
        <v>17334</v>
      </c>
      <c r="F505">
        <v>3</v>
      </c>
      <c r="N505" t="s">
        <v>16139</v>
      </c>
    </row>
    <row r="506" spans="1:14">
      <c r="A506" t="s">
        <v>16900</v>
      </c>
      <c r="B506">
        <v>1</v>
      </c>
      <c r="C506" t="s">
        <v>16140</v>
      </c>
      <c r="D506" t="s">
        <v>4215</v>
      </c>
      <c r="E506" t="s">
        <v>17334</v>
      </c>
      <c r="F506">
        <v>3</v>
      </c>
      <c r="N506" t="s">
        <v>16140</v>
      </c>
    </row>
    <row r="507" spans="1:14">
      <c r="A507" t="s">
        <v>16909</v>
      </c>
      <c r="B507">
        <v>1</v>
      </c>
      <c r="C507" t="s">
        <v>16141</v>
      </c>
      <c r="D507" t="s">
        <v>4215</v>
      </c>
      <c r="E507" t="s">
        <v>17334</v>
      </c>
      <c r="F507">
        <v>3</v>
      </c>
      <c r="N507" t="s">
        <v>16141</v>
      </c>
    </row>
    <row r="508" spans="1:14">
      <c r="A508" t="s">
        <v>16918</v>
      </c>
      <c r="B508">
        <v>1</v>
      </c>
      <c r="C508" t="s">
        <v>16142</v>
      </c>
      <c r="D508" t="s">
        <v>4215</v>
      </c>
      <c r="E508" t="s">
        <v>17334</v>
      </c>
      <c r="F508">
        <v>3</v>
      </c>
      <c r="N508" t="s">
        <v>16142</v>
      </c>
    </row>
    <row r="509" spans="1:14">
      <c r="A509" t="s">
        <v>16927</v>
      </c>
      <c r="B509">
        <v>1</v>
      </c>
      <c r="C509" t="s">
        <v>16143</v>
      </c>
      <c r="D509" t="s">
        <v>4215</v>
      </c>
      <c r="E509" t="s">
        <v>17334</v>
      </c>
      <c r="F509">
        <v>3</v>
      </c>
      <c r="N509" t="s">
        <v>16143</v>
      </c>
    </row>
    <row r="510" spans="1:14">
      <c r="A510" t="s">
        <v>16936</v>
      </c>
      <c r="B510">
        <v>1</v>
      </c>
      <c r="C510" t="s">
        <v>16144</v>
      </c>
      <c r="D510" t="s">
        <v>4215</v>
      </c>
      <c r="E510" t="s">
        <v>17334</v>
      </c>
      <c r="F510">
        <v>3</v>
      </c>
      <c r="N510" t="s">
        <v>16144</v>
      </c>
    </row>
    <row r="511" spans="1:14">
      <c r="A511" t="s">
        <v>16945</v>
      </c>
      <c r="B511">
        <v>1</v>
      </c>
      <c r="C511" t="s">
        <v>16145</v>
      </c>
      <c r="D511" t="s">
        <v>4215</v>
      </c>
      <c r="E511" t="s">
        <v>17334</v>
      </c>
      <c r="F511">
        <v>3</v>
      </c>
      <c r="N511" t="s">
        <v>16145</v>
      </c>
    </row>
    <row r="512" spans="1:14">
      <c r="A512" t="s">
        <v>16954</v>
      </c>
      <c r="B512">
        <v>1</v>
      </c>
      <c r="C512" t="s">
        <v>16146</v>
      </c>
      <c r="D512" t="s">
        <v>4215</v>
      </c>
      <c r="E512" t="s">
        <v>17334</v>
      </c>
      <c r="F512">
        <v>3</v>
      </c>
      <c r="N512" t="s">
        <v>16146</v>
      </c>
    </row>
    <row r="513" spans="1:14">
      <c r="A513" t="s">
        <v>16963</v>
      </c>
      <c r="B513">
        <v>1</v>
      </c>
      <c r="C513" t="s">
        <v>16147</v>
      </c>
      <c r="D513" t="s">
        <v>4215</v>
      </c>
      <c r="E513" t="s">
        <v>17334</v>
      </c>
      <c r="F513">
        <v>3</v>
      </c>
      <c r="N513" t="s">
        <v>16147</v>
      </c>
    </row>
    <row r="514" spans="1:14">
      <c r="A514" t="s">
        <v>16971</v>
      </c>
      <c r="B514">
        <v>1</v>
      </c>
      <c r="C514" t="s">
        <v>16148</v>
      </c>
      <c r="D514" t="s">
        <v>4215</v>
      </c>
      <c r="E514" t="s">
        <v>17334</v>
      </c>
      <c r="F514">
        <v>3</v>
      </c>
      <c r="N514" t="s">
        <v>16148</v>
      </c>
    </row>
    <row r="515" spans="1:14">
      <c r="A515" t="s">
        <v>16978</v>
      </c>
      <c r="B515">
        <v>1</v>
      </c>
      <c r="C515" t="s">
        <v>16149</v>
      </c>
      <c r="D515" t="s">
        <v>4215</v>
      </c>
      <c r="E515" t="s">
        <v>17334</v>
      </c>
      <c r="F515">
        <v>3</v>
      </c>
      <c r="N515" t="s">
        <v>16149</v>
      </c>
    </row>
    <row r="516" spans="1:14">
      <c r="A516" t="s">
        <v>16985</v>
      </c>
      <c r="B516">
        <v>1</v>
      </c>
      <c r="C516" t="s">
        <v>16150</v>
      </c>
      <c r="D516" t="s">
        <v>4215</v>
      </c>
      <c r="E516" t="s">
        <v>17334</v>
      </c>
      <c r="F516">
        <v>3</v>
      </c>
      <c r="N516" t="s">
        <v>16150</v>
      </c>
    </row>
    <row r="517" spans="1:14">
      <c r="A517" t="s">
        <v>16992</v>
      </c>
      <c r="B517">
        <v>1</v>
      </c>
      <c r="C517" t="s">
        <v>16151</v>
      </c>
      <c r="D517" t="s">
        <v>4215</v>
      </c>
      <c r="E517" t="s">
        <v>17334</v>
      </c>
      <c r="F517">
        <v>3</v>
      </c>
      <c r="N517" t="s">
        <v>16151</v>
      </c>
    </row>
    <row r="518" spans="1:14">
      <c r="A518" t="s">
        <v>16999</v>
      </c>
      <c r="B518">
        <v>1</v>
      </c>
      <c r="C518" t="s">
        <v>16152</v>
      </c>
      <c r="D518" t="s">
        <v>4215</v>
      </c>
      <c r="E518" t="s">
        <v>17334</v>
      </c>
      <c r="F518">
        <v>3</v>
      </c>
      <c r="N518" t="s">
        <v>16152</v>
      </c>
    </row>
    <row r="519" spans="1:14">
      <c r="A519" t="s">
        <v>17006</v>
      </c>
      <c r="B519">
        <v>1</v>
      </c>
      <c r="C519" t="s">
        <v>16153</v>
      </c>
      <c r="D519" t="s">
        <v>4215</v>
      </c>
      <c r="E519" t="s">
        <v>17334</v>
      </c>
      <c r="F519">
        <v>3</v>
      </c>
      <c r="N519" t="s">
        <v>16153</v>
      </c>
    </row>
    <row r="520" spans="1:14">
      <c r="A520" t="s">
        <v>17013</v>
      </c>
      <c r="B520">
        <v>1</v>
      </c>
      <c r="C520" t="s">
        <v>16154</v>
      </c>
      <c r="D520" t="s">
        <v>4215</v>
      </c>
      <c r="E520" t="s">
        <v>17334</v>
      </c>
      <c r="F520">
        <v>3</v>
      </c>
      <c r="N520" t="s">
        <v>16154</v>
      </c>
    </row>
    <row r="521" spans="1:14">
      <c r="A521" t="s">
        <v>17020</v>
      </c>
      <c r="B521">
        <v>1</v>
      </c>
      <c r="C521" t="s">
        <v>16155</v>
      </c>
      <c r="D521" t="s">
        <v>4215</v>
      </c>
      <c r="E521" t="s">
        <v>17334</v>
      </c>
      <c r="F521">
        <v>3</v>
      </c>
      <c r="N521" t="s">
        <v>16155</v>
      </c>
    </row>
    <row r="522" spans="1:14">
      <c r="A522" t="s">
        <v>17027</v>
      </c>
      <c r="B522">
        <v>1</v>
      </c>
      <c r="C522" t="s">
        <v>16156</v>
      </c>
      <c r="D522" t="s">
        <v>4215</v>
      </c>
      <c r="E522" t="s">
        <v>17334</v>
      </c>
      <c r="F522">
        <v>3</v>
      </c>
      <c r="N522" t="s">
        <v>16156</v>
      </c>
    </row>
    <row r="523" spans="1:14">
      <c r="A523" t="s">
        <v>17034</v>
      </c>
      <c r="B523">
        <v>1</v>
      </c>
      <c r="C523" t="s">
        <v>16157</v>
      </c>
      <c r="D523" t="s">
        <v>4215</v>
      </c>
      <c r="E523" t="s">
        <v>17334</v>
      </c>
      <c r="F523">
        <v>3</v>
      </c>
      <c r="N523" t="s">
        <v>16157</v>
      </c>
    </row>
    <row r="524" spans="1:14">
      <c r="A524" t="s">
        <v>17041</v>
      </c>
      <c r="B524">
        <v>1</v>
      </c>
      <c r="C524" t="s">
        <v>16158</v>
      </c>
      <c r="D524" t="s">
        <v>4215</v>
      </c>
      <c r="E524" t="s">
        <v>17334</v>
      </c>
      <c r="F524">
        <v>3</v>
      </c>
      <c r="N524" t="s">
        <v>16158</v>
      </c>
    </row>
    <row r="525" spans="1:14">
      <c r="A525" t="s">
        <v>17048</v>
      </c>
      <c r="B525">
        <v>1</v>
      </c>
      <c r="C525" t="s">
        <v>16159</v>
      </c>
      <c r="D525" t="s">
        <v>4215</v>
      </c>
      <c r="E525" t="s">
        <v>17334</v>
      </c>
      <c r="F525">
        <v>3</v>
      </c>
      <c r="N525" t="s">
        <v>16159</v>
      </c>
    </row>
    <row r="526" spans="1:14">
      <c r="A526" t="s">
        <v>17055</v>
      </c>
      <c r="B526">
        <v>1</v>
      </c>
      <c r="C526" t="s">
        <v>16160</v>
      </c>
      <c r="D526" t="s">
        <v>4215</v>
      </c>
      <c r="E526" t="s">
        <v>17334</v>
      </c>
      <c r="F526">
        <v>3</v>
      </c>
      <c r="N526" t="s">
        <v>16160</v>
      </c>
    </row>
    <row r="527" spans="1:14">
      <c r="A527" t="s">
        <v>17062</v>
      </c>
      <c r="B527">
        <v>1</v>
      </c>
      <c r="C527" t="s">
        <v>16161</v>
      </c>
      <c r="D527" t="s">
        <v>4215</v>
      </c>
      <c r="E527" t="s">
        <v>17334</v>
      </c>
      <c r="F527">
        <v>3</v>
      </c>
      <c r="N527" t="s">
        <v>16161</v>
      </c>
    </row>
    <row r="528" spans="1:14">
      <c r="A528" t="s">
        <v>17069</v>
      </c>
      <c r="B528">
        <v>1</v>
      </c>
      <c r="C528" t="s">
        <v>16162</v>
      </c>
      <c r="D528" t="s">
        <v>4215</v>
      </c>
      <c r="E528" t="s">
        <v>17334</v>
      </c>
      <c r="F528">
        <v>3</v>
      </c>
      <c r="N528" t="s">
        <v>16162</v>
      </c>
    </row>
    <row r="529" spans="1:14">
      <c r="A529" t="s">
        <v>17076</v>
      </c>
      <c r="B529">
        <v>1</v>
      </c>
      <c r="C529" t="s">
        <v>16163</v>
      </c>
      <c r="D529" t="s">
        <v>4215</v>
      </c>
      <c r="E529" t="s">
        <v>17334</v>
      </c>
      <c r="F529">
        <v>3</v>
      </c>
      <c r="N529" t="s">
        <v>16163</v>
      </c>
    </row>
    <row r="530" spans="1:14">
      <c r="A530" t="s">
        <v>17083</v>
      </c>
      <c r="B530">
        <v>1</v>
      </c>
      <c r="C530" t="s">
        <v>16164</v>
      </c>
      <c r="D530" t="s">
        <v>4215</v>
      </c>
      <c r="E530" t="s">
        <v>17334</v>
      </c>
      <c r="F530">
        <v>3</v>
      </c>
      <c r="N530" t="s">
        <v>16164</v>
      </c>
    </row>
    <row r="531" spans="1:14">
      <c r="A531" t="s">
        <v>17090</v>
      </c>
      <c r="B531">
        <v>1</v>
      </c>
      <c r="C531" t="s">
        <v>16165</v>
      </c>
      <c r="D531" t="s">
        <v>4215</v>
      </c>
      <c r="E531" t="s">
        <v>17334</v>
      </c>
      <c r="F531">
        <v>3</v>
      </c>
      <c r="N531" t="s">
        <v>16165</v>
      </c>
    </row>
    <row r="532" spans="1:14">
      <c r="A532" t="s">
        <v>17097</v>
      </c>
      <c r="B532">
        <v>1</v>
      </c>
      <c r="C532" t="s">
        <v>16166</v>
      </c>
      <c r="D532" t="s">
        <v>4215</v>
      </c>
      <c r="E532" t="s">
        <v>17334</v>
      </c>
      <c r="F532">
        <v>3</v>
      </c>
      <c r="N532" t="s">
        <v>16166</v>
      </c>
    </row>
    <row r="533" spans="1:14">
      <c r="A533" t="s">
        <v>17104</v>
      </c>
      <c r="B533">
        <v>1</v>
      </c>
      <c r="C533" t="s">
        <v>16167</v>
      </c>
      <c r="D533" t="s">
        <v>4215</v>
      </c>
      <c r="E533" t="s">
        <v>17334</v>
      </c>
      <c r="F533">
        <v>3</v>
      </c>
      <c r="N533" t="s">
        <v>16167</v>
      </c>
    </row>
    <row r="534" spans="1:14">
      <c r="A534" t="s">
        <v>16901</v>
      </c>
      <c r="B534">
        <v>1</v>
      </c>
      <c r="C534" t="s">
        <v>16168</v>
      </c>
      <c r="D534" t="s">
        <v>4215</v>
      </c>
      <c r="E534" t="s">
        <v>17334</v>
      </c>
      <c r="F534">
        <v>3</v>
      </c>
      <c r="N534" t="s">
        <v>16168</v>
      </c>
    </row>
    <row r="535" spans="1:14">
      <c r="A535" t="s">
        <v>16910</v>
      </c>
      <c r="B535">
        <v>1</v>
      </c>
      <c r="C535" t="s">
        <v>16169</v>
      </c>
      <c r="D535" t="s">
        <v>4215</v>
      </c>
      <c r="E535" t="s">
        <v>17334</v>
      </c>
      <c r="F535">
        <v>3</v>
      </c>
      <c r="N535" t="s">
        <v>16169</v>
      </c>
    </row>
    <row r="536" spans="1:14">
      <c r="A536" t="s">
        <v>16919</v>
      </c>
      <c r="B536">
        <v>1</v>
      </c>
      <c r="C536" t="s">
        <v>16170</v>
      </c>
      <c r="D536" t="s">
        <v>4215</v>
      </c>
      <c r="E536" t="s">
        <v>17334</v>
      </c>
      <c r="F536">
        <v>3</v>
      </c>
      <c r="N536" t="s">
        <v>16170</v>
      </c>
    </row>
    <row r="537" spans="1:14">
      <c r="A537" t="s">
        <v>16928</v>
      </c>
      <c r="B537">
        <v>1</v>
      </c>
      <c r="C537" t="s">
        <v>16171</v>
      </c>
      <c r="D537" t="s">
        <v>4215</v>
      </c>
      <c r="E537" t="s">
        <v>17334</v>
      </c>
      <c r="F537">
        <v>3</v>
      </c>
      <c r="N537" t="s">
        <v>16171</v>
      </c>
    </row>
    <row r="538" spans="1:14">
      <c r="A538" t="s">
        <v>16937</v>
      </c>
      <c r="B538">
        <v>1</v>
      </c>
      <c r="C538" t="s">
        <v>16172</v>
      </c>
      <c r="D538" t="s">
        <v>4215</v>
      </c>
      <c r="E538" t="s">
        <v>17334</v>
      </c>
      <c r="F538">
        <v>3</v>
      </c>
      <c r="N538" t="s">
        <v>16172</v>
      </c>
    </row>
    <row r="539" spans="1:14">
      <c r="A539" t="s">
        <v>16946</v>
      </c>
      <c r="B539">
        <v>1</v>
      </c>
      <c r="C539" t="s">
        <v>16173</v>
      </c>
      <c r="D539" t="s">
        <v>4215</v>
      </c>
      <c r="E539" t="s">
        <v>17334</v>
      </c>
      <c r="F539">
        <v>3</v>
      </c>
      <c r="N539" t="s">
        <v>16173</v>
      </c>
    </row>
    <row r="540" spans="1:14">
      <c r="A540" t="s">
        <v>16955</v>
      </c>
      <c r="B540">
        <v>1</v>
      </c>
      <c r="C540" t="s">
        <v>16174</v>
      </c>
      <c r="D540" t="s">
        <v>4215</v>
      </c>
      <c r="E540" t="s">
        <v>17334</v>
      </c>
      <c r="F540">
        <v>3</v>
      </c>
      <c r="N540" t="s">
        <v>16174</v>
      </c>
    </row>
    <row r="541" spans="1:14">
      <c r="A541" t="s">
        <v>16964</v>
      </c>
      <c r="B541">
        <v>1</v>
      </c>
      <c r="C541" t="s">
        <v>16175</v>
      </c>
      <c r="D541" t="s">
        <v>4215</v>
      </c>
      <c r="E541" t="s">
        <v>17334</v>
      </c>
      <c r="F541">
        <v>3</v>
      </c>
      <c r="N541" t="s">
        <v>16175</v>
      </c>
    </row>
    <row r="542" spans="1:14">
      <c r="A542" t="s">
        <v>16972</v>
      </c>
      <c r="B542">
        <v>1</v>
      </c>
      <c r="C542" t="s">
        <v>16176</v>
      </c>
      <c r="D542" t="s">
        <v>4215</v>
      </c>
      <c r="E542" t="s">
        <v>17334</v>
      </c>
      <c r="F542">
        <v>3</v>
      </c>
      <c r="N542" t="s">
        <v>16176</v>
      </c>
    </row>
    <row r="543" spans="1:14">
      <c r="A543" t="s">
        <v>16979</v>
      </c>
      <c r="B543">
        <v>1</v>
      </c>
      <c r="C543" t="s">
        <v>16177</v>
      </c>
      <c r="D543" t="s">
        <v>4215</v>
      </c>
      <c r="E543" t="s">
        <v>17334</v>
      </c>
      <c r="F543">
        <v>3</v>
      </c>
      <c r="N543" t="s">
        <v>16177</v>
      </c>
    </row>
    <row r="544" spans="1:14">
      <c r="A544" t="s">
        <v>16986</v>
      </c>
      <c r="B544">
        <v>1</v>
      </c>
      <c r="C544" t="s">
        <v>16178</v>
      </c>
      <c r="D544" t="s">
        <v>4215</v>
      </c>
      <c r="E544" t="s">
        <v>17334</v>
      </c>
      <c r="F544">
        <v>3</v>
      </c>
      <c r="N544" t="s">
        <v>16178</v>
      </c>
    </row>
    <row r="545" spans="1:14">
      <c r="A545" t="s">
        <v>16993</v>
      </c>
      <c r="B545">
        <v>1</v>
      </c>
      <c r="C545" t="s">
        <v>16179</v>
      </c>
      <c r="D545" t="s">
        <v>4215</v>
      </c>
      <c r="E545" t="s">
        <v>17334</v>
      </c>
      <c r="F545">
        <v>3</v>
      </c>
      <c r="N545" t="s">
        <v>16179</v>
      </c>
    </row>
    <row r="546" spans="1:14">
      <c r="A546" t="s">
        <v>17000</v>
      </c>
      <c r="B546">
        <v>1</v>
      </c>
      <c r="C546" t="s">
        <v>16180</v>
      </c>
      <c r="D546" t="s">
        <v>4215</v>
      </c>
      <c r="E546" t="s">
        <v>17334</v>
      </c>
      <c r="F546">
        <v>3</v>
      </c>
      <c r="N546" t="s">
        <v>16180</v>
      </c>
    </row>
    <row r="547" spans="1:14">
      <c r="A547" t="s">
        <v>17007</v>
      </c>
      <c r="B547">
        <v>1</v>
      </c>
      <c r="C547" t="s">
        <v>16181</v>
      </c>
      <c r="D547" t="s">
        <v>4215</v>
      </c>
      <c r="E547" t="s">
        <v>17334</v>
      </c>
      <c r="F547">
        <v>3</v>
      </c>
      <c r="N547" t="s">
        <v>16181</v>
      </c>
    </row>
    <row r="548" spans="1:14">
      <c r="A548" t="s">
        <v>17014</v>
      </c>
      <c r="B548">
        <v>1</v>
      </c>
      <c r="C548" t="s">
        <v>16182</v>
      </c>
      <c r="D548" t="s">
        <v>4215</v>
      </c>
      <c r="E548" t="s">
        <v>17334</v>
      </c>
      <c r="F548">
        <v>3</v>
      </c>
      <c r="N548" t="s">
        <v>16182</v>
      </c>
    </row>
    <row r="549" spans="1:14">
      <c r="A549" t="s">
        <v>17021</v>
      </c>
      <c r="B549">
        <v>1</v>
      </c>
      <c r="C549" t="s">
        <v>16183</v>
      </c>
      <c r="D549" t="s">
        <v>4215</v>
      </c>
      <c r="E549" t="s">
        <v>17334</v>
      </c>
      <c r="F549">
        <v>3</v>
      </c>
      <c r="N549" t="s">
        <v>16183</v>
      </c>
    </row>
    <row r="550" spans="1:14">
      <c r="A550" t="s">
        <v>17028</v>
      </c>
      <c r="B550">
        <v>1</v>
      </c>
      <c r="C550" t="s">
        <v>16184</v>
      </c>
      <c r="D550" t="s">
        <v>4215</v>
      </c>
      <c r="E550" t="s">
        <v>17334</v>
      </c>
      <c r="F550">
        <v>3</v>
      </c>
      <c r="N550" t="s">
        <v>16184</v>
      </c>
    </row>
    <row r="551" spans="1:14">
      <c r="A551" t="s">
        <v>17035</v>
      </c>
      <c r="B551">
        <v>1</v>
      </c>
      <c r="C551" t="s">
        <v>16185</v>
      </c>
      <c r="D551" t="s">
        <v>4215</v>
      </c>
      <c r="E551" t="s">
        <v>17334</v>
      </c>
      <c r="F551">
        <v>3</v>
      </c>
      <c r="N551" t="s">
        <v>16185</v>
      </c>
    </row>
    <row r="552" spans="1:14">
      <c r="A552" t="s">
        <v>17042</v>
      </c>
      <c r="B552">
        <v>1</v>
      </c>
      <c r="C552" t="s">
        <v>16186</v>
      </c>
      <c r="D552" t="s">
        <v>4215</v>
      </c>
      <c r="E552" t="s">
        <v>17334</v>
      </c>
      <c r="F552">
        <v>3</v>
      </c>
      <c r="N552" t="s">
        <v>16186</v>
      </c>
    </row>
    <row r="553" spans="1:14">
      <c r="A553" t="s">
        <v>17049</v>
      </c>
      <c r="B553">
        <v>1</v>
      </c>
      <c r="C553" t="s">
        <v>16187</v>
      </c>
      <c r="D553" t="s">
        <v>4215</v>
      </c>
      <c r="E553" t="s">
        <v>17334</v>
      </c>
      <c r="F553">
        <v>3</v>
      </c>
      <c r="N553" t="s">
        <v>16187</v>
      </c>
    </row>
    <row r="554" spans="1:14">
      <c r="A554" t="s">
        <v>17056</v>
      </c>
      <c r="B554">
        <v>1</v>
      </c>
      <c r="C554" t="s">
        <v>16188</v>
      </c>
      <c r="D554" t="s">
        <v>4215</v>
      </c>
      <c r="E554" t="s">
        <v>17334</v>
      </c>
      <c r="F554">
        <v>3</v>
      </c>
      <c r="N554" t="s">
        <v>16188</v>
      </c>
    </row>
    <row r="555" spans="1:14">
      <c r="A555" t="s">
        <v>17063</v>
      </c>
      <c r="B555">
        <v>1</v>
      </c>
      <c r="C555" t="s">
        <v>16189</v>
      </c>
      <c r="D555" t="s">
        <v>4215</v>
      </c>
      <c r="E555" t="s">
        <v>17334</v>
      </c>
      <c r="F555">
        <v>3</v>
      </c>
      <c r="N555" t="s">
        <v>16189</v>
      </c>
    </row>
    <row r="556" spans="1:14">
      <c r="A556" t="s">
        <v>17070</v>
      </c>
      <c r="B556">
        <v>1</v>
      </c>
      <c r="C556" t="s">
        <v>16190</v>
      </c>
      <c r="D556" t="s">
        <v>4215</v>
      </c>
      <c r="E556" t="s">
        <v>17334</v>
      </c>
      <c r="F556">
        <v>3</v>
      </c>
      <c r="N556" t="s">
        <v>16190</v>
      </c>
    </row>
    <row r="557" spans="1:14">
      <c r="A557" t="s">
        <v>17077</v>
      </c>
      <c r="B557">
        <v>1</v>
      </c>
      <c r="C557" t="s">
        <v>16191</v>
      </c>
      <c r="D557" t="s">
        <v>4215</v>
      </c>
      <c r="E557" t="s">
        <v>17334</v>
      </c>
      <c r="F557">
        <v>3</v>
      </c>
      <c r="N557" t="s">
        <v>16191</v>
      </c>
    </row>
    <row r="558" spans="1:14">
      <c r="A558" t="s">
        <v>17084</v>
      </c>
      <c r="B558">
        <v>1</v>
      </c>
      <c r="C558" t="s">
        <v>16192</v>
      </c>
      <c r="D558" t="s">
        <v>4215</v>
      </c>
      <c r="E558" t="s">
        <v>17334</v>
      </c>
      <c r="F558">
        <v>3</v>
      </c>
      <c r="N558" t="s">
        <v>16192</v>
      </c>
    </row>
    <row r="559" spans="1:14">
      <c r="A559" t="s">
        <v>17091</v>
      </c>
      <c r="B559">
        <v>1</v>
      </c>
      <c r="C559" t="s">
        <v>16193</v>
      </c>
      <c r="D559" t="s">
        <v>4215</v>
      </c>
      <c r="E559" t="s">
        <v>17334</v>
      </c>
      <c r="F559">
        <v>3</v>
      </c>
      <c r="N559" t="s">
        <v>16193</v>
      </c>
    </row>
    <row r="560" spans="1:14">
      <c r="A560" t="s">
        <v>17098</v>
      </c>
      <c r="B560">
        <v>1</v>
      </c>
      <c r="C560" t="s">
        <v>16194</v>
      </c>
      <c r="D560" t="s">
        <v>4215</v>
      </c>
      <c r="E560" t="s">
        <v>17334</v>
      </c>
      <c r="F560">
        <v>3</v>
      </c>
      <c r="N560" t="s">
        <v>16194</v>
      </c>
    </row>
    <row r="561" spans="1:14">
      <c r="A561" t="s">
        <v>17105</v>
      </c>
      <c r="B561">
        <v>1</v>
      </c>
      <c r="C561" t="s">
        <v>16195</v>
      </c>
      <c r="D561" t="s">
        <v>4215</v>
      </c>
      <c r="E561" t="s">
        <v>17334</v>
      </c>
      <c r="F561">
        <v>3</v>
      </c>
      <c r="N561" t="s">
        <v>16195</v>
      </c>
    </row>
    <row r="562" spans="1:14">
      <c r="A562" t="s">
        <v>16902</v>
      </c>
      <c r="B562">
        <v>1</v>
      </c>
      <c r="C562" t="s">
        <v>16196</v>
      </c>
      <c r="D562" t="s">
        <v>4215</v>
      </c>
      <c r="E562" t="s">
        <v>17334</v>
      </c>
      <c r="F562">
        <v>3</v>
      </c>
      <c r="N562" t="s">
        <v>16196</v>
      </c>
    </row>
    <row r="563" spans="1:14">
      <c r="A563" t="s">
        <v>16911</v>
      </c>
      <c r="B563">
        <v>1</v>
      </c>
      <c r="C563" t="s">
        <v>16197</v>
      </c>
      <c r="D563" t="s">
        <v>4215</v>
      </c>
      <c r="E563" t="s">
        <v>17334</v>
      </c>
      <c r="F563">
        <v>3</v>
      </c>
      <c r="N563" t="s">
        <v>16197</v>
      </c>
    </row>
    <row r="564" spans="1:14">
      <c r="A564" t="s">
        <v>16920</v>
      </c>
      <c r="B564">
        <v>1</v>
      </c>
      <c r="C564" t="s">
        <v>16198</v>
      </c>
      <c r="D564" t="s">
        <v>4215</v>
      </c>
      <c r="E564" t="s">
        <v>17334</v>
      </c>
      <c r="F564">
        <v>3</v>
      </c>
      <c r="N564" t="s">
        <v>16198</v>
      </c>
    </row>
    <row r="565" spans="1:14">
      <c r="A565" t="s">
        <v>16929</v>
      </c>
      <c r="B565">
        <v>1</v>
      </c>
      <c r="C565" t="s">
        <v>16199</v>
      </c>
      <c r="D565" t="s">
        <v>4215</v>
      </c>
      <c r="E565" t="s">
        <v>17334</v>
      </c>
      <c r="F565">
        <v>3</v>
      </c>
      <c r="N565" t="s">
        <v>16199</v>
      </c>
    </row>
    <row r="566" spans="1:14">
      <c r="A566" t="s">
        <v>16938</v>
      </c>
      <c r="B566">
        <v>1</v>
      </c>
      <c r="C566" t="s">
        <v>16200</v>
      </c>
      <c r="D566" t="s">
        <v>4215</v>
      </c>
      <c r="E566" t="s">
        <v>17334</v>
      </c>
      <c r="F566">
        <v>3</v>
      </c>
      <c r="N566" t="s">
        <v>16200</v>
      </c>
    </row>
    <row r="567" spans="1:14">
      <c r="A567" t="s">
        <v>16947</v>
      </c>
      <c r="B567">
        <v>1</v>
      </c>
      <c r="C567" t="s">
        <v>16201</v>
      </c>
      <c r="D567" t="s">
        <v>4215</v>
      </c>
      <c r="E567" t="s">
        <v>17334</v>
      </c>
      <c r="F567">
        <v>3</v>
      </c>
      <c r="N567" t="s">
        <v>16201</v>
      </c>
    </row>
    <row r="568" spans="1:14">
      <c r="A568" t="s">
        <v>16956</v>
      </c>
      <c r="B568">
        <v>1</v>
      </c>
      <c r="C568" t="s">
        <v>16202</v>
      </c>
      <c r="D568" t="s">
        <v>4215</v>
      </c>
      <c r="E568" t="s">
        <v>17334</v>
      </c>
      <c r="F568">
        <v>3</v>
      </c>
      <c r="N568" t="s">
        <v>16202</v>
      </c>
    </row>
    <row r="569" spans="1:14">
      <c r="A569" t="s">
        <v>16965</v>
      </c>
      <c r="B569">
        <v>1</v>
      </c>
      <c r="C569" t="s">
        <v>16203</v>
      </c>
      <c r="D569" t="s">
        <v>4215</v>
      </c>
      <c r="E569" t="s">
        <v>17334</v>
      </c>
      <c r="F569">
        <v>3</v>
      </c>
      <c r="N569" t="s">
        <v>16203</v>
      </c>
    </row>
    <row r="570" spans="1:14">
      <c r="A570" t="s">
        <v>16973</v>
      </c>
      <c r="B570">
        <v>1</v>
      </c>
      <c r="C570" t="s">
        <v>16204</v>
      </c>
      <c r="D570" t="s">
        <v>4215</v>
      </c>
      <c r="E570" t="s">
        <v>17334</v>
      </c>
      <c r="F570">
        <v>3</v>
      </c>
      <c r="N570" t="s">
        <v>16204</v>
      </c>
    </row>
    <row r="571" spans="1:14">
      <c r="A571" t="s">
        <v>16980</v>
      </c>
      <c r="B571">
        <v>1</v>
      </c>
      <c r="C571" t="s">
        <v>16205</v>
      </c>
      <c r="D571" t="s">
        <v>4215</v>
      </c>
      <c r="E571" t="s">
        <v>17334</v>
      </c>
      <c r="F571">
        <v>3</v>
      </c>
      <c r="N571" t="s">
        <v>16205</v>
      </c>
    </row>
    <row r="572" spans="1:14">
      <c r="A572" t="s">
        <v>16987</v>
      </c>
      <c r="B572">
        <v>1</v>
      </c>
      <c r="C572" t="s">
        <v>16206</v>
      </c>
      <c r="D572" t="s">
        <v>4215</v>
      </c>
      <c r="E572" t="s">
        <v>17334</v>
      </c>
      <c r="F572">
        <v>3</v>
      </c>
      <c r="N572" t="s">
        <v>16206</v>
      </c>
    </row>
    <row r="573" spans="1:14">
      <c r="A573" t="s">
        <v>16994</v>
      </c>
      <c r="B573">
        <v>1</v>
      </c>
      <c r="C573" t="s">
        <v>16207</v>
      </c>
      <c r="D573" t="s">
        <v>4215</v>
      </c>
      <c r="E573" t="s">
        <v>17334</v>
      </c>
      <c r="F573">
        <v>3</v>
      </c>
      <c r="N573" t="s">
        <v>16207</v>
      </c>
    </row>
    <row r="574" spans="1:14">
      <c r="A574" t="s">
        <v>17001</v>
      </c>
      <c r="B574">
        <v>1</v>
      </c>
      <c r="C574" t="s">
        <v>16208</v>
      </c>
      <c r="D574" t="s">
        <v>4215</v>
      </c>
      <c r="E574" t="s">
        <v>17334</v>
      </c>
      <c r="F574">
        <v>3</v>
      </c>
      <c r="N574" t="s">
        <v>16208</v>
      </c>
    </row>
    <row r="575" spans="1:14">
      <c r="A575" t="s">
        <v>17008</v>
      </c>
      <c r="B575">
        <v>1</v>
      </c>
      <c r="C575" t="s">
        <v>16209</v>
      </c>
      <c r="D575" t="s">
        <v>4215</v>
      </c>
      <c r="E575" t="s">
        <v>17334</v>
      </c>
      <c r="F575">
        <v>3</v>
      </c>
      <c r="N575" t="s">
        <v>16209</v>
      </c>
    </row>
    <row r="576" spans="1:14">
      <c r="A576" t="s">
        <v>17015</v>
      </c>
      <c r="B576">
        <v>1</v>
      </c>
      <c r="C576" t="s">
        <v>16210</v>
      </c>
      <c r="D576" t="s">
        <v>4215</v>
      </c>
      <c r="E576" t="s">
        <v>17334</v>
      </c>
      <c r="F576">
        <v>3</v>
      </c>
      <c r="N576" t="s">
        <v>16210</v>
      </c>
    </row>
    <row r="577" spans="1:14">
      <c r="A577" t="s">
        <v>17022</v>
      </c>
      <c r="B577">
        <v>1</v>
      </c>
      <c r="C577" t="s">
        <v>16211</v>
      </c>
      <c r="D577" t="s">
        <v>4215</v>
      </c>
      <c r="E577" t="s">
        <v>17334</v>
      </c>
      <c r="F577">
        <v>3</v>
      </c>
      <c r="N577" t="s">
        <v>16211</v>
      </c>
    </row>
    <row r="578" spans="1:14">
      <c r="A578" t="s">
        <v>17029</v>
      </c>
      <c r="B578">
        <v>1</v>
      </c>
      <c r="C578" t="s">
        <v>16212</v>
      </c>
      <c r="D578" t="s">
        <v>4215</v>
      </c>
      <c r="E578" t="s">
        <v>17334</v>
      </c>
      <c r="F578">
        <v>3</v>
      </c>
      <c r="N578" t="s">
        <v>16212</v>
      </c>
    </row>
    <row r="579" spans="1:14">
      <c r="A579" t="s">
        <v>17036</v>
      </c>
      <c r="B579">
        <v>1</v>
      </c>
      <c r="C579" t="s">
        <v>16213</v>
      </c>
      <c r="D579" t="s">
        <v>4215</v>
      </c>
      <c r="E579" t="s">
        <v>17334</v>
      </c>
      <c r="F579">
        <v>3</v>
      </c>
      <c r="N579" t="s">
        <v>16213</v>
      </c>
    </row>
    <row r="580" spans="1:14">
      <c r="A580" t="s">
        <v>17043</v>
      </c>
      <c r="B580">
        <v>1</v>
      </c>
      <c r="C580" t="s">
        <v>16214</v>
      </c>
      <c r="D580" t="s">
        <v>4215</v>
      </c>
      <c r="E580" t="s">
        <v>17334</v>
      </c>
      <c r="F580">
        <v>3</v>
      </c>
      <c r="N580" t="s">
        <v>16214</v>
      </c>
    </row>
    <row r="581" spans="1:14">
      <c r="A581" t="s">
        <v>17050</v>
      </c>
      <c r="B581">
        <v>1</v>
      </c>
      <c r="C581" t="s">
        <v>16215</v>
      </c>
      <c r="D581" t="s">
        <v>4215</v>
      </c>
      <c r="E581" t="s">
        <v>17334</v>
      </c>
      <c r="F581">
        <v>3</v>
      </c>
      <c r="N581" t="s">
        <v>16215</v>
      </c>
    </row>
    <row r="582" spans="1:14">
      <c r="A582" t="s">
        <v>17057</v>
      </c>
      <c r="B582">
        <v>1</v>
      </c>
      <c r="C582" t="s">
        <v>16216</v>
      </c>
      <c r="D582" t="s">
        <v>4215</v>
      </c>
      <c r="E582" t="s">
        <v>17334</v>
      </c>
      <c r="F582">
        <v>3</v>
      </c>
      <c r="N582" t="s">
        <v>16216</v>
      </c>
    </row>
    <row r="583" spans="1:14">
      <c r="A583" t="s">
        <v>17064</v>
      </c>
      <c r="B583">
        <v>1</v>
      </c>
      <c r="C583" t="s">
        <v>16217</v>
      </c>
      <c r="D583" t="s">
        <v>4215</v>
      </c>
      <c r="E583" t="s">
        <v>17334</v>
      </c>
      <c r="F583">
        <v>3</v>
      </c>
      <c r="N583" t="s">
        <v>16217</v>
      </c>
    </row>
    <row r="584" spans="1:14">
      <c r="A584" t="s">
        <v>17071</v>
      </c>
      <c r="B584">
        <v>1</v>
      </c>
      <c r="C584" t="s">
        <v>16218</v>
      </c>
      <c r="D584" t="s">
        <v>4215</v>
      </c>
      <c r="E584" t="s">
        <v>17334</v>
      </c>
      <c r="F584">
        <v>3</v>
      </c>
      <c r="N584" t="s">
        <v>16218</v>
      </c>
    </row>
    <row r="585" spans="1:14">
      <c r="A585" t="s">
        <v>17078</v>
      </c>
      <c r="B585">
        <v>1</v>
      </c>
      <c r="C585" t="s">
        <v>16219</v>
      </c>
      <c r="D585" t="s">
        <v>4215</v>
      </c>
      <c r="E585" t="s">
        <v>17334</v>
      </c>
      <c r="F585">
        <v>3</v>
      </c>
      <c r="N585" t="s">
        <v>16219</v>
      </c>
    </row>
    <row r="586" spans="1:14">
      <c r="A586" t="s">
        <v>17085</v>
      </c>
      <c r="B586">
        <v>1</v>
      </c>
      <c r="C586" t="s">
        <v>16220</v>
      </c>
      <c r="D586" t="s">
        <v>4215</v>
      </c>
      <c r="E586" t="s">
        <v>17334</v>
      </c>
      <c r="F586">
        <v>3</v>
      </c>
      <c r="N586" t="s">
        <v>16220</v>
      </c>
    </row>
    <row r="587" spans="1:14">
      <c r="A587" t="s">
        <v>17092</v>
      </c>
      <c r="B587">
        <v>1</v>
      </c>
      <c r="C587" t="s">
        <v>16221</v>
      </c>
      <c r="D587" t="s">
        <v>4215</v>
      </c>
      <c r="E587" t="s">
        <v>17334</v>
      </c>
      <c r="F587">
        <v>3</v>
      </c>
      <c r="N587" t="s">
        <v>16221</v>
      </c>
    </row>
    <row r="588" spans="1:14">
      <c r="A588" t="s">
        <v>17099</v>
      </c>
      <c r="B588">
        <v>1</v>
      </c>
      <c r="C588" t="s">
        <v>16222</v>
      </c>
      <c r="D588" t="s">
        <v>4215</v>
      </c>
      <c r="E588" t="s">
        <v>17334</v>
      </c>
      <c r="F588">
        <v>3</v>
      </c>
      <c r="N588" t="s">
        <v>16222</v>
      </c>
    </row>
    <row r="589" spans="1:14">
      <c r="A589" t="s">
        <v>17106</v>
      </c>
      <c r="B589">
        <v>1</v>
      </c>
      <c r="C589" t="s">
        <v>16223</v>
      </c>
      <c r="D589" t="s">
        <v>4215</v>
      </c>
      <c r="E589" t="s">
        <v>17334</v>
      </c>
      <c r="F589">
        <v>3</v>
      </c>
      <c r="N589" t="s">
        <v>16223</v>
      </c>
    </row>
    <row r="590" spans="1:14">
      <c r="A590" t="s">
        <v>16903</v>
      </c>
      <c r="B590">
        <v>1</v>
      </c>
      <c r="C590" t="s">
        <v>16224</v>
      </c>
      <c r="D590" t="s">
        <v>4215</v>
      </c>
      <c r="E590" t="s">
        <v>17334</v>
      </c>
      <c r="F590">
        <v>3</v>
      </c>
      <c r="N590" t="s">
        <v>16224</v>
      </c>
    </row>
    <row r="591" spans="1:14">
      <c r="A591" t="s">
        <v>16912</v>
      </c>
      <c r="B591">
        <v>1</v>
      </c>
      <c r="C591" t="s">
        <v>16225</v>
      </c>
      <c r="D591" t="s">
        <v>4215</v>
      </c>
      <c r="E591" t="s">
        <v>17334</v>
      </c>
      <c r="F591">
        <v>3</v>
      </c>
      <c r="N591" t="s">
        <v>16225</v>
      </c>
    </row>
    <row r="592" spans="1:14">
      <c r="A592" t="s">
        <v>16921</v>
      </c>
      <c r="B592">
        <v>1</v>
      </c>
      <c r="C592" t="s">
        <v>16226</v>
      </c>
      <c r="D592" t="s">
        <v>4215</v>
      </c>
      <c r="E592" t="s">
        <v>17334</v>
      </c>
      <c r="F592">
        <v>3</v>
      </c>
      <c r="N592" t="s">
        <v>16226</v>
      </c>
    </row>
    <row r="593" spans="1:14">
      <c r="A593" t="s">
        <v>16930</v>
      </c>
      <c r="B593">
        <v>1</v>
      </c>
      <c r="C593" t="s">
        <v>16227</v>
      </c>
      <c r="D593" t="s">
        <v>4215</v>
      </c>
      <c r="E593" t="s">
        <v>17334</v>
      </c>
      <c r="F593">
        <v>3</v>
      </c>
      <c r="N593" t="s">
        <v>16227</v>
      </c>
    </row>
    <row r="594" spans="1:14">
      <c r="A594" t="s">
        <v>16939</v>
      </c>
      <c r="B594">
        <v>1</v>
      </c>
      <c r="C594" t="s">
        <v>16228</v>
      </c>
      <c r="D594" t="s">
        <v>4215</v>
      </c>
      <c r="E594" t="s">
        <v>17334</v>
      </c>
      <c r="F594">
        <v>3</v>
      </c>
      <c r="N594" t="s">
        <v>16228</v>
      </c>
    </row>
    <row r="595" spans="1:14">
      <c r="A595" t="s">
        <v>16948</v>
      </c>
      <c r="B595">
        <v>1</v>
      </c>
      <c r="C595" t="s">
        <v>16229</v>
      </c>
      <c r="D595" t="s">
        <v>4215</v>
      </c>
      <c r="E595" t="s">
        <v>17334</v>
      </c>
      <c r="F595">
        <v>3</v>
      </c>
      <c r="N595" t="s">
        <v>16229</v>
      </c>
    </row>
    <row r="596" spans="1:14">
      <c r="A596" t="s">
        <v>16957</v>
      </c>
      <c r="B596">
        <v>1</v>
      </c>
      <c r="C596" t="s">
        <v>16230</v>
      </c>
      <c r="D596" t="s">
        <v>4215</v>
      </c>
      <c r="E596" t="s">
        <v>17334</v>
      </c>
      <c r="F596">
        <v>3</v>
      </c>
      <c r="N596" t="s">
        <v>16230</v>
      </c>
    </row>
    <row r="597" spans="1:14">
      <c r="A597" t="s">
        <v>16966</v>
      </c>
      <c r="B597">
        <v>1</v>
      </c>
      <c r="C597" t="s">
        <v>16231</v>
      </c>
      <c r="D597" t="s">
        <v>4215</v>
      </c>
      <c r="E597" t="s">
        <v>17334</v>
      </c>
      <c r="F597">
        <v>3</v>
      </c>
      <c r="N597" t="s">
        <v>16231</v>
      </c>
    </row>
    <row r="598" spans="1:14">
      <c r="A598" t="s">
        <v>16974</v>
      </c>
      <c r="B598">
        <v>1</v>
      </c>
      <c r="C598" t="s">
        <v>16232</v>
      </c>
      <c r="D598" t="s">
        <v>4215</v>
      </c>
      <c r="E598" t="s">
        <v>17334</v>
      </c>
      <c r="F598">
        <v>3</v>
      </c>
      <c r="N598" t="s">
        <v>16232</v>
      </c>
    </row>
    <row r="599" spans="1:14">
      <c r="A599" t="s">
        <v>16981</v>
      </c>
      <c r="B599">
        <v>1</v>
      </c>
      <c r="C599" t="s">
        <v>16233</v>
      </c>
      <c r="D599" t="s">
        <v>4215</v>
      </c>
      <c r="E599" t="s">
        <v>17334</v>
      </c>
      <c r="F599">
        <v>3</v>
      </c>
      <c r="N599" t="s">
        <v>16233</v>
      </c>
    </row>
    <row r="600" spans="1:14">
      <c r="A600" t="s">
        <v>16988</v>
      </c>
      <c r="B600">
        <v>1</v>
      </c>
      <c r="C600" t="s">
        <v>16234</v>
      </c>
      <c r="D600" t="s">
        <v>4215</v>
      </c>
      <c r="E600" t="s">
        <v>17334</v>
      </c>
      <c r="F600">
        <v>3</v>
      </c>
      <c r="N600" t="s">
        <v>16234</v>
      </c>
    </row>
    <row r="601" spans="1:14">
      <c r="A601" t="s">
        <v>16995</v>
      </c>
      <c r="B601">
        <v>1</v>
      </c>
      <c r="C601" t="s">
        <v>16235</v>
      </c>
      <c r="D601" t="s">
        <v>4215</v>
      </c>
      <c r="E601" t="s">
        <v>17334</v>
      </c>
      <c r="F601">
        <v>3</v>
      </c>
      <c r="N601" t="s">
        <v>16235</v>
      </c>
    </row>
    <row r="602" spans="1:14">
      <c r="A602" t="s">
        <v>17002</v>
      </c>
      <c r="B602">
        <v>1</v>
      </c>
      <c r="C602" t="s">
        <v>16236</v>
      </c>
      <c r="D602" t="s">
        <v>4215</v>
      </c>
      <c r="E602" t="s">
        <v>17334</v>
      </c>
      <c r="F602">
        <v>3</v>
      </c>
      <c r="N602" t="s">
        <v>16236</v>
      </c>
    </row>
    <row r="603" spans="1:14">
      <c r="A603" t="s">
        <v>17009</v>
      </c>
      <c r="B603">
        <v>1</v>
      </c>
      <c r="C603" t="s">
        <v>16237</v>
      </c>
      <c r="D603" t="s">
        <v>4215</v>
      </c>
      <c r="E603" t="s">
        <v>17334</v>
      </c>
      <c r="F603">
        <v>3</v>
      </c>
      <c r="N603" t="s">
        <v>16237</v>
      </c>
    </row>
    <row r="604" spans="1:14">
      <c r="A604" t="s">
        <v>17016</v>
      </c>
      <c r="B604">
        <v>1</v>
      </c>
      <c r="C604" t="s">
        <v>16238</v>
      </c>
      <c r="D604" t="s">
        <v>4215</v>
      </c>
      <c r="E604" t="s">
        <v>17334</v>
      </c>
      <c r="F604">
        <v>3</v>
      </c>
      <c r="N604" t="s">
        <v>16238</v>
      </c>
    </row>
    <row r="605" spans="1:14">
      <c r="A605" t="s">
        <v>17023</v>
      </c>
      <c r="B605">
        <v>1</v>
      </c>
      <c r="C605" t="s">
        <v>16239</v>
      </c>
      <c r="D605" t="s">
        <v>4215</v>
      </c>
      <c r="E605" t="s">
        <v>17334</v>
      </c>
      <c r="F605">
        <v>3</v>
      </c>
      <c r="N605" t="s">
        <v>16239</v>
      </c>
    </row>
    <row r="606" spans="1:14">
      <c r="A606" t="s">
        <v>17030</v>
      </c>
      <c r="B606">
        <v>1</v>
      </c>
      <c r="C606" t="s">
        <v>16240</v>
      </c>
      <c r="D606" t="s">
        <v>4215</v>
      </c>
      <c r="E606" t="s">
        <v>17334</v>
      </c>
      <c r="F606">
        <v>3</v>
      </c>
      <c r="N606" t="s">
        <v>16240</v>
      </c>
    </row>
    <row r="607" spans="1:14">
      <c r="A607" t="s">
        <v>17037</v>
      </c>
      <c r="B607">
        <v>1</v>
      </c>
      <c r="C607" t="s">
        <v>16241</v>
      </c>
      <c r="D607" t="s">
        <v>4215</v>
      </c>
      <c r="E607" t="s">
        <v>17334</v>
      </c>
      <c r="F607">
        <v>3</v>
      </c>
      <c r="N607" t="s">
        <v>16241</v>
      </c>
    </row>
    <row r="608" spans="1:14">
      <c r="A608" t="s">
        <v>17044</v>
      </c>
      <c r="B608">
        <v>1</v>
      </c>
      <c r="C608" t="s">
        <v>16242</v>
      </c>
      <c r="D608" t="s">
        <v>4215</v>
      </c>
      <c r="E608" t="s">
        <v>17334</v>
      </c>
      <c r="F608">
        <v>3</v>
      </c>
      <c r="N608" t="s">
        <v>16242</v>
      </c>
    </row>
    <row r="609" spans="1:14">
      <c r="A609" t="s">
        <v>17051</v>
      </c>
      <c r="B609">
        <v>1</v>
      </c>
      <c r="C609" t="s">
        <v>16243</v>
      </c>
      <c r="D609" t="s">
        <v>4215</v>
      </c>
      <c r="E609" t="s">
        <v>17334</v>
      </c>
      <c r="F609">
        <v>3</v>
      </c>
      <c r="N609" t="s">
        <v>16243</v>
      </c>
    </row>
    <row r="610" spans="1:14">
      <c r="A610" t="s">
        <v>17058</v>
      </c>
      <c r="B610">
        <v>1</v>
      </c>
      <c r="C610" t="s">
        <v>16244</v>
      </c>
      <c r="D610" t="s">
        <v>4215</v>
      </c>
      <c r="E610" t="s">
        <v>17334</v>
      </c>
      <c r="F610">
        <v>3</v>
      </c>
      <c r="N610" t="s">
        <v>16244</v>
      </c>
    </row>
    <row r="611" spans="1:14">
      <c r="A611" t="s">
        <v>17065</v>
      </c>
      <c r="B611">
        <v>1</v>
      </c>
      <c r="C611" t="s">
        <v>16245</v>
      </c>
      <c r="D611" t="s">
        <v>4215</v>
      </c>
      <c r="E611" t="s">
        <v>17334</v>
      </c>
      <c r="F611">
        <v>3</v>
      </c>
      <c r="N611" t="s">
        <v>16245</v>
      </c>
    </row>
    <row r="612" spans="1:14">
      <c r="A612" t="s">
        <v>17072</v>
      </c>
      <c r="B612">
        <v>1</v>
      </c>
      <c r="C612" t="s">
        <v>16246</v>
      </c>
      <c r="D612" t="s">
        <v>4215</v>
      </c>
      <c r="E612" t="s">
        <v>17334</v>
      </c>
      <c r="F612">
        <v>3</v>
      </c>
      <c r="N612" t="s">
        <v>16246</v>
      </c>
    </row>
    <row r="613" spans="1:14">
      <c r="A613" t="s">
        <v>17079</v>
      </c>
      <c r="B613">
        <v>1</v>
      </c>
      <c r="C613" t="s">
        <v>16247</v>
      </c>
      <c r="D613" t="s">
        <v>4215</v>
      </c>
      <c r="E613" t="s">
        <v>17334</v>
      </c>
      <c r="F613">
        <v>3</v>
      </c>
      <c r="N613" t="s">
        <v>16247</v>
      </c>
    </row>
    <row r="614" spans="1:14">
      <c r="A614" t="s">
        <v>17086</v>
      </c>
      <c r="B614">
        <v>1</v>
      </c>
      <c r="C614" t="s">
        <v>16248</v>
      </c>
      <c r="D614" t="s">
        <v>4215</v>
      </c>
      <c r="E614" t="s">
        <v>17334</v>
      </c>
      <c r="F614">
        <v>3</v>
      </c>
      <c r="N614" t="s">
        <v>16248</v>
      </c>
    </row>
    <row r="615" spans="1:14">
      <c r="A615" t="s">
        <v>17093</v>
      </c>
      <c r="B615">
        <v>1</v>
      </c>
      <c r="C615" t="s">
        <v>16249</v>
      </c>
      <c r="D615" t="s">
        <v>4215</v>
      </c>
      <c r="E615" t="s">
        <v>17334</v>
      </c>
      <c r="F615">
        <v>3</v>
      </c>
      <c r="N615" t="s">
        <v>16249</v>
      </c>
    </row>
    <row r="616" spans="1:14">
      <c r="A616" t="s">
        <v>17100</v>
      </c>
      <c r="B616">
        <v>1</v>
      </c>
      <c r="C616" t="s">
        <v>16250</v>
      </c>
      <c r="D616" t="s">
        <v>4215</v>
      </c>
      <c r="E616" t="s">
        <v>17334</v>
      </c>
      <c r="F616">
        <v>3</v>
      </c>
      <c r="N616" t="s">
        <v>16250</v>
      </c>
    </row>
    <row r="617" spans="1:14">
      <c r="A617" t="s">
        <v>17107</v>
      </c>
      <c r="B617">
        <v>1</v>
      </c>
      <c r="C617" t="s">
        <v>16251</v>
      </c>
      <c r="D617" t="s">
        <v>4215</v>
      </c>
      <c r="E617" t="s">
        <v>17334</v>
      </c>
      <c r="F617">
        <v>3</v>
      </c>
      <c r="N617" t="s">
        <v>16251</v>
      </c>
    </row>
    <row r="618" spans="1:14">
      <c r="A618" t="s">
        <v>16904</v>
      </c>
      <c r="B618">
        <v>1</v>
      </c>
      <c r="C618" t="s">
        <v>16252</v>
      </c>
      <c r="D618" t="s">
        <v>4215</v>
      </c>
      <c r="E618" t="s">
        <v>17334</v>
      </c>
      <c r="F618">
        <v>3</v>
      </c>
      <c r="N618" t="s">
        <v>16252</v>
      </c>
    </row>
    <row r="619" spans="1:14">
      <c r="A619" t="s">
        <v>16913</v>
      </c>
      <c r="B619">
        <v>1</v>
      </c>
      <c r="C619" t="s">
        <v>16253</v>
      </c>
      <c r="D619" t="s">
        <v>4215</v>
      </c>
      <c r="E619" t="s">
        <v>17334</v>
      </c>
      <c r="F619">
        <v>3</v>
      </c>
      <c r="N619" t="s">
        <v>16253</v>
      </c>
    </row>
    <row r="620" spans="1:14">
      <c r="A620" t="s">
        <v>16922</v>
      </c>
      <c r="B620">
        <v>1</v>
      </c>
      <c r="C620" t="s">
        <v>16254</v>
      </c>
      <c r="D620" t="s">
        <v>4215</v>
      </c>
      <c r="E620" t="s">
        <v>17334</v>
      </c>
      <c r="F620">
        <v>3</v>
      </c>
      <c r="N620" t="s">
        <v>16254</v>
      </c>
    </row>
    <row r="621" spans="1:14">
      <c r="A621" t="s">
        <v>16931</v>
      </c>
      <c r="B621">
        <v>1</v>
      </c>
      <c r="C621" t="s">
        <v>16255</v>
      </c>
      <c r="D621" t="s">
        <v>4215</v>
      </c>
      <c r="E621" t="s">
        <v>17334</v>
      </c>
      <c r="F621">
        <v>3</v>
      </c>
      <c r="N621" t="s">
        <v>16255</v>
      </c>
    </row>
    <row r="622" spans="1:14">
      <c r="A622" t="s">
        <v>16940</v>
      </c>
      <c r="B622">
        <v>1</v>
      </c>
      <c r="C622" t="s">
        <v>16256</v>
      </c>
      <c r="D622" t="s">
        <v>4215</v>
      </c>
      <c r="E622" t="s">
        <v>17334</v>
      </c>
      <c r="F622">
        <v>3</v>
      </c>
      <c r="N622" t="s">
        <v>16256</v>
      </c>
    </row>
    <row r="623" spans="1:14">
      <c r="A623" t="s">
        <v>16949</v>
      </c>
      <c r="B623">
        <v>1</v>
      </c>
      <c r="C623" t="s">
        <v>16257</v>
      </c>
      <c r="D623" t="s">
        <v>4215</v>
      </c>
      <c r="E623" t="s">
        <v>17334</v>
      </c>
      <c r="F623">
        <v>3</v>
      </c>
      <c r="N623" t="s">
        <v>16257</v>
      </c>
    </row>
    <row r="624" spans="1:14">
      <c r="A624" t="s">
        <v>16958</v>
      </c>
      <c r="B624">
        <v>1</v>
      </c>
      <c r="C624" t="s">
        <v>16258</v>
      </c>
      <c r="D624" t="s">
        <v>4215</v>
      </c>
      <c r="E624" t="s">
        <v>17334</v>
      </c>
      <c r="F624">
        <v>3</v>
      </c>
      <c r="N624" t="s">
        <v>16258</v>
      </c>
    </row>
    <row r="625" spans="1:14">
      <c r="A625" t="s">
        <v>16905</v>
      </c>
      <c r="B625">
        <v>1</v>
      </c>
      <c r="C625" t="s">
        <v>16259</v>
      </c>
      <c r="D625" t="s">
        <v>4215</v>
      </c>
      <c r="E625" t="s">
        <v>17334</v>
      </c>
      <c r="F625">
        <v>3</v>
      </c>
      <c r="N625" t="s">
        <v>16259</v>
      </c>
    </row>
    <row r="626" spans="1:14">
      <c r="A626" t="s">
        <v>16914</v>
      </c>
      <c r="B626">
        <v>1</v>
      </c>
      <c r="C626" t="s">
        <v>16260</v>
      </c>
      <c r="D626" t="s">
        <v>4215</v>
      </c>
      <c r="E626" t="s">
        <v>17334</v>
      </c>
      <c r="F626">
        <v>3</v>
      </c>
      <c r="N626" t="s">
        <v>16260</v>
      </c>
    </row>
    <row r="627" spans="1:14">
      <c r="A627" t="s">
        <v>16923</v>
      </c>
      <c r="B627">
        <v>1</v>
      </c>
      <c r="C627" t="s">
        <v>16261</v>
      </c>
      <c r="D627" t="s">
        <v>4215</v>
      </c>
      <c r="E627" t="s">
        <v>17334</v>
      </c>
      <c r="F627">
        <v>3</v>
      </c>
      <c r="N627" t="s">
        <v>16261</v>
      </c>
    </row>
    <row r="628" spans="1:14">
      <c r="A628" t="s">
        <v>16932</v>
      </c>
      <c r="B628">
        <v>1</v>
      </c>
      <c r="C628" t="s">
        <v>16262</v>
      </c>
      <c r="D628" t="s">
        <v>4215</v>
      </c>
      <c r="E628" t="s">
        <v>17334</v>
      </c>
      <c r="F628">
        <v>3</v>
      </c>
      <c r="N628" t="s">
        <v>16262</v>
      </c>
    </row>
    <row r="629" spans="1:14">
      <c r="A629" t="s">
        <v>16941</v>
      </c>
      <c r="B629">
        <v>1</v>
      </c>
      <c r="C629" t="s">
        <v>16263</v>
      </c>
      <c r="D629" t="s">
        <v>4215</v>
      </c>
      <c r="E629" t="s">
        <v>17334</v>
      </c>
      <c r="F629">
        <v>3</v>
      </c>
      <c r="N629" t="s">
        <v>16263</v>
      </c>
    </row>
    <row r="630" spans="1:14">
      <c r="A630" t="s">
        <v>16950</v>
      </c>
      <c r="B630">
        <v>1</v>
      </c>
      <c r="C630" t="s">
        <v>16264</v>
      </c>
      <c r="D630" t="s">
        <v>4215</v>
      </c>
      <c r="E630" t="s">
        <v>17334</v>
      </c>
      <c r="F630">
        <v>3</v>
      </c>
      <c r="N630" t="s">
        <v>16264</v>
      </c>
    </row>
    <row r="631" spans="1:14">
      <c r="A631" t="s">
        <v>16959</v>
      </c>
      <c r="B631">
        <v>1</v>
      </c>
      <c r="C631" t="s">
        <v>16265</v>
      </c>
      <c r="D631" t="s">
        <v>4215</v>
      </c>
      <c r="E631" t="s">
        <v>17334</v>
      </c>
      <c r="F631">
        <v>3</v>
      </c>
      <c r="N631" t="s">
        <v>16265</v>
      </c>
    </row>
    <row r="632" spans="1:14">
      <c r="A632" t="s">
        <v>17108</v>
      </c>
      <c r="B632">
        <v>1</v>
      </c>
      <c r="C632" t="s">
        <v>16266</v>
      </c>
      <c r="D632" t="s">
        <v>4215</v>
      </c>
      <c r="E632" t="s">
        <v>17334</v>
      </c>
      <c r="F632">
        <v>3</v>
      </c>
      <c r="N632" t="s">
        <v>16266</v>
      </c>
    </row>
    <row r="633" spans="1:14">
      <c r="A633" t="s">
        <v>17117</v>
      </c>
      <c r="B633">
        <v>1</v>
      </c>
      <c r="C633" t="s">
        <v>16267</v>
      </c>
      <c r="D633" t="s">
        <v>4215</v>
      </c>
      <c r="E633" t="s">
        <v>17334</v>
      </c>
      <c r="F633">
        <v>3</v>
      </c>
      <c r="N633" t="s">
        <v>16267</v>
      </c>
    </row>
    <row r="634" spans="1:14">
      <c r="A634" t="s">
        <v>17126</v>
      </c>
      <c r="B634">
        <v>1</v>
      </c>
      <c r="C634" t="s">
        <v>16268</v>
      </c>
      <c r="D634" t="s">
        <v>4215</v>
      </c>
      <c r="E634" t="s">
        <v>17334</v>
      </c>
      <c r="F634">
        <v>3</v>
      </c>
      <c r="N634" t="s">
        <v>16268</v>
      </c>
    </row>
    <row r="635" spans="1:14">
      <c r="A635" t="s">
        <v>17135</v>
      </c>
      <c r="B635">
        <v>1</v>
      </c>
      <c r="C635" t="s">
        <v>16269</v>
      </c>
      <c r="D635" t="s">
        <v>4215</v>
      </c>
      <c r="E635" t="s">
        <v>17334</v>
      </c>
      <c r="F635">
        <v>3</v>
      </c>
      <c r="N635" t="s">
        <v>16269</v>
      </c>
    </row>
    <row r="636" spans="1:14">
      <c r="A636" t="s">
        <v>17144</v>
      </c>
      <c r="B636">
        <v>1</v>
      </c>
      <c r="C636" t="s">
        <v>16270</v>
      </c>
      <c r="D636" t="s">
        <v>4215</v>
      </c>
      <c r="E636" t="s">
        <v>17334</v>
      </c>
      <c r="F636">
        <v>3</v>
      </c>
      <c r="N636" t="s">
        <v>16270</v>
      </c>
    </row>
    <row r="637" spans="1:14">
      <c r="A637" t="s">
        <v>17153</v>
      </c>
      <c r="B637">
        <v>1</v>
      </c>
      <c r="C637" t="s">
        <v>16271</v>
      </c>
      <c r="D637" t="s">
        <v>4215</v>
      </c>
      <c r="E637" t="s">
        <v>17334</v>
      </c>
      <c r="F637">
        <v>3</v>
      </c>
      <c r="N637" t="s">
        <v>16271</v>
      </c>
    </row>
    <row r="638" spans="1:14">
      <c r="A638" t="s">
        <v>17162</v>
      </c>
      <c r="B638">
        <v>1</v>
      </c>
      <c r="C638" t="s">
        <v>16272</v>
      </c>
      <c r="D638" t="s">
        <v>4215</v>
      </c>
      <c r="E638" t="s">
        <v>17334</v>
      </c>
      <c r="F638">
        <v>3</v>
      </c>
      <c r="N638" t="s">
        <v>16272</v>
      </c>
    </row>
    <row r="639" spans="1:14">
      <c r="A639" t="s">
        <v>17171</v>
      </c>
      <c r="B639">
        <v>1</v>
      </c>
      <c r="C639" t="s">
        <v>16273</v>
      </c>
      <c r="D639" t="s">
        <v>4215</v>
      </c>
      <c r="E639" t="s">
        <v>17334</v>
      </c>
      <c r="F639">
        <v>3</v>
      </c>
      <c r="N639" t="s">
        <v>16273</v>
      </c>
    </row>
    <row r="640" spans="1:14">
      <c r="A640" t="s">
        <v>17179</v>
      </c>
      <c r="B640">
        <v>1</v>
      </c>
      <c r="C640" t="s">
        <v>16274</v>
      </c>
      <c r="D640" t="s">
        <v>4215</v>
      </c>
      <c r="E640" t="s">
        <v>17334</v>
      </c>
      <c r="F640">
        <v>3</v>
      </c>
      <c r="N640" t="s">
        <v>16274</v>
      </c>
    </row>
    <row r="641" spans="1:14">
      <c r="A641" t="s">
        <v>17186</v>
      </c>
      <c r="B641">
        <v>1</v>
      </c>
      <c r="C641" t="s">
        <v>16275</v>
      </c>
      <c r="D641" t="s">
        <v>4215</v>
      </c>
      <c r="E641" t="s">
        <v>17334</v>
      </c>
      <c r="F641">
        <v>3</v>
      </c>
      <c r="N641" t="s">
        <v>16275</v>
      </c>
    </row>
    <row r="642" spans="1:14">
      <c r="A642" t="s">
        <v>17193</v>
      </c>
      <c r="B642">
        <v>1</v>
      </c>
      <c r="C642" t="s">
        <v>16276</v>
      </c>
      <c r="D642" t="s">
        <v>4215</v>
      </c>
      <c r="E642" t="s">
        <v>17334</v>
      </c>
      <c r="F642">
        <v>3</v>
      </c>
      <c r="N642" t="s">
        <v>16276</v>
      </c>
    </row>
    <row r="643" spans="1:14">
      <c r="A643" t="s">
        <v>17200</v>
      </c>
      <c r="B643">
        <v>1</v>
      </c>
      <c r="C643" t="s">
        <v>16277</v>
      </c>
      <c r="D643" t="s">
        <v>4215</v>
      </c>
      <c r="E643" t="s">
        <v>17334</v>
      </c>
      <c r="F643">
        <v>3</v>
      </c>
      <c r="N643" t="s">
        <v>16277</v>
      </c>
    </row>
    <row r="644" spans="1:14">
      <c r="A644" t="s">
        <v>17207</v>
      </c>
      <c r="B644">
        <v>1</v>
      </c>
      <c r="C644" t="s">
        <v>16278</v>
      </c>
      <c r="D644" t="s">
        <v>4215</v>
      </c>
      <c r="E644" t="s">
        <v>17334</v>
      </c>
      <c r="F644">
        <v>3</v>
      </c>
      <c r="N644" t="s">
        <v>16278</v>
      </c>
    </row>
    <row r="645" spans="1:14">
      <c r="A645" t="s">
        <v>17214</v>
      </c>
      <c r="B645">
        <v>1</v>
      </c>
      <c r="C645" t="s">
        <v>16279</v>
      </c>
      <c r="D645" t="s">
        <v>4215</v>
      </c>
      <c r="E645" t="s">
        <v>17334</v>
      </c>
      <c r="F645">
        <v>3</v>
      </c>
      <c r="N645" t="s">
        <v>16279</v>
      </c>
    </row>
    <row r="646" spans="1:14">
      <c r="A646" t="s">
        <v>17221</v>
      </c>
      <c r="B646">
        <v>1</v>
      </c>
      <c r="C646" t="s">
        <v>16280</v>
      </c>
      <c r="D646" t="s">
        <v>4215</v>
      </c>
      <c r="E646" t="s">
        <v>17334</v>
      </c>
      <c r="F646">
        <v>3</v>
      </c>
      <c r="N646" t="s">
        <v>16280</v>
      </c>
    </row>
    <row r="647" spans="1:14">
      <c r="A647" t="s">
        <v>17228</v>
      </c>
      <c r="B647">
        <v>1</v>
      </c>
      <c r="C647" t="s">
        <v>16281</v>
      </c>
      <c r="D647" t="s">
        <v>4215</v>
      </c>
      <c r="E647" t="s">
        <v>17334</v>
      </c>
      <c r="F647">
        <v>3</v>
      </c>
      <c r="N647" t="s">
        <v>16281</v>
      </c>
    </row>
    <row r="648" spans="1:14">
      <c r="A648" t="s">
        <v>17235</v>
      </c>
      <c r="B648">
        <v>1</v>
      </c>
      <c r="C648" t="s">
        <v>16282</v>
      </c>
      <c r="D648" t="s">
        <v>4215</v>
      </c>
      <c r="E648" t="s">
        <v>17334</v>
      </c>
      <c r="F648">
        <v>3</v>
      </c>
      <c r="N648" t="s">
        <v>16282</v>
      </c>
    </row>
    <row r="649" spans="1:14">
      <c r="A649" t="s">
        <v>17242</v>
      </c>
      <c r="B649">
        <v>1</v>
      </c>
      <c r="C649" t="s">
        <v>16283</v>
      </c>
      <c r="D649" t="s">
        <v>4215</v>
      </c>
      <c r="E649" t="s">
        <v>17334</v>
      </c>
      <c r="F649">
        <v>3</v>
      </c>
      <c r="N649" t="s">
        <v>16283</v>
      </c>
    </row>
    <row r="650" spans="1:14">
      <c r="A650" t="s">
        <v>17249</v>
      </c>
      <c r="B650">
        <v>1</v>
      </c>
      <c r="C650" t="s">
        <v>16284</v>
      </c>
      <c r="D650" t="s">
        <v>4215</v>
      </c>
      <c r="E650" t="s">
        <v>17334</v>
      </c>
      <c r="F650">
        <v>3</v>
      </c>
      <c r="N650" t="s">
        <v>16284</v>
      </c>
    </row>
    <row r="651" spans="1:14">
      <c r="A651" t="s">
        <v>17256</v>
      </c>
      <c r="B651">
        <v>1</v>
      </c>
      <c r="C651" t="s">
        <v>16285</v>
      </c>
      <c r="D651" t="s">
        <v>4215</v>
      </c>
      <c r="E651" t="s">
        <v>17334</v>
      </c>
      <c r="F651">
        <v>3</v>
      </c>
      <c r="N651" t="s">
        <v>16285</v>
      </c>
    </row>
    <row r="652" spans="1:14">
      <c r="A652" t="s">
        <v>17263</v>
      </c>
      <c r="B652">
        <v>1</v>
      </c>
      <c r="C652" t="s">
        <v>16286</v>
      </c>
      <c r="D652" t="s">
        <v>4215</v>
      </c>
      <c r="E652" t="s">
        <v>17334</v>
      </c>
      <c r="F652">
        <v>3</v>
      </c>
      <c r="N652" t="s">
        <v>16286</v>
      </c>
    </row>
    <row r="653" spans="1:14">
      <c r="A653" t="s">
        <v>17270</v>
      </c>
      <c r="B653">
        <v>1</v>
      </c>
      <c r="C653" t="s">
        <v>16287</v>
      </c>
      <c r="D653" t="s">
        <v>4215</v>
      </c>
      <c r="E653" t="s">
        <v>17334</v>
      </c>
      <c r="F653">
        <v>3</v>
      </c>
      <c r="N653" t="s">
        <v>16287</v>
      </c>
    </row>
    <row r="654" spans="1:14">
      <c r="A654" t="s">
        <v>17277</v>
      </c>
      <c r="B654">
        <v>1</v>
      </c>
      <c r="C654" t="s">
        <v>16288</v>
      </c>
      <c r="D654" t="s">
        <v>4215</v>
      </c>
      <c r="E654" t="s">
        <v>17334</v>
      </c>
      <c r="F654">
        <v>3</v>
      </c>
      <c r="N654" t="s">
        <v>16288</v>
      </c>
    </row>
    <row r="655" spans="1:14">
      <c r="A655" t="s">
        <v>17284</v>
      </c>
      <c r="B655">
        <v>1</v>
      </c>
      <c r="C655" t="s">
        <v>16289</v>
      </c>
      <c r="D655" t="s">
        <v>4215</v>
      </c>
      <c r="E655" t="s">
        <v>17334</v>
      </c>
      <c r="F655">
        <v>3</v>
      </c>
      <c r="N655" t="s">
        <v>16289</v>
      </c>
    </row>
    <row r="656" spans="1:14">
      <c r="A656" t="s">
        <v>17291</v>
      </c>
      <c r="B656">
        <v>1</v>
      </c>
      <c r="C656" t="s">
        <v>16290</v>
      </c>
      <c r="D656" t="s">
        <v>4215</v>
      </c>
      <c r="E656" t="s">
        <v>17334</v>
      </c>
      <c r="F656">
        <v>3</v>
      </c>
      <c r="N656" t="s">
        <v>16290</v>
      </c>
    </row>
    <row r="657" spans="1:14">
      <c r="A657" t="s">
        <v>17298</v>
      </c>
      <c r="B657">
        <v>1</v>
      </c>
      <c r="C657" t="s">
        <v>16291</v>
      </c>
      <c r="D657" t="s">
        <v>4215</v>
      </c>
      <c r="E657" t="s">
        <v>17334</v>
      </c>
      <c r="F657">
        <v>3</v>
      </c>
      <c r="N657" t="s">
        <v>16291</v>
      </c>
    </row>
    <row r="658" spans="1:14">
      <c r="A658" t="s">
        <v>17305</v>
      </c>
      <c r="B658">
        <v>1</v>
      </c>
      <c r="C658" t="s">
        <v>16292</v>
      </c>
      <c r="D658" t="s">
        <v>4215</v>
      </c>
      <c r="E658" t="s">
        <v>17334</v>
      </c>
      <c r="F658">
        <v>3</v>
      </c>
      <c r="N658" t="s">
        <v>16292</v>
      </c>
    </row>
    <row r="659" spans="1:14">
      <c r="A659" t="s">
        <v>17312</v>
      </c>
      <c r="B659">
        <v>1</v>
      </c>
      <c r="C659" t="s">
        <v>16293</v>
      </c>
      <c r="D659" t="s">
        <v>4215</v>
      </c>
      <c r="E659" t="s">
        <v>17334</v>
      </c>
      <c r="F659">
        <v>3</v>
      </c>
      <c r="N659" t="s">
        <v>16293</v>
      </c>
    </row>
    <row r="660" spans="1:14">
      <c r="A660" t="s">
        <v>17109</v>
      </c>
      <c r="B660">
        <v>1</v>
      </c>
      <c r="C660" t="s">
        <v>16294</v>
      </c>
      <c r="D660" t="s">
        <v>4215</v>
      </c>
      <c r="E660" t="s">
        <v>17334</v>
      </c>
      <c r="F660">
        <v>3</v>
      </c>
      <c r="N660" t="s">
        <v>16294</v>
      </c>
    </row>
    <row r="661" spans="1:14">
      <c r="A661" t="s">
        <v>17118</v>
      </c>
      <c r="B661">
        <v>1</v>
      </c>
      <c r="C661" t="s">
        <v>16295</v>
      </c>
      <c r="D661" t="s">
        <v>4215</v>
      </c>
      <c r="E661" t="s">
        <v>17334</v>
      </c>
      <c r="F661">
        <v>3</v>
      </c>
      <c r="N661" t="s">
        <v>16295</v>
      </c>
    </row>
    <row r="662" spans="1:14">
      <c r="A662" t="s">
        <v>17127</v>
      </c>
      <c r="B662">
        <v>1</v>
      </c>
      <c r="C662" t="s">
        <v>16296</v>
      </c>
      <c r="D662" t="s">
        <v>4215</v>
      </c>
      <c r="E662" t="s">
        <v>17334</v>
      </c>
      <c r="F662">
        <v>3</v>
      </c>
      <c r="N662" t="s">
        <v>16296</v>
      </c>
    </row>
    <row r="663" spans="1:14">
      <c r="A663" t="s">
        <v>17136</v>
      </c>
      <c r="B663">
        <v>1</v>
      </c>
      <c r="C663" t="s">
        <v>16297</v>
      </c>
      <c r="D663" t="s">
        <v>4215</v>
      </c>
      <c r="E663" t="s">
        <v>17334</v>
      </c>
      <c r="F663">
        <v>3</v>
      </c>
      <c r="N663" t="s">
        <v>16297</v>
      </c>
    </row>
    <row r="664" spans="1:14">
      <c r="A664" t="s">
        <v>17145</v>
      </c>
      <c r="B664">
        <v>1</v>
      </c>
      <c r="C664" t="s">
        <v>16298</v>
      </c>
      <c r="D664" t="s">
        <v>4215</v>
      </c>
      <c r="E664" t="s">
        <v>17334</v>
      </c>
      <c r="F664">
        <v>3</v>
      </c>
      <c r="N664" t="s">
        <v>16298</v>
      </c>
    </row>
    <row r="665" spans="1:14">
      <c r="A665" t="s">
        <v>17154</v>
      </c>
      <c r="B665">
        <v>1</v>
      </c>
      <c r="C665" t="s">
        <v>16299</v>
      </c>
      <c r="D665" t="s">
        <v>4215</v>
      </c>
      <c r="E665" t="s">
        <v>17334</v>
      </c>
      <c r="F665">
        <v>3</v>
      </c>
      <c r="N665" t="s">
        <v>16299</v>
      </c>
    </row>
    <row r="666" spans="1:14">
      <c r="A666" t="s">
        <v>17163</v>
      </c>
      <c r="B666">
        <v>1</v>
      </c>
      <c r="C666" t="s">
        <v>16300</v>
      </c>
      <c r="D666" t="s">
        <v>4215</v>
      </c>
      <c r="E666" t="s">
        <v>17334</v>
      </c>
      <c r="F666">
        <v>3</v>
      </c>
      <c r="N666" t="s">
        <v>16300</v>
      </c>
    </row>
    <row r="667" spans="1:14">
      <c r="A667" t="s">
        <v>17172</v>
      </c>
      <c r="B667">
        <v>1</v>
      </c>
      <c r="C667" t="s">
        <v>16301</v>
      </c>
      <c r="D667" t="s">
        <v>4215</v>
      </c>
      <c r="E667" t="s">
        <v>17334</v>
      </c>
      <c r="F667">
        <v>3</v>
      </c>
      <c r="N667" t="s">
        <v>16301</v>
      </c>
    </row>
    <row r="668" spans="1:14">
      <c r="A668" t="s">
        <v>17180</v>
      </c>
      <c r="B668">
        <v>1</v>
      </c>
      <c r="C668" t="s">
        <v>16302</v>
      </c>
      <c r="D668" t="s">
        <v>4215</v>
      </c>
      <c r="E668" t="s">
        <v>17334</v>
      </c>
      <c r="F668">
        <v>3</v>
      </c>
      <c r="N668" t="s">
        <v>16302</v>
      </c>
    </row>
    <row r="669" spans="1:14">
      <c r="A669" t="s">
        <v>17187</v>
      </c>
      <c r="B669">
        <v>1</v>
      </c>
      <c r="C669" t="s">
        <v>16303</v>
      </c>
      <c r="D669" t="s">
        <v>4215</v>
      </c>
      <c r="E669" t="s">
        <v>17334</v>
      </c>
      <c r="F669">
        <v>3</v>
      </c>
      <c r="N669" t="s">
        <v>16303</v>
      </c>
    </row>
    <row r="670" spans="1:14">
      <c r="A670" t="s">
        <v>17194</v>
      </c>
      <c r="B670">
        <v>1</v>
      </c>
      <c r="C670" t="s">
        <v>16304</v>
      </c>
      <c r="D670" t="s">
        <v>4215</v>
      </c>
      <c r="E670" t="s">
        <v>17334</v>
      </c>
      <c r="F670">
        <v>3</v>
      </c>
      <c r="N670" t="s">
        <v>16304</v>
      </c>
    </row>
    <row r="671" spans="1:14">
      <c r="A671" t="s">
        <v>17201</v>
      </c>
      <c r="B671">
        <v>1</v>
      </c>
      <c r="C671" t="s">
        <v>16305</v>
      </c>
      <c r="D671" t="s">
        <v>4215</v>
      </c>
      <c r="E671" t="s">
        <v>17334</v>
      </c>
      <c r="F671">
        <v>3</v>
      </c>
      <c r="N671" t="s">
        <v>16305</v>
      </c>
    </row>
    <row r="672" spans="1:14">
      <c r="A672" t="s">
        <v>17208</v>
      </c>
      <c r="B672">
        <v>1</v>
      </c>
      <c r="C672" t="s">
        <v>16306</v>
      </c>
      <c r="D672" t="s">
        <v>4215</v>
      </c>
      <c r="E672" t="s">
        <v>17334</v>
      </c>
      <c r="F672">
        <v>3</v>
      </c>
      <c r="N672" t="s">
        <v>16306</v>
      </c>
    </row>
    <row r="673" spans="1:14">
      <c r="A673" t="s">
        <v>17215</v>
      </c>
      <c r="B673">
        <v>1</v>
      </c>
      <c r="C673" t="s">
        <v>16307</v>
      </c>
      <c r="D673" t="s">
        <v>4215</v>
      </c>
      <c r="E673" t="s">
        <v>17334</v>
      </c>
      <c r="F673">
        <v>3</v>
      </c>
      <c r="N673" t="s">
        <v>16307</v>
      </c>
    </row>
    <row r="674" spans="1:14">
      <c r="A674" t="s">
        <v>17222</v>
      </c>
      <c r="B674">
        <v>1</v>
      </c>
      <c r="C674" t="s">
        <v>16308</v>
      </c>
      <c r="D674" t="s">
        <v>4215</v>
      </c>
      <c r="E674" t="s">
        <v>17334</v>
      </c>
      <c r="F674">
        <v>3</v>
      </c>
      <c r="N674" t="s">
        <v>16308</v>
      </c>
    </row>
    <row r="675" spans="1:14">
      <c r="A675" t="s">
        <v>17229</v>
      </c>
      <c r="B675">
        <v>1</v>
      </c>
      <c r="C675" t="s">
        <v>16309</v>
      </c>
      <c r="D675" t="s">
        <v>4215</v>
      </c>
      <c r="E675" t="s">
        <v>17334</v>
      </c>
      <c r="F675">
        <v>3</v>
      </c>
      <c r="N675" t="s">
        <v>16309</v>
      </c>
    </row>
    <row r="676" spans="1:14">
      <c r="A676" t="s">
        <v>17236</v>
      </c>
      <c r="B676">
        <v>1</v>
      </c>
      <c r="C676" t="s">
        <v>16310</v>
      </c>
      <c r="D676" t="s">
        <v>4215</v>
      </c>
      <c r="E676" t="s">
        <v>17334</v>
      </c>
      <c r="F676">
        <v>3</v>
      </c>
      <c r="N676" t="s">
        <v>16310</v>
      </c>
    </row>
    <row r="677" spans="1:14">
      <c r="A677" t="s">
        <v>17243</v>
      </c>
      <c r="B677">
        <v>1</v>
      </c>
      <c r="C677" t="s">
        <v>16311</v>
      </c>
      <c r="D677" t="s">
        <v>4215</v>
      </c>
      <c r="E677" t="s">
        <v>17334</v>
      </c>
      <c r="F677">
        <v>3</v>
      </c>
      <c r="N677" t="s">
        <v>16311</v>
      </c>
    </row>
    <row r="678" spans="1:14">
      <c r="A678" t="s">
        <v>17250</v>
      </c>
      <c r="B678">
        <v>1</v>
      </c>
      <c r="C678" t="s">
        <v>16312</v>
      </c>
      <c r="D678" t="s">
        <v>4215</v>
      </c>
      <c r="E678" t="s">
        <v>17334</v>
      </c>
      <c r="F678">
        <v>3</v>
      </c>
      <c r="N678" t="s">
        <v>16312</v>
      </c>
    </row>
    <row r="679" spans="1:14">
      <c r="A679" t="s">
        <v>17257</v>
      </c>
      <c r="B679">
        <v>1</v>
      </c>
      <c r="C679" t="s">
        <v>16313</v>
      </c>
      <c r="D679" t="s">
        <v>4215</v>
      </c>
      <c r="E679" t="s">
        <v>17334</v>
      </c>
      <c r="F679">
        <v>3</v>
      </c>
      <c r="N679" t="s">
        <v>16313</v>
      </c>
    </row>
    <row r="680" spans="1:14">
      <c r="A680" t="s">
        <v>17264</v>
      </c>
      <c r="B680">
        <v>1</v>
      </c>
      <c r="C680" t="s">
        <v>16314</v>
      </c>
      <c r="D680" t="s">
        <v>4215</v>
      </c>
      <c r="E680" t="s">
        <v>17334</v>
      </c>
      <c r="F680">
        <v>3</v>
      </c>
      <c r="N680" t="s">
        <v>16314</v>
      </c>
    </row>
    <row r="681" spans="1:14">
      <c r="A681" t="s">
        <v>17271</v>
      </c>
      <c r="B681">
        <v>1</v>
      </c>
      <c r="C681" t="s">
        <v>16315</v>
      </c>
      <c r="D681" t="s">
        <v>4215</v>
      </c>
      <c r="E681" t="s">
        <v>17334</v>
      </c>
      <c r="F681">
        <v>3</v>
      </c>
      <c r="N681" t="s">
        <v>16315</v>
      </c>
    </row>
    <row r="682" spans="1:14">
      <c r="A682" t="s">
        <v>17278</v>
      </c>
      <c r="B682">
        <v>1</v>
      </c>
      <c r="C682" t="s">
        <v>16316</v>
      </c>
      <c r="D682" t="s">
        <v>4215</v>
      </c>
      <c r="E682" t="s">
        <v>17334</v>
      </c>
      <c r="F682">
        <v>3</v>
      </c>
      <c r="N682" t="s">
        <v>16316</v>
      </c>
    </row>
    <row r="683" spans="1:14">
      <c r="A683" t="s">
        <v>17285</v>
      </c>
      <c r="B683">
        <v>1</v>
      </c>
      <c r="C683" t="s">
        <v>16317</v>
      </c>
      <c r="D683" t="s">
        <v>4215</v>
      </c>
      <c r="E683" t="s">
        <v>17334</v>
      </c>
      <c r="F683">
        <v>3</v>
      </c>
      <c r="N683" t="s">
        <v>16317</v>
      </c>
    </row>
    <row r="684" spans="1:14">
      <c r="A684" t="s">
        <v>17292</v>
      </c>
      <c r="B684">
        <v>1</v>
      </c>
      <c r="C684" t="s">
        <v>16318</v>
      </c>
      <c r="D684" t="s">
        <v>4215</v>
      </c>
      <c r="E684" t="s">
        <v>17334</v>
      </c>
      <c r="F684">
        <v>3</v>
      </c>
      <c r="N684" t="s">
        <v>16318</v>
      </c>
    </row>
    <row r="685" spans="1:14">
      <c r="A685" t="s">
        <v>17299</v>
      </c>
      <c r="B685">
        <v>1</v>
      </c>
      <c r="C685" t="s">
        <v>16319</v>
      </c>
      <c r="D685" t="s">
        <v>4215</v>
      </c>
      <c r="E685" t="s">
        <v>17334</v>
      </c>
      <c r="F685">
        <v>3</v>
      </c>
      <c r="N685" t="s">
        <v>16319</v>
      </c>
    </row>
    <row r="686" spans="1:14">
      <c r="A686" t="s">
        <v>17306</v>
      </c>
      <c r="B686">
        <v>1</v>
      </c>
      <c r="C686" t="s">
        <v>16320</v>
      </c>
      <c r="D686" t="s">
        <v>4215</v>
      </c>
      <c r="E686" t="s">
        <v>17334</v>
      </c>
      <c r="F686">
        <v>3</v>
      </c>
      <c r="N686" t="s">
        <v>16320</v>
      </c>
    </row>
    <row r="687" spans="1:14">
      <c r="A687" t="s">
        <v>17313</v>
      </c>
      <c r="B687">
        <v>1</v>
      </c>
      <c r="C687" t="s">
        <v>16321</v>
      </c>
      <c r="D687" t="s">
        <v>4215</v>
      </c>
      <c r="E687" t="s">
        <v>17334</v>
      </c>
      <c r="F687">
        <v>3</v>
      </c>
      <c r="N687" t="s">
        <v>16321</v>
      </c>
    </row>
    <row r="688" spans="1:14">
      <c r="A688" t="s">
        <v>17110</v>
      </c>
      <c r="B688">
        <v>1</v>
      </c>
      <c r="C688" t="s">
        <v>16322</v>
      </c>
      <c r="D688" t="s">
        <v>4215</v>
      </c>
      <c r="E688" t="s">
        <v>17334</v>
      </c>
      <c r="F688">
        <v>3</v>
      </c>
      <c r="N688" t="s">
        <v>16322</v>
      </c>
    </row>
    <row r="689" spans="1:14">
      <c r="A689" t="s">
        <v>17119</v>
      </c>
      <c r="B689">
        <v>1</v>
      </c>
      <c r="C689" t="s">
        <v>16323</v>
      </c>
      <c r="D689" t="s">
        <v>4215</v>
      </c>
      <c r="E689" t="s">
        <v>17334</v>
      </c>
      <c r="F689">
        <v>3</v>
      </c>
      <c r="N689" t="s">
        <v>16323</v>
      </c>
    </row>
    <row r="690" spans="1:14">
      <c r="A690" t="s">
        <v>17128</v>
      </c>
      <c r="B690">
        <v>1</v>
      </c>
      <c r="C690" t="s">
        <v>16324</v>
      </c>
      <c r="D690" t="s">
        <v>4215</v>
      </c>
      <c r="E690" t="s">
        <v>17334</v>
      </c>
      <c r="F690">
        <v>3</v>
      </c>
      <c r="N690" t="s">
        <v>16324</v>
      </c>
    </row>
    <row r="691" spans="1:14">
      <c r="A691" t="s">
        <v>17137</v>
      </c>
      <c r="B691">
        <v>1</v>
      </c>
      <c r="C691" t="s">
        <v>16325</v>
      </c>
      <c r="D691" t="s">
        <v>4215</v>
      </c>
      <c r="E691" t="s">
        <v>17334</v>
      </c>
      <c r="F691">
        <v>3</v>
      </c>
      <c r="N691" t="s">
        <v>16325</v>
      </c>
    </row>
    <row r="692" spans="1:14">
      <c r="A692" t="s">
        <v>17146</v>
      </c>
      <c r="B692">
        <v>1</v>
      </c>
      <c r="C692" t="s">
        <v>16326</v>
      </c>
      <c r="D692" t="s">
        <v>4215</v>
      </c>
      <c r="E692" t="s">
        <v>17334</v>
      </c>
      <c r="F692">
        <v>3</v>
      </c>
      <c r="N692" t="s">
        <v>16326</v>
      </c>
    </row>
    <row r="693" spans="1:14">
      <c r="A693" t="s">
        <v>17155</v>
      </c>
      <c r="B693">
        <v>1</v>
      </c>
      <c r="C693" t="s">
        <v>16327</v>
      </c>
      <c r="D693" t="s">
        <v>4215</v>
      </c>
      <c r="E693" t="s">
        <v>17334</v>
      </c>
      <c r="F693">
        <v>3</v>
      </c>
      <c r="N693" t="s">
        <v>16327</v>
      </c>
    </row>
    <row r="694" spans="1:14">
      <c r="A694" t="s">
        <v>17164</v>
      </c>
      <c r="B694">
        <v>1</v>
      </c>
      <c r="C694" t="s">
        <v>16328</v>
      </c>
      <c r="D694" t="s">
        <v>4215</v>
      </c>
      <c r="E694" t="s">
        <v>17334</v>
      </c>
      <c r="F694">
        <v>3</v>
      </c>
      <c r="N694" t="s">
        <v>16328</v>
      </c>
    </row>
    <row r="695" spans="1:14">
      <c r="A695" t="s">
        <v>17173</v>
      </c>
      <c r="B695">
        <v>1</v>
      </c>
      <c r="C695" t="s">
        <v>16329</v>
      </c>
      <c r="D695" t="s">
        <v>4215</v>
      </c>
      <c r="E695" t="s">
        <v>17334</v>
      </c>
      <c r="F695">
        <v>3</v>
      </c>
      <c r="N695" t="s">
        <v>16329</v>
      </c>
    </row>
    <row r="696" spans="1:14">
      <c r="A696" t="s">
        <v>17181</v>
      </c>
      <c r="B696">
        <v>1</v>
      </c>
      <c r="C696" t="s">
        <v>16330</v>
      </c>
      <c r="D696" t="s">
        <v>4215</v>
      </c>
      <c r="E696" t="s">
        <v>17334</v>
      </c>
      <c r="F696">
        <v>3</v>
      </c>
      <c r="N696" t="s">
        <v>16330</v>
      </c>
    </row>
    <row r="697" spans="1:14">
      <c r="A697" t="s">
        <v>17188</v>
      </c>
      <c r="B697">
        <v>1</v>
      </c>
      <c r="C697" t="s">
        <v>16331</v>
      </c>
      <c r="D697" t="s">
        <v>4215</v>
      </c>
      <c r="E697" t="s">
        <v>17334</v>
      </c>
      <c r="F697">
        <v>3</v>
      </c>
      <c r="N697" t="s">
        <v>16331</v>
      </c>
    </row>
    <row r="698" spans="1:14">
      <c r="A698" t="s">
        <v>17195</v>
      </c>
      <c r="B698">
        <v>1</v>
      </c>
      <c r="C698" t="s">
        <v>16332</v>
      </c>
      <c r="D698" t="s">
        <v>4215</v>
      </c>
      <c r="E698" t="s">
        <v>17334</v>
      </c>
      <c r="F698">
        <v>3</v>
      </c>
      <c r="N698" t="s">
        <v>16332</v>
      </c>
    </row>
    <row r="699" spans="1:14">
      <c r="A699" t="s">
        <v>17202</v>
      </c>
      <c r="B699">
        <v>1</v>
      </c>
      <c r="C699" t="s">
        <v>16333</v>
      </c>
      <c r="D699" t="s">
        <v>4215</v>
      </c>
      <c r="E699" t="s">
        <v>17334</v>
      </c>
      <c r="F699">
        <v>3</v>
      </c>
      <c r="N699" t="s">
        <v>16333</v>
      </c>
    </row>
    <row r="700" spans="1:14">
      <c r="A700" t="s">
        <v>17209</v>
      </c>
      <c r="B700">
        <v>1</v>
      </c>
      <c r="C700" t="s">
        <v>16334</v>
      </c>
      <c r="D700" t="s">
        <v>4215</v>
      </c>
      <c r="E700" t="s">
        <v>17334</v>
      </c>
      <c r="F700">
        <v>3</v>
      </c>
      <c r="N700" t="s">
        <v>16334</v>
      </c>
    </row>
    <row r="701" spans="1:14">
      <c r="A701" t="s">
        <v>17216</v>
      </c>
      <c r="B701">
        <v>1</v>
      </c>
      <c r="C701" t="s">
        <v>16335</v>
      </c>
      <c r="D701" t="s">
        <v>4215</v>
      </c>
      <c r="E701" t="s">
        <v>17334</v>
      </c>
      <c r="F701">
        <v>3</v>
      </c>
      <c r="N701" t="s">
        <v>16335</v>
      </c>
    </row>
    <row r="702" spans="1:14">
      <c r="A702" t="s">
        <v>17223</v>
      </c>
      <c r="B702">
        <v>1</v>
      </c>
      <c r="C702" t="s">
        <v>16336</v>
      </c>
      <c r="D702" t="s">
        <v>4215</v>
      </c>
      <c r="E702" t="s">
        <v>17334</v>
      </c>
      <c r="F702">
        <v>3</v>
      </c>
      <c r="N702" t="s">
        <v>16336</v>
      </c>
    </row>
    <row r="703" spans="1:14">
      <c r="A703" t="s">
        <v>17230</v>
      </c>
      <c r="B703">
        <v>1</v>
      </c>
      <c r="C703" t="s">
        <v>16337</v>
      </c>
      <c r="D703" t="s">
        <v>4215</v>
      </c>
      <c r="E703" t="s">
        <v>17334</v>
      </c>
      <c r="F703">
        <v>3</v>
      </c>
      <c r="N703" t="s">
        <v>16337</v>
      </c>
    </row>
    <row r="704" spans="1:14">
      <c r="A704" t="s">
        <v>17237</v>
      </c>
      <c r="B704">
        <v>1</v>
      </c>
      <c r="C704" t="s">
        <v>16338</v>
      </c>
      <c r="D704" t="s">
        <v>4215</v>
      </c>
      <c r="E704" t="s">
        <v>17334</v>
      </c>
      <c r="F704">
        <v>3</v>
      </c>
      <c r="N704" t="s">
        <v>16338</v>
      </c>
    </row>
    <row r="705" spans="1:14">
      <c r="A705" t="s">
        <v>17244</v>
      </c>
      <c r="B705">
        <v>1</v>
      </c>
      <c r="C705" t="s">
        <v>16339</v>
      </c>
      <c r="D705" t="s">
        <v>4215</v>
      </c>
      <c r="E705" t="s">
        <v>17334</v>
      </c>
      <c r="F705">
        <v>3</v>
      </c>
      <c r="N705" t="s">
        <v>16339</v>
      </c>
    </row>
    <row r="706" spans="1:14">
      <c r="A706" t="s">
        <v>17251</v>
      </c>
      <c r="B706">
        <v>1</v>
      </c>
      <c r="C706" t="s">
        <v>16340</v>
      </c>
      <c r="D706" t="s">
        <v>4215</v>
      </c>
      <c r="E706" t="s">
        <v>17334</v>
      </c>
      <c r="F706">
        <v>3</v>
      </c>
      <c r="N706" t="s">
        <v>16340</v>
      </c>
    </row>
    <row r="707" spans="1:14">
      <c r="A707" t="s">
        <v>17258</v>
      </c>
      <c r="B707">
        <v>1</v>
      </c>
      <c r="C707" t="s">
        <v>16341</v>
      </c>
      <c r="D707" t="s">
        <v>4215</v>
      </c>
      <c r="E707" t="s">
        <v>17334</v>
      </c>
      <c r="F707">
        <v>3</v>
      </c>
      <c r="N707" t="s">
        <v>16341</v>
      </c>
    </row>
    <row r="708" spans="1:14">
      <c r="A708" t="s">
        <v>17265</v>
      </c>
      <c r="B708">
        <v>1</v>
      </c>
      <c r="C708" t="s">
        <v>16342</v>
      </c>
      <c r="D708" t="s">
        <v>4215</v>
      </c>
      <c r="E708" t="s">
        <v>17334</v>
      </c>
      <c r="F708">
        <v>3</v>
      </c>
      <c r="N708" t="s">
        <v>16342</v>
      </c>
    </row>
    <row r="709" spans="1:14">
      <c r="A709" t="s">
        <v>17272</v>
      </c>
      <c r="B709">
        <v>1</v>
      </c>
      <c r="C709" t="s">
        <v>16343</v>
      </c>
      <c r="D709" t="s">
        <v>4215</v>
      </c>
      <c r="E709" t="s">
        <v>17334</v>
      </c>
      <c r="F709">
        <v>3</v>
      </c>
      <c r="N709" t="s">
        <v>16343</v>
      </c>
    </row>
    <row r="710" spans="1:14">
      <c r="A710" t="s">
        <v>17279</v>
      </c>
      <c r="B710">
        <v>1</v>
      </c>
      <c r="C710" t="s">
        <v>16344</v>
      </c>
      <c r="D710" t="s">
        <v>4215</v>
      </c>
      <c r="E710" t="s">
        <v>17334</v>
      </c>
      <c r="F710">
        <v>3</v>
      </c>
      <c r="N710" t="s">
        <v>16344</v>
      </c>
    </row>
    <row r="711" spans="1:14">
      <c r="A711" t="s">
        <v>17286</v>
      </c>
      <c r="B711">
        <v>1</v>
      </c>
      <c r="C711" t="s">
        <v>16345</v>
      </c>
      <c r="D711" t="s">
        <v>4215</v>
      </c>
      <c r="E711" t="s">
        <v>17334</v>
      </c>
      <c r="F711">
        <v>3</v>
      </c>
      <c r="N711" t="s">
        <v>16345</v>
      </c>
    </row>
    <row r="712" spans="1:14">
      <c r="A712" t="s">
        <v>17293</v>
      </c>
      <c r="B712">
        <v>1</v>
      </c>
      <c r="C712" t="s">
        <v>16346</v>
      </c>
      <c r="D712" t="s">
        <v>4215</v>
      </c>
      <c r="E712" t="s">
        <v>17334</v>
      </c>
      <c r="F712">
        <v>3</v>
      </c>
      <c r="N712" t="s">
        <v>16346</v>
      </c>
    </row>
    <row r="713" spans="1:14">
      <c r="A713" t="s">
        <v>17300</v>
      </c>
      <c r="B713">
        <v>1</v>
      </c>
      <c r="C713" t="s">
        <v>16347</v>
      </c>
      <c r="D713" t="s">
        <v>4215</v>
      </c>
      <c r="E713" t="s">
        <v>17334</v>
      </c>
      <c r="F713">
        <v>3</v>
      </c>
      <c r="N713" t="s">
        <v>16347</v>
      </c>
    </row>
    <row r="714" spans="1:14">
      <c r="A714" t="s">
        <v>17307</v>
      </c>
      <c r="B714">
        <v>1</v>
      </c>
      <c r="C714" t="s">
        <v>16348</v>
      </c>
      <c r="D714" t="s">
        <v>4215</v>
      </c>
      <c r="E714" t="s">
        <v>17334</v>
      </c>
      <c r="F714">
        <v>3</v>
      </c>
      <c r="N714" t="s">
        <v>16348</v>
      </c>
    </row>
    <row r="715" spans="1:14">
      <c r="A715" t="s">
        <v>17314</v>
      </c>
      <c r="B715">
        <v>1</v>
      </c>
      <c r="C715" t="s">
        <v>16349</v>
      </c>
      <c r="D715" t="s">
        <v>4215</v>
      </c>
      <c r="E715" t="s">
        <v>17334</v>
      </c>
      <c r="F715">
        <v>3</v>
      </c>
      <c r="N715" t="s">
        <v>16349</v>
      </c>
    </row>
    <row r="716" spans="1:14">
      <c r="A716" t="s">
        <v>17111</v>
      </c>
      <c r="B716">
        <v>1</v>
      </c>
      <c r="C716" t="s">
        <v>16350</v>
      </c>
      <c r="D716" t="s">
        <v>4215</v>
      </c>
      <c r="E716" t="s">
        <v>17334</v>
      </c>
      <c r="F716">
        <v>3</v>
      </c>
      <c r="N716" t="s">
        <v>16350</v>
      </c>
    </row>
    <row r="717" spans="1:14">
      <c r="A717" t="s">
        <v>17120</v>
      </c>
      <c r="B717">
        <v>1</v>
      </c>
      <c r="C717" t="s">
        <v>16351</v>
      </c>
      <c r="D717" t="s">
        <v>4215</v>
      </c>
      <c r="E717" t="s">
        <v>17334</v>
      </c>
      <c r="F717">
        <v>3</v>
      </c>
      <c r="N717" t="s">
        <v>16351</v>
      </c>
    </row>
    <row r="718" spans="1:14">
      <c r="A718" t="s">
        <v>17129</v>
      </c>
      <c r="B718">
        <v>1</v>
      </c>
      <c r="C718" t="s">
        <v>16352</v>
      </c>
      <c r="D718" t="s">
        <v>4215</v>
      </c>
      <c r="E718" t="s">
        <v>17334</v>
      </c>
      <c r="F718">
        <v>3</v>
      </c>
      <c r="N718" t="s">
        <v>16352</v>
      </c>
    </row>
    <row r="719" spans="1:14">
      <c r="A719" t="s">
        <v>17138</v>
      </c>
      <c r="B719">
        <v>1</v>
      </c>
      <c r="C719" t="s">
        <v>16353</v>
      </c>
      <c r="D719" t="s">
        <v>4215</v>
      </c>
      <c r="E719" t="s">
        <v>17334</v>
      </c>
      <c r="F719">
        <v>3</v>
      </c>
      <c r="N719" t="s">
        <v>16353</v>
      </c>
    </row>
    <row r="720" spans="1:14">
      <c r="A720" t="s">
        <v>17147</v>
      </c>
      <c r="B720">
        <v>1</v>
      </c>
      <c r="C720" t="s">
        <v>16354</v>
      </c>
      <c r="D720" t="s">
        <v>4215</v>
      </c>
      <c r="E720" t="s">
        <v>17334</v>
      </c>
      <c r="F720">
        <v>3</v>
      </c>
      <c r="N720" t="s">
        <v>16354</v>
      </c>
    </row>
    <row r="721" spans="1:14">
      <c r="A721" t="s">
        <v>17156</v>
      </c>
      <c r="B721">
        <v>1</v>
      </c>
      <c r="C721" t="s">
        <v>16355</v>
      </c>
      <c r="D721" t="s">
        <v>4215</v>
      </c>
      <c r="E721" t="s">
        <v>17334</v>
      </c>
      <c r="F721">
        <v>3</v>
      </c>
      <c r="N721" t="s">
        <v>16355</v>
      </c>
    </row>
    <row r="722" spans="1:14">
      <c r="A722" t="s">
        <v>17165</v>
      </c>
      <c r="B722">
        <v>1</v>
      </c>
      <c r="C722" t="s">
        <v>16356</v>
      </c>
      <c r="D722" t="s">
        <v>4215</v>
      </c>
      <c r="E722" t="s">
        <v>17334</v>
      </c>
      <c r="F722">
        <v>3</v>
      </c>
      <c r="N722" t="s">
        <v>16356</v>
      </c>
    </row>
    <row r="723" spans="1:14">
      <c r="A723" t="s">
        <v>17174</v>
      </c>
      <c r="B723">
        <v>1</v>
      </c>
      <c r="C723" t="s">
        <v>16357</v>
      </c>
      <c r="D723" t="s">
        <v>4215</v>
      </c>
      <c r="E723" t="s">
        <v>17334</v>
      </c>
      <c r="F723">
        <v>3</v>
      </c>
      <c r="N723" t="s">
        <v>16357</v>
      </c>
    </row>
    <row r="724" spans="1:14">
      <c r="A724" t="s">
        <v>17182</v>
      </c>
      <c r="B724">
        <v>1</v>
      </c>
      <c r="C724" t="s">
        <v>16358</v>
      </c>
      <c r="D724" t="s">
        <v>4215</v>
      </c>
      <c r="E724" t="s">
        <v>17334</v>
      </c>
      <c r="F724">
        <v>3</v>
      </c>
      <c r="N724" t="s">
        <v>16358</v>
      </c>
    </row>
    <row r="725" spans="1:14">
      <c r="A725" t="s">
        <v>17189</v>
      </c>
      <c r="B725">
        <v>1</v>
      </c>
      <c r="C725" t="s">
        <v>16359</v>
      </c>
      <c r="D725" t="s">
        <v>4215</v>
      </c>
      <c r="E725" t="s">
        <v>17334</v>
      </c>
      <c r="F725">
        <v>3</v>
      </c>
      <c r="N725" t="s">
        <v>16359</v>
      </c>
    </row>
    <row r="726" spans="1:14">
      <c r="A726" t="s">
        <v>17196</v>
      </c>
      <c r="B726">
        <v>1</v>
      </c>
      <c r="C726" t="s">
        <v>16360</v>
      </c>
      <c r="D726" t="s">
        <v>4215</v>
      </c>
      <c r="E726" t="s">
        <v>17334</v>
      </c>
      <c r="F726">
        <v>3</v>
      </c>
      <c r="N726" t="s">
        <v>16360</v>
      </c>
    </row>
    <row r="727" spans="1:14">
      <c r="A727" t="s">
        <v>17203</v>
      </c>
      <c r="B727">
        <v>1</v>
      </c>
      <c r="C727" t="s">
        <v>16361</v>
      </c>
      <c r="D727" t="s">
        <v>4215</v>
      </c>
      <c r="E727" t="s">
        <v>17334</v>
      </c>
      <c r="F727">
        <v>3</v>
      </c>
      <c r="N727" t="s">
        <v>16361</v>
      </c>
    </row>
    <row r="728" spans="1:14">
      <c r="A728" t="s">
        <v>17210</v>
      </c>
      <c r="B728">
        <v>1</v>
      </c>
      <c r="C728" t="s">
        <v>16362</v>
      </c>
      <c r="D728" t="s">
        <v>4215</v>
      </c>
      <c r="E728" t="s">
        <v>17334</v>
      </c>
      <c r="F728">
        <v>3</v>
      </c>
      <c r="N728" t="s">
        <v>16362</v>
      </c>
    </row>
    <row r="729" spans="1:14">
      <c r="A729" t="s">
        <v>17217</v>
      </c>
      <c r="B729">
        <v>1</v>
      </c>
      <c r="C729" t="s">
        <v>16363</v>
      </c>
      <c r="D729" t="s">
        <v>4215</v>
      </c>
      <c r="E729" t="s">
        <v>17334</v>
      </c>
      <c r="F729">
        <v>3</v>
      </c>
      <c r="N729" t="s">
        <v>16363</v>
      </c>
    </row>
    <row r="730" spans="1:14">
      <c r="A730" t="s">
        <v>17224</v>
      </c>
      <c r="B730">
        <v>1</v>
      </c>
      <c r="C730" t="s">
        <v>16364</v>
      </c>
      <c r="D730" t="s">
        <v>4215</v>
      </c>
      <c r="E730" t="s">
        <v>17334</v>
      </c>
      <c r="F730">
        <v>3</v>
      </c>
      <c r="N730" t="s">
        <v>16364</v>
      </c>
    </row>
    <row r="731" spans="1:14">
      <c r="A731" t="s">
        <v>17231</v>
      </c>
      <c r="B731">
        <v>1</v>
      </c>
      <c r="C731" t="s">
        <v>16365</v>
      </c>
      <c r="D731" t="s">
        <v>4215</v>
      </c>
      <c r="E731" t="s">
        <v>17334</v>
      </c>
      <c r="F731">
        <v>3</v>
      </c>
      <c r="N731" t="s">
        <v>16365</v>
      </c>
    </row>
    <row r="732" spans="1:14">
      <c r="A732" t="s">
        <v>17238</v>
      </c>
      <c r="B732">
        <v>1</v>
      </c>
      <c r="C732" t="s">
        <v>16366</v>
      </c>
      <c r="D732" t="s">
        <v>4215</v>
      </c>
      <c r="E732" t="s">
        <v>17334</v>
      </c>
      <c r="F732">
        <v>3</v>
      </c>
      <c r="N732" t="s">
        <v>16366</v>
      </c>
    </row>
    <row r="733" spans="1:14">
      <c r="A733" t="s">
        <v>17245</v>
      </c>
      <c r="B733">
        <v>1</v>
      </c>
      <c r="C733" t="s">
        <v>16367</v>
      </c>
      <c r="D733" t="s">
        <v>4215</v>
      </c>
      <c r="E733" t="s">
        <v>17334</v>
      </c>
      <c r="F733">
        <v>3</v>
      </c>
      <c r="N733" t="s">
        <v>16367</v>
      </c>
    </row>
    <row r="734" spans="1:14">
      <c r="A734" t="s">
        <v>17252</v>
      </c>
      <c r="B734">
        <v>1</v>
      </c>
      <c r="C734" t="s">
        <v>16368</v>
      </c>
      <c r="D734" t="s">
        <v>4215</v>
      </c>
      <c r="E734" t="s">
        <v>17334</v>
      </c>
      <c r="F734">
        <v>3</v>
      </c>
      <c r="N734" t="s">
        <v>16368</v>
      </c>
    </row>
    <row r="735" spans="1:14">
      <c r="A735" t="s">
        <v>17259</v>
      </c>
      <c r="B735">
        <v>1</v>
      </c>
      <c r="C735" t="s">
        <v>16369</v>
      </c>
      <c r="D735" t="s">
        <v>4215</v>
      </c>
      <c r="E735" t="s">
        <v>17334</v>
      </c>
      <c r="F735">
        <v>3</v>
      </c>
      <c r="N735" t="s">
        <v>16369</v>
      </c>
    </row>
    <row r="736" spans="1:14">
      <c r="A736" t="s">
        <v>17266</v>
      </c>
      <c r="B736">
        <v>1</v>
      </c>
      <c r="C736" t="s">
        <v>16370</v>
      </c>
      <c r="D736" t="s">
        <v>4215</v>
      </c>
      <c r="E736" t="s">
        <v>17334</v>
      </c>
      <c r="F736">
        <v>3</v>
      </c>
      <c r="N736" t="s">
        <v>16370</v>
      </c>
    </row>
    <row r="737" spans="1:14">
      <c r="A737" t="s">
        <v>17273</v>
      </c>
      <c r="B737">
        <v>1</v>
      </c>
      <c r="C737" t="s">
        <v>16371</v>
      </c>
      <c r="D737" t="s">
        <v>4215</v>
      </c>
      <c r="E737" t="s">
        <v>17334</v>
      </c>
      <c r="F737">
        <v>3</v>
      </c>
      <c r="N737" t="s">
        <v>16371</v>
      </c>
    </row>
    <row r="738" spans="1:14">
      <c r="A738" t="s">
        <v>17280</v>
      </c>
      <c r="B738">
        <v>1</v>
      </c>
      <c r="C738" t="s">
        <v>16372</v>
      </c>
      <c r="D738" t="s">
        <v>4215</v>
      </c>
      <c r="E738" t="s">
        <v>17334</v>
      </c>
      <c r="F738">
        <v>3</v>
      </c>
      <c r="N738" t="s">
        <v>16372</v>
      </c>
    </row>
    <row r="739" spans="1:14">
      <c r="A739" t="s">
        <v>17287</v>
      </c>
      <c r="B739">
        <v>1</v>
      </c>
      <c r="C739" t="s">
        <v>16373</v>
      </c>
      <c r="D739" t="s">
        <v>4215</v>
      </c>
      <c r="E739" t="s">
        <v>17334</v>
      </c>
      <c r="F739">
        <v>3</v>
      </c>
      <c r="N739" t="s">
        <v>16373</v>
      </c>
    </row>
    <row r="740" spans="1:14">
      <c r="A740" t="s">
        <v>17294</v>
      </c>
      <c r="B740">
        <v>1</v>
      </c>
      <c r="C740" t="s">
        <v>16374</v>
      </c>
      <c r="D740" t="s">
        <v>4215</v>
      </c>
      <c r="E740" t="s">
        <v>17334</v>
      </c>
      <c r="F740">
        <v>3</v>
      </c>
      <c r="N740" t="s">
        <v>16374</v>
      </c>
    </row>
    <row r="741" spans="1:14">
      <c r="A741" t="s">
        <v>17301</v>
      </c>
      <c r="B741">
        <v>1</v>
      </c>
      <c r="C741" t="s">
        <v>16375</v>
      </c>
      <c r="D741" t="s">
        <v>4215</v>
      </c>
      <c r="E741" t="s">
        <v>17334</v>
      </c>
      <c r="F741">
        <v>3</v>
      </c>
      <c r="N741" t="s">
        <v>16375</v>
      </c>
    </row>
    <row r="742" spans="1:14">
      <c r="A742" t="s">
        <v>17308</v>
      </c>
      <c r="B742">
        <v>1</v>
      </c>
      <c r="C742" t="s">
        <v>16376</v>
      </c>
      <c r="D742" t="s">
        <v>4215</v>
      </c>
      <c r="E742" t="s">
        <v>17334</v>
      </c>
      <c r="F742">
        <v>3</v>
      </c>
      <c r="N742" t="s">
        <v>16376</v>
      </c>
    </row>
    <row r="743" spans="1:14">
      <c r="A743" t="s">
        <v>17315</v>
      </c>
      <c r="B743">
        <v>1</v>
      </c>
      <c r="C743" t="s">
        <v>16377</v>
      </c>
      <c r="D743" t="s">
        <v>4215</v>
      </c>
      <c r="E743" t="s">
        <v>17334</v>
      </c>
      <c r="F743">
        <v>3</v>
      </c>
      <c r="N743" t="s">
        <v>16377</v>
      </c>
    </row>
    <row r="744" spans="1:14">
      <c r="A744" t="s">
        <v>17112</v>
      </c>
      <c r="B744">
        <v>1</v>
      </c>
      <c r="C744" t="s">
        <v>16378</v>
      </c>
      <c r="D744" t="s">
        <v>4215</v>
      </c>
      <c r="E744" t="s">
        <v>17334</v>
      </c>
      <c r="F744">
        <v>3</v>
      </c>
      <c r="N744" t="s">
        <v>16378</v>
      </c>
    </row>
    <row r="745" spans="1:14">
      <c r="A745" t="s">
        <v>17121</v>
      </c>
      <c r="B745">
        <v>1</v>
      </c>
      <c r="C745" t="s">
        <v>16379</v>
      </c>
      <c r="D745" t="s">
        <v>4215</v>
      </c>
      <c r="E745" t="s">
        <v>17334</v>
      </c>
      <c r="F745">
        <v>3</v>
      </c>
      <c r="N745" t="s">
        <v>16379</v>
      </c>
    </row>
    <row r="746" spans="1:14">
      <c r="A746" t="s">
        <v>17130</v>
      </c>
      <c r="B746">
        <v>1</v>
      </c>
      <c r="C746" t="s">
        <v>16380</v>
      </c>
      <c r="D746" t="s">
        <v>4215</v>
      </c>
      <c r="E746" t="s">
        <v>17334</v>
      </c>
      <c r="F746">
        <v>3</v>
      </c>
      <c r="N746" t="s">
        <v>16380</v>
      </c>
    </row>
    <row r="747" spans="1:14">
      <c r="A747" t="s">
        <v>17139</v>
      </c>
      <c r="B747">
        <v>1</v>
      </c>
      <c r="C747" t="s">
        <v>16381</v>
      </c>
      <c r="D747" t="s">
        <v>4215</v>
      </c>
      <c r="E747" t="s">
        <v>17334</v>
      </c>
      <c r="F747">
        <v>3</v>
      </c>
      <c r="N747" t="s">
        <v>16381</v>
      </c>
    </row>
    <row r="748" spans="1:14">
      <c r="A748" t="s">
        <v>17148</v>
      </c>
      <c r="B748">
        <v>1</v>
      </c>
      <c r="C748" t="s">
        <v>16382</v>
      </c>
      <c r="D748" t="s">
        <v>4215</v>
      </c>
      <c r="E748" t="s">
        <v>17334</v>
      </c>
      <c r="F748">
        <v>3</v>
      </c>
      <c r="N748" t="s">
        <v>16382</v>
      </c>
    </row>
    <row r="749" spans="1:14">
      <c r="A749" t="s">
        <v>17157</v>
      </c>
      <c r="B749">
        <v>1</v>
      </c>
      <c r="C749" t="s">
        <v>16383</v>
      </c>
      <c r="D749" t="s">
        <v>4215</v>
      </c>
      <c r="E749" t="s">
        <v>17334</v>
      </c>
      <c r="F749">
        <v>3</v>
      </c>
      <c r="N749" t="s">
        <v>16383</v>
      </c>
    </row>
    <row r="750" spans="1:14">
      <c r="A750" t="s">
        <v>17166</v>
      </c>
      <c r="B750">
        <v>1</v>
      </c>
      <c r="C750" t="s">
        <v>16384</v>
      </c>
      <c r="D750" t="s">
        <v>4215</v>
      </c>
      <c r="E750" t="s">
        <v>17334</v>
      </c>
      <c r="F750">
        <v>3</v>
      </c>
      <c r="N750" t="s">
        <v>16384</v>
      </c>
    </row>
    <row r="751" spans="1:14">
      <c r="A751" t="s">
        <v>17175</v>
      </c>
      <c r="B751">
        <v>1</v>
      </c>
      <c r="C751" t="s">
        <v>16385</v>
      </c>
      <c r="D751" t="s">
        <v>4215</v>
      </c>
      <c r="E751" t="s">
        <v>17334</v>
      </c>
      <c r="F751">
        <v>3</v>
      </c>
      <c r="N751" t="s">
        <v>16385</v>
      </c>
    </row>
    <row r="752" spans="1:14">
      <c r="A752" t="s">
        <v>17183</v>
      </c>
      <c r="B752">
        <v>1</v>
      </c>
      <c r="C752" t="s">
        <v>16386</v>
      </c>
      <c r="D752" t="s">
        <v>4215</v>
      </c>
      <c r="E752" t="s">
        <v>17334</v>
      </c>
      <c r="F752">
        <v>3</v>
      </c>
      <c r="N752" t="s">
        <v>16386</v>
      </c>
    </row>
    <row r="753" spans="1:14">
      <c r="A753" t="s">
        <v>17190</v>
      </c>
      <c r="B753">
        <v>1</v>
      </c>
      <c r="C753" t="s">
        <v>16387</v>
      </c>
      <c r="D753" t="s">
        <v>4215</v>
      </c>
      <c r="E753" t="s">
        <v>17334</v>
      </c>
      <c r="F753">
        <v>3</v>
      </c>
      <c r="N753" t="s">
        <v>16387</v>
      </c>
    </row>
    <row r="754" spans="1:14">
      <c r="A754" t="s">
        <v>17197</v>
      </c>
      <c r="B754">
        <v>1</v>
      </c>
      <c r="C754" t="s">
        <v>16388</v>
      </c>
      <c r="D754" t="s">
        <v>4215</v>
      </c>
      <c r="E754" t="s">
        <v>17334</v>
      </c>
      <c r="F754">
        <v>3</v>
      </c>
      <c r="N754" t="s">
        <v>16388</v>
      </c>
    </row>
    <row r="755" spans="1:14">
      <c r="A755" t="s">
        <v>17204</v>
      </c>
      <c r="B755">
        <v>1</v>
      </c>
      <c r="C755" t="s">
        <v>16389</v>
      </c>
      <c r="D755" t="s">
        <v>4215</v>
      </c>
      <c r="E755" t="s">
        <v>17334</v>
      </c>
      <c r="F755">
        <v>3</v>
      </c>
      <c r="N755" t="s">
        <v>16389</v>
      </c>
    </row>
    <row r="756" spans="1:14">
      <c r="A756" t="s">
        <v>17211</v>
      </c>
      <c r="B756">
        <v>1</v>
      </c>
      <c r="C756" t="s">
        <v>16390</v>
      </c>
      <c r="D756" t="s">
        <v>4215</v>
      </c>
      <c r="E756" t="s">
        <v>17334</v>
      </c>
      <c r="F756">
        <v>3</v>
      </c>
      <c r="N756" t="s">
        <v>16390</v>
      </c>
    </row>
    <row r="757" spans="1:14">
      <c r="A757" t="s">
        <v>17218</v>
      </c>
      <c r="B757">
        <v>1</v>
      </c>
      <c r="C757" t="s">
        <v>16391</v>
      </c>
      <c r="D757" t="s">
        <v>4215</v>
      </c>
      <c r="E757" t="s">
        <v>17334</v>
      </c>
      <c r="F757">
        <v>3</v>
      </c>
      <c r="N757" t="s">
        <v>16391</v>
      </c>
    </row>
    <row r="758" spans="1:14">
      <c r="A758" t="s">
        <v>17225</v>
      </c>
      <c r="B758">
        <v>1</v>
      </c>
      <c r="C758" t="s">
        <v>16392</v>
      </c>
      <c r="D758" t="s">
        <v>4215</v>
      </c>
      <c r="E758" t="s">
        <v>17334</v>
      </c>
      <c r="F758">
        <v>3</v>
      </c>
      <c r="N758" t="s">
        <v>16392</v>
      </c>
    </row>
    <row r="759" spans="1:14">
      <c r="A759" t="s">
        <v>17232</v>
      </c>
      <c r="B759">
        <v>1</v>
      </c>
      <c r="C759" t="s">
        <v>16393</v>
      </c>
      <c r="D759" t="s">
        <v>4215</v>
      </c>
      <c r="E759" t="s">
        <v>17334</v>
      </c>
      <c r="F759">
        <v>3</v>
      </c>
      <c r="N759" t="s">
        <v>16393</v>
      </c>
    </row>
    <row r="760" spans="1:14">
      <c r="A760" t="s">
        <v>17239</v>
      </c>
      <c r="B760">
        <v>1</v>
      </c>
      <c r="C760" t="s">
        <v>16394</v>
      </c>
      <c r="D760" t="s">
        <v>4215</v>
      </c>
      <c r="E760" t="s">
        <v>17334</v>
      </c>
      <c r="F760">
        <v>3</v>
      </c>
      <c r="N760" t="s">
        <v>16394</v>
      </c>
    </row>
    <row r="761" spans="1:14">
      <c r="A761" t="s">
        <v>17246</v>
      </c>
      <c r="B761">
        <v>1</v>
      </c>
      <c r="C761" t="s">
        <v>16395</v>
      </c>
      <c r="D761" t="s">
        <v>4215</v>
      </c>
      <c r="E761" t="s">
        <v>17334</v>
      </c>
      <c r="F761">
        <v>3</v>
      </c>
      <c r="N761" t="s">
        <v>16395</v>
      </c>
    </row>
    <row r="762" spans="1:14">
      <c r="A762" t="s">
        <v>17253</v>
      </c>
      <c r="B762">
        <v>1</v>
      </c>
      <c r="C762" t="s">
        <v>16396</v>
      </c>
      <c r="D762" t="s">
        <v>4215</v>
      </c>
      <c r="E762" t="s">
        <v>17334</v>
      </c>
      <c r="F762">
        <v>3</v>
      </c>
      <c r="N762" t="s">
        <v>16396</v>
      </c>
    </row>
    <row r="763" spans="1:14">
      <c r="A763" t="s">
        <v>17260</v>
      </c>
      <c r="B763">
        <v>1</v>
      </c>
      <c r="C763" t="s">
        <v>16397</v>
      </c>
      <c r="D763" t="s">
        <v>4215</v>
      </c>
      <c r="E763" t="s">
        <v>17334</v>
      </c>
      <c r="F763">
        <v>3</v>
      </c>
      <c r="N763" t="s">
        <v>16397</v>
      </c>
    </row>
    <row r="764" spans="1:14">
      <c r="A764" t="s">
        <v>17267</v>
      </c>
      <c r="B764">
        <v>1</v>
      </c>
      <c r="C764" t="s">
        <v>16398</v>
      </c>
      <c r="D764" t="s">
        <v>4215</v>
      </c>
      <c r="E764" t="s">
        <v>17334</v>
      </c>
      <c r="F764">
        <v>3</v>
      </c>
      <c r="N764" t="s">
        <v>16398</v>
      </c>
    </row>
    <row r="765" spans="1:14">
      <c r="A765" t="s">
        <v>17274</v>
      </c>
      <c r="B765">
        <v>1</v>
      </c>
      <c r="C765" t="s">
        <v>16399</v>
      </c>
      <c r="D765" t="s">
        <v>4215</v>
      </c>
      <c r="E765" t="s">
        <v>17334</v>
      </c>
      <c r="F765">
        <v>3</v>
      </c>
      <c r="N765" t="s">
        <v>16399</v>
      </c>
    </row>
    <row r="766" spans="1:14">
      <c r="A766" t="s">
        <v>17281</v>
      </c>
      <c r="B766">
        <v>1</v>
      </c>
      <c r="C766" t="s">
        <v>16400</v>
      </c>
      <c r="D766" t="s">
        <v>4215</v>
      </c>
      <c r="E766" t="s">
        <v>17334</v>
      </c>
      <c r="F766">
        <v>3</v>
      </c>
      <c r="N766" t="s">
        <v>16400</v>
      </c>
    </row>
    <row r="767" spans="1:14">
      <c r="A767" t="s">
        <v>17288</v>
      </c>
      <c r="B767">
        <v>1</v>
      </c>
      <c r="C767" t="s">
        <v>16401</v>
      </c>
      <c r="D767" t="s">
        <v>4215</v>
      </c>
      <c r="E767" t="s">
        <v>17334</v>
      </c>
      <c r="F767">
        <v>3</v>
      </c>
      <c r="N767" t="s">
        <v>16401</v>
      </c>
    </row>
    <row r="768" spans="1:14">
      <c r="A768" t="s">
        <v>17295</v>
      </c>
      <c r="B768">
        <v>1</v>
      </c>
      <c r="C768" t="s">
        <v>16402</v>
      </c>
      <c r="D768" t="s">
        <v>4215</v>
      </c>
      <c r="E768" t="s">
        <v>17334</v>
      </c>
      <c r="F768">
        <v>3</v>
      </c>
      <c r="N768" t="s">
        <v>16402</v>
      </c>
    </row>
    <row r="769" spans="1:14">
      <c r="A769" t="s">
        <v>17302</v>
      </c>
      <c r="B769">
        <v>1</v>
      </c>
      <c r="C769" t="s">
        <v>16403</v>
      </c>
      <c r="D769" t="s">
        <v>4215</v>
      </c>
      <c r="E769" t="s">
        <v>17334</v>
      </c>
      <c r="F769">
        <v>3</v>
      </c>
      <c r="N769" t="s">
        <v>16403</v>
      </c>
    </row>
    <row r="770" spans="1:14">
      <c r="A770" t="s">
        <v>17309</v>
      </c>
      <c r="B770">
        <v>1</v>
      </c>
      <c r="C770" t="s">
        <v>16404</v>
      </c>
      <c r="D770" t="s">
        <v>4215</v>
      </c>
      <c r="E770" t="s">
        <v>17334</v>
      </c>
      <c r="F770">
        <v>3</v>
      </c>
      <c r="N770" t="s">
        <v>16404</v>
      </c>
    </row>
    <row r="771" spans="1:14">
      <c r="A771" t="s">
        <v>17316</v>
      </c>
      <c r="B771">
        <v>1</v>
      </c>
      <c r="C771" t="s">
        <v>16405</v>
      </c>
      <c r="D771" t="s">
        <v>4215</v>
      </c>
      <c r="E771" t="s">
        <v>17334</v>
      </c>
      <c r="F771">
        <v>3</v>
      </c>
      <c r="N771" t="s">
        <v>16405</v>
      </c>
    </row>
    <row r="772" spans="1:14">
      <c r="A772" t="s">
        <v>17113</v>
      </c>
      <c r="B772">
        <v>1</v>
      </c>
      <c r="C772" t="s">
        <v>16406</v>
      </c>
      <c r="D772" t="s">
        <v>4215</v>
      </c>
      <c r="E772" t="s">
        <v>17334</v>
      </c>
      <c r="F772">
        <v>3</v>
      </c>
      <c r="N772" t="s">
        <v>16406</v>
      </c>
    </row>
    <row r="773" spans="1:14">
      <c r="A773" t="s">
        <v>17122</v>
      </c>
      <c r="B773">
        <v>1</v>
      </c>
      <c r="C773" t="s">
        <v>16407</v>
      </c>
      <c r="D773" t="s">
        <v>4215</v>
      </c>
      <c r="E773" t="s">
        <v>17334</v>
      </c>
      <c r="F773">
        <v>3</v>
      </c>
      <c r="N773" t="s">
        <v>16407</v>
      </c>
    </row>
    <row r="774" spans="1:14">
      <c r="A774" t="s">
        <v>17131</v>
      </c>
      <c r="B774">
        <v>1</v>
      </c>
      <c r="C774" t="s">
        <v>16408</v>
      </c>
      <c r="D774" t="s">
        <v>4215</v>
      </c>
      <c r="E774" t="s">
        <v>17334</v>
      </c>
      <c r="F774">
        <v>3</v>
      </c>
      <c r="N774" t="s">
        <v>16408</v>
      </c>
    </row>
    <row r="775" spans="1:14">
      <c r="A775" t="s">
        <v>17140</v>
      </c>
      <c r="B775">
        <v>1</v>
      </c>
      <c r="C775" t="s">
        <v>16409</v>
      </c>
      <c r="D775" t="s">
        <v>4215</v>
      </c>
      <c r="E775" t="s">
        <v>17334</v>
      </c>
      <c r="F775">
        <v>3</v>
      </c>
      <c r="N775" t="s">
        <v>16409</v>
      </c>
    </row>
    <row r="776" spans="1:14">
      <c r="A776" t="s">
        <v>17149</v>
      </c>
      <c r="B776">
        <v>1</v>
      </c>
      <c r="C776" t="s">
        <v>16410</v>
      </c>
      <c r="D776" t="s">
        <v>4215</v>
      </c>
      <c r="E776" t="s">
        <v>17334</v>
      </c>
      <c r="F776">
        <v>3</v>
      </c>
      <c r="N776" t="s">
        <v>16410</v>
      </c>
    </row>
    <row r="777" spans="1:14">
      <c r="A777" t="s">
        <v>17158</v>
      </c>
      <c r="B777">
        <v>1</v>
      </c>
      <c r="C777" t="s">
        <v>16411</v>
      </c>
      <c r="D777" t="s">
        <v>4215</v>
      </c>
      <c r="E777" t="s">
        <v>17334</v>
      </c>
      <c r="F777">
        <v>3</v>
      </c>
      <c r="N777" t="s">
        <v>16411</v>
      </c>
    </row>
    <row r="778" spans="1:14">
      <c r="A778" t="s">
        <v>17167</v>
      </c>
      <c r="B778">
        <v>1</v>
      </c>
      <c r="C778" t="s">
        <v>16412</v>
      </c>
      <c r="D778" t="s">
        <v>4215</v>
      </c>
      <c r="E778" t="s">
        <v>17334</v>
      </c>
      <c r="F778">
        <v>3</v>
      </c>
      <c r="N778" t="s">
        <v>16412</v>
      </c>
    </row>
    <row r="779" spans="1:14">
      <c r="A779" t="s">
        <v>17176</v>
      </c>
      <c r="B779">
        <v>1</v>
      </c>
      <c r="C779" t="s">
        <v>16413</v>
      </c>
      <c r="D779" t="s">
        <v>4215</v>
      </c>
      <c r="E779" t="s">
        <v>17334</v>
      </c>
      <c r="F779">
        <v>3</v>
      </c>
      <c r="N779" t="s">
        <v>16413</v>
      </c>
    </row>
    <row r="780" spans="1:14">
      <c r="A780" t="s">
        <v>17184</v>
      </c>
      <c r="B780">
        <v>1</v>
      </c>
      <c r="C780" t="s">
        <v>16414</v>
      </c>
      <c r="D780" t="s">
        <v>4215</v>
      </c>
      <c r="E780" t="s">
        <v>17334</v>
      </c>
      <c r="F780">
        <v>3</v>
      </c>
      <c r="N780" t="s">
        <v>16414</v>
      </c>
    </row>
    <row r="781" spans="1:14">
      <c r="A781" t="s">
        <v>17191</v>
      </c>
      <c r="B781">
        <v>1</v>
      </c>
      <c r="C781" t="s">
        <v>16415</v>
      </c>
      <c r="D781" t="s">
        <v>4215</v>
      </c>
      <c r="E781" t="s">
        <v>17334</v>
      </c>
      <c r="F781">
        <v>3</v>
      </c>
      <c r="N781" t="s">
        <v>16415</v>
      </c>
    </row>
    <row r="782" spans="1:14">
      <c r="A782" t="s">
        <v>17198</v>
      </c>
      <c r="B782">
        <v>1</v>
      </c>
      <c r="C782" t="s">
        <v>16416</v>
      </c>
      <c r="D782" t="s">
        <v>4215</v>
      </c>
      <c r="E782" t="s">
        <v>17334</v>
      </c>
      <c r="F782">
        <v>3</v>
      </c>
      <c r="N782" t="s">
        <v>16416</v>
      </c>
    </row>
    <row r="783" spans="1:14">
      <c r="A783" t="s">
        <v>17205</v>
      </c>
      <c r="B783">
        <v>1</v>
      </c>
      <c r="C783" t="s">
        <v>16417</v>
      </c>
      <c r="D783" t="s">
        <v>4215</v>
      </c>
      <c r="E783" t="s">
        <v>17334</v>
      </c>
      <c r="F783">
        <v>3</v>
      </c>
      <c r="N783" t="s">
        <v>16417</v>
      </c>
    </row>
    <row r="784" spans="1:14">
      <c r="A784" t="s">
        <v>17212</v>
      </c>
      <c r="B784">
        <v>1</v>
      </c>
      <c r="C784" t="s">
        <v>16418</v>
      </c>
      <c r="D784" t="s">
        <v>4215</v>
      </c>
      <c r="E784" t="s">
        <v>17334</v>
      </c>
      <c r="F784">
        <v>3</v>
      </c>
      <c r="N784" t="s">
        <v>16418</v>
      </c>
    </row>
    <row r="785" spans="1:14">
      <c r="A785" t="s">
        <v>17219</v>
      </c>
      <c r="B785">
        <v>1</v>
      </c>
      <c r="C785" t="s">
        <v>16419</v>
      </c>
      <c r="D785" t="s">
        <v>4215</v>
      </c>
      <c r="E785" t="s">
        <v>17334</v>
      </c>
      <c r="F785">
        <v>3</v>
      </c>
      <c r="N785" t="s">
        <v>16419</v>
      </c>
    </row>
    <row r="786" spans="1:14">
      <c r="A786" t="s">
        <v>17226</v>
      </c>
      <c r="B786">
        <v>1</v>
      </c>
      <c r="C786" t="s">
        <v>16420</v>
      </c>
      <c r="D786" t="s">
        <v>4215</v>
      </c>
      <c r="E786" t="s">
        <v>17334</v>
      </c>
      <c r="F786">
        <v>3</v>
      </c>
      <c r="N786" t="s">
        <v>16420</v>
      </c>
    </row>
    <row r="787" spans="1:14">
      <c r="A787" t="s">
        <v>17233</v>
      </c>
      <c r="B787">
        <v>1</v>
      </c>
      <c r="C787" t="s">
        <v>16421</v>
      </c>
      <c r="D787" t="s">
        <v>4215</v>
      </c>
      <c r="E787" t="s">
        <v>17334</v>
      </c>
      <c r="F787">
        <v>3</v>
      </c>
      <c r="N787" t="s">
        <v>16421</v>
      </c>
    </row>
    <row r="788" spans="1:14">
      <c r="A788" t="s">
        <v>17240</v>
      </c>
      <c r="B788">
        <v>1</v>
      </c>
      <c r="C788" t="s">
        <v>16422</v>
      </c>
      <c r="D788" t="s">
        <v>4215</v>
      </c>
      <c r="E788" t="s">
        <v>17334</v>
      </c>
      <c r="F788">
        <v>3</v>
      </c>
      <c r="N788" t="s">
        <v>16422</v>
      </c>
    </row>
    <row r="789" spans="1:14">
      <c r="A789" t="s">
        <v>17247</v>
      </c>
      <c r="B789">
        <v>1</v>
      </c>
      <c r="C789" t="s">
        <v>16423</v>
      </c>
      <c r="D789" t="s">
        <v>4215</v>
      </c>
      <c r="E789" t="s">
        <v>17334</v>
      </c>
      <c r="F789">
        <v>3</v>
      </c>
      <c r="N789" t="s">
        <v>16423</v>
      </c>
    </row>
    <row r="790" spans="1:14">
      <c r="A790" t="s">
        <v>17254</v>
      </c>
      <c r="B790">
        <v>1</v>
      </c>
      <c r="C790" t="s">
        <v>16424</v>
      </c>
      <c r="D790" t="s">
        <v>4215</v>
      </c>
      <c r="E790" t="s">
        <v>17334</v>
      </c>
      <c r="F790">
        <v>3</v>
      </c>
      <c r="N790" t="s">
        <v>16424</v>
      </c>
    </row>
    <row r="791" spans="1:14">
      <c r="A791" t="s">
        <v>17261</v>
      </c>
      <c r="B791">
        <v>1</v>
      </c>
      <c r="C791" t="s">
        <v>16425</v>
      </c>
      <c r="D791" t="s">
        <v>4215</v>
      </c>
      <c r="E791" t="s">
        <v>17334</v>
      </c>
      <c r="F791">
        <v>3</v>
      </c>
      <c r="N791" t="s">
        <v>16425</v>
      </c>
    </row>
    <row r="792" spans="1:14">
      <c r="A792" t="s">
        <v>17268</v>
      </c>
      <c r="B792">
        <v>1</v>
      </c>
      <c r="C792" t="s">
        <v>16426</v>
      </c>
      <c r="D792" t="s">
        <v>4215</v>
      </c>
      <c r="E792" t="s">
        <v>17334</v>
      </c>
      <c r="F792">
        <v>3</v>
      </c>
      <c r="N792" t="s">
        <v>16426</v>
      </c>
    </row>
    <row r="793" spans="1:14">
      <c r="A793" t="s">
        <v>17275</v>
      </c>
      <c r="B793">
        <v>1</v>
      </c>
      <c r="C793" t="s">
        <v>16427</v>
      </c>
      <c r="D793" t="s">
        <v>4215</v>
      </c>
      <c r="E793" t="s">
        <v>17334</v>
      </c>
      <c r="F793">
        <v>3</v>
      </c>
      <c r="N793" t="s">
        <v>16427</v>
      </c>
    </row>
    <row r="794" spans="1:14">
      <c r="A794" t="s">
        <v>17282</v>
      </c>
      <c r="B794">
        <v>1</v>
      </c>
      <c r="C794" t="s">
        <v>16428</v>
      </c>
      <c r="D794" t="s">
        <v>4215</v>
      </c>
      <c r="E794" t="s">
        <v>17334</v>
      </c>
      <c r="F794">
        <v>3</v>
      </c>
      <c r="N794" t="s">
        <v>16428</v>
      </c>
    </row>
    <row r="795" spans="1:14">
      <c r="A795" t="s">
        <v>17289</v>
      </c>
      <c r="B795">
        <v>1</v>
      </c>
      <c r="C795" t="s">
        <v>16429</v>
      </c>
      <c r="D795" t="s">
        <v>4215</v>
      </c>
      <c r="E795" t="s">
        <v>17334</v>
      </c>
      <c r="F795">
        <v>3</v>
      </c>
      <c r="N795" t="s">
        <v>16429</v>
      </c>
    </row>
    <row r="796" spans="1:14">
      <c r="A796" t="s">
        <v>17296</v>
      </c>
      <c r="B796">
        <v>1</v>
      </c>
      <c r="C796" t="s">
        <v>16430</v>
      </c>
      <c r="D796" t="s">
        <v>4215</v>
      </c>
      <c r="E796" t="s">
        <v>17334</v>
      </c>
      <c r="F796">
        <v>3</v>
      </c>
      <c r="N796" t="s">
        <v>16430</v>
      </c>
    </row>
    <row r="797" spans="1:14">
      <c r="A797" t="s">
        <v>17303</v>
      </c>
      <c r="B797">
        <v>1</v>
      </c>
      <c r="C797" t="s">
        <v>16431</v>
      </c>
      <c r="D797" t="s">
        <v>4215</v>
      </c>
      <c r="E797" t="s">
        <v>17334</v>
      </c>
      <c r="F797">
        <v>3</v>
      </c>
      <c r="N797" t="s">
        <v>16431</v>
      </c>
    </row>
    <row r="798" spans="1:14">
      <c r="A798" t="s">
        <v>17310</v>
      </c>
      <c r="B798">
        <v>1</v>
      </c>
      <c r="C798" t="s">
        <v>16432</v>
      </c>
      <c r="D798" t="s">
        <v>4215</v>
      </c>
      <c r="E798" t="s">
        <v>17334</v>
      </c>
      <c r="F798">
        <v>3</v>
      </c>
      <c r="N798" t="s">
        <v>16432</v>
      </c>
    </row>
    <row r="799" spans="1:14">
      <c r="A799" t="s">
        <v>17317</v>
      </c>
      <c r="B799">
        <v>1</v>
      </c>
      <c r="C799" t="s">
        <v>16433</v>
      </c>
      <c r="D799" t="s">
        <v>4215</v>
      </c>
      <c r="E799" t="s">
        <v>17334</v>
      </c>
      <c r="F799">
        <v>3</v>
      </c>
      <c r="N799" t="s">
        <v>16433</v>
      </c>
    </row>
    <row r="800" spans="1:14">
      <c r="A800" t="s">
        <v>17114</v>
      </c>
      <c r="B800">
        <v>1</v>
      </c>
      <c r="C800" t="s">
        <v>16434</v>
      </c>
      <c r="D800" t="s">
        <v>4215</v>
      </c>
      <c r="E800" t="s">
        <v>17334</v>
      </c>
      <c r="F800">
        <v>3</v>
      </c>
      <c r="N800" t="s">
        <v>16434</v>
      </c>
    </row>
    <row r="801" spans="1:14">
      <c r="A801" t="s">
        <v>17123</v>
      </c>
      <c r="B801">
        <v>1</v>
      </c>
      <c r="C801" t="s">
        <v>16435</v>
      </c>
      <c r="D801" t="s">
        <v>4215</v>
      </c>
      <c r="E801" t="s">
        <v>17334</v>
      </c>
      <c r="F801">
        <v>3</v>
      </c>
      <c r="N801" t="s">
        <v>16435</v>
      </c>
    </row>
    <row r="802" spans="1:14">
      <c r="A802" t="s">
        <v>17132</v>
      </c>
      <c r="B802">
        <v>1</v>
      </c>
      <c r="C802" t="s">
        <v>16436</v>
      </c>
      <c r="D802" t="s">
        <v>4215</v>
      </c>
      <c r="E802" t="s">
        <v>17334</v>
      </c>
      <c r="F802">
        <v>3</v>
      </c>
      <c r="N802" t="s">
        <v>16436</v>
      </c>
    </row>
    <row r="803" spans="1:14">
      <c r="A803" t="s">
        <v>17141</v>
      </c>
      <c r="B803">
        <v>1</v>
      </c>
      <c r="C803" t="s">
        <v>16437</v>
      </c>
      <c r="D803" t="s">
        <v>4215</v>
      </c>
      <c r="E803" t="s">
        <v>17334</v>
      </c>
      <c r="F803">
        <v>3</v>
      </c>
      <c r="N803" t="s">
        <v>16437</v>
      </c>
    </row>
    <row r="804" spans="1:14">
      <c r="A804" t="s">
        <v>17150</v>
      </c>
      <c r="B804">
        <v>1</v>
      </c>
      <c r="C804" t="s">
        <v>16438</v>
      </c>
      <c r="D804" t="s">
        <v>4215</v>
      </c>
      <c r="E804" t="s">
        <v>17334</v>
      </c>
      <c r="F804">
        <v>3</v>
      </c>
      <c r="N804" t="s">
        <v>16438</v>
      </c>
    </row>
    <row r="805" spans="1:14">
      <c r="A805" t="s">
        <v>17159</v>
      </c>
      <c r="B805">
        <v>1</v>
      </c>
      <c r="C805" t="s">
        <v>16439</v>
      </c>
      <c r="D805" t="s">
        <v>4215</v>
      </c>
      <c r="E805" t="s">
        <v>17334</v>
      </c>
      <c r="F805">
        <v>3</v>
      </c>
      <c r="N805" t="s">
        <v>16439</v>
      </c>
    </row>
    <row r="806" spans="1:14">
      <c r="A806" t="s">
        <v>17168</v>
      </c>
      <c r="B806">
        <v>1</v>
      </c>
      <c r="C806" t="s">
        <v>16440</v>
      </c>
      <c r="D806" t="s">
        <v>4215</v>
      </c>
      <c r="E806" t="s">
        <v>17334</v>
      </c>
      <c r="F806">
        <v>3</v>
      </c>
      <c r="N806" t="s">
        <v>16440</v>
      </c>
    </row>
    <row r="807" spans="1:14">
      <c r="A807" t="s">
        <v>17177</v>
      </c>
      <c r="B807">
        <v>1</v>
      </c>
      <c r="C807" t="s">
        <v>16441</v>
      </c>
      <c r="D807" t="s">
        <v>4215</v>
      </c>
      <c r="E807" t="s">
        <v>17334</v>
      </c>
      <c r="F807">
        <v>3</v>
      </c>
      <c r="N807" t="s">
        <v>16441</v>
      </c>
    </row>
    <row r="808" spans="1:14">
      <c r="A808" t="s">
        <v>17185</v>
      </c>
      <c r="B808">
        <v>1</v>
      </c>
      <c r="C808" t="s">
        <v>16442</v>
      </c>
      <c r="D808" t="s">
        <v>4215</v>
      </c>
      <c r="E808" t="s">
        <v>17334</v>
      </c>
      <c r="F808">
        <v>3</v>
      </c>
      <c r="N808" t="s">
        <v>16442</v>
      </c>
    </row>
    <row r="809" spans="1:14">
      <c r="A809" t="s">
        <v>17192</v>
      </c>
      <c r="B809">
        <v>1</v>
      </c>
      <c r="C809" t="s">
        <v>16443</v>
      </c>
      <c r="D809" t="s">
        <v>4215</v>
      </c>
      <c r="E809" t="s">
        <v>17334</v>
      </c>
      <c r="F809">
        <v>3</v>
      </c>
      <c r="N809" t="s">
        <v>16443</v>
      </c>
    </row>
    <row r="810" spans="1:14">
      <c r="A810" t="s">
        <v>17199</v>
      </c>
      <c r="B810">
        <v>1</v>
      </c>
      <c r="C810" t="s">
        <v>16444</v>
      </c>
      <c r="D810" t="s">
        <v>4215</v>
      </c>
      <c r="E810" t="s">
        <v>17334</v>
      </c>
      <c r="F810">
        <v>3</v>
      </c>
      <c r="N810" t="s">
        <v>16444</v>
      </c>
    </row>
    <row r="811" spans="1:14">
      <c r="A811" t="s">
        <v>17206</v>
      </c>
      <c r="B811">
        <v>1</v>
      </c>
      <c r="C811" t="s">
        <v>16445</v>
      </c>
      <c r="D811" t="s">
        <v>4215</v>
      </c>
      <c r="E811" t="s">
        <v>17334</v>
      </c>
      <c r="F811">
        <v>3</v>
      </c>
      <c r="N811" t="s">
        <v>16445</v>
      </c>
    </row>
    <row r="812" spans="1:14">
      <c r="A812" t="s">
        <v>17213</v>
      </c>
      <c r="B812">
        <v>1</v>
      </c>
      <c r="C812" t="s">
        <v>16446</v>
      </c>
      <c r="D812" t="s">
        <v>4215</v>
      </c>
      <c r="E812" t="s">
        <v>17334</v>
      </c>
      <c r="F812">
        <v>3</v>
      </c>
      <c r="N812" t="s">
        <v>16446</v>
      </c>
    </row>
    <row r="813" spans="1:14">
      <c r="A813" t="s">
        <v>17220</v>
      </c>
      <c r="B813">
        <v>1</v>
      </c>
      <c r="C813" t="s">
        <v>16447</v>
      </c>
      <c r="D813" t="s">
        <v>4215</v>
      </c>
      <c r="E813" t="s">
        <v>17334</v>
      </c>
      <c r="F813">
        <v>3</v>
      </c>
      <c r="N813" t="s">
        <v>16447</v>
      </c>
    </row>
    <row r="814" spans="1:14">
      <c r="A814" t="s">
        <v>17227</v>
      </c>
      <c r="B814">
        <v>1</v>
      </c>
      <c r="C814" t="s">
        <v>16448</v>
      </c>
      <c r="D814" t="s">
        <v>4215</v>
      </c>
      <c r="E814" t="s">
        <v>17334</v>
      </c>
      <c r="F814">
        <v>3</v>
      </c>
      <c r="N814" t="s">
        <v>16448</v>
      </c>
    </row>
    <row r="815" spans="1:14">
      <c r="A815" t="s">
        <v>17234</v>
      </c>
      <c r="B815">
        <v>1</v>
      </c>
      <c r="C815" t="s">
        <v>16449</v>
      </c>
      <c r="D815" t="s">
        <v>4215</v>
      </c>
      <c r="E815" t="s">
        <v>17334</v>
      </c>
      <c r="F815">
        <v>3</v>
      </c>
      <c r="N815" t="s">
        <v>16449</v>
      </c>
    </row>
    <row r="816" spans="1:14">
      <c r="A816" t="s">
        <v>17241</v>
      </c>
      <c r="B816">
        <v>1</v>
      </c>
      <c r="C816" t="s">
        <v>16450</v>
      </c>
      <c r="D816" t="s">
        <v>4215</v>
      </c>
      <c r="E816" t="s">
        <v>17334</v>
      </c>
      <c r="F816">
        <v>3</v>
      </c>
      <c r="N816" t="s">
        <v>16450</v>
      </c>
    </row>
    <row r="817" spans="1:14">
      <c r="A817" t="s">
        <v>17248</v>
      </c>
      <c r="B817">
        <v>1</v>
      </c>
      <c r="C817" t="s">
        <v>16451</v>
      </c>
      <c r="D817" t="s">
        <v>4215</v>
      </c>
      <c r="E817" t="s">
        <v>17334</v>
      </c>
      <c r="F817">
        <v>3</v>
      </c>
      <c r="N817" t="s">
        <v>16451</v>
      </c>
    </row>
    <row r="818" spans="1:14">
      <c r="A818" t="s">
        <v>17255</v>
      </c>
      <c r="B818">
        <v>1</v>
      </c>
      <c r="C818" t="s">
        <v>16452</v>
      </c>
      <c r="D818" t="s">
        <v>4215</v>
      </c>
      <c r="E818" t="s">
        <v>17334</v>
      </c>
      <c r="F818">
        <v>3</v>
      </c>
      <c r="N818" t="s">
        <v>16452</v>
      </c>
    </row>
    <row r="819" spans="1:14">
      <c r="A819" t="s">
        <v>17262</v>
      </c>
      <c r="B819">
        <v>1</v>
      </c>
      <c r="C819" t="s">
        <v>16453</v>
      </c>
      <c r="D819" t="s">
        <v>4215</v>
      </c>
      <c r="E819" t="s">
        <v>17334</v>
      </c>
      <c r="F819">
        <v>3</v>
      </c>
      <c r="N819" t="s">
        <v>16453</v>
      </c>
    </row>
    <row r="820" spans="1:14">
      <c r="A820" t="s">
        <v>17269</v>
      </c>
      <c r="B820">
        <v>1</v>
      </c>
      <c r="C820" t="s">
        <v>16454</v>
      </c>
      <c r="D820" t="s">
        <v>4215</v>
      </c>
      <c r="E820" t="s">
        <v>17334</v>
      </c>
      <c r="F820">
        <v>3</v>
      </c>
      <c r="N820" t="s">
        <v>16454</v>
      </c>
    </row>
    <row r="821" spans="1:14">
      <c r="A821" t="s">
        <v>17276</v>
      </c>
      <c r="B821">
        <v>1</v>
      </c>
      <c r="C821" t="s">
        <v>16455</v>
      </c>
      <c r="D821" t="s">
        <v>4215</v>
      </c>
      <c r="E821" t="s">
        <v>17334</v>
      </c>
      <c r="F821">
        <v>3</v>
      </c>
      <c r="N821" t="s">
        <v>16455</v>
      </c>
    </row>
    <row r="822" spans="1:14">
      <c r="A822" t="s">
        <v>17283</v>
      </c>
      <c r="B822">
        <v>1</v>
      </c>
      <c r="C822" t="s">
        <v>16456</v>
      </c>
      <c r="D822" t="s">
        <v>4215</v>
      </c>
      <c r="E822" t="s">
        <v>17334</v>
      </c>
      <c r="F822">
        <v>3</v>
      </c>
      <c r="N822" t="s">
        <v>16456</v>
      </c>
    </row>
    <row r="823" spans="1:14">
      <c r="A823" t="s">
        <v>17290</v>
      </c>
      <c r="B823">
        <v>1</v>
      </c>
      <c r="C823" t="s">
        <v>16457</v>
      </c>
      <c r="D823" t="s">
        <v>4215</v>
      </c>
      <c r="E823" t="s">
        <v>17334</v>
      </c>
      <c r="F823">
        <v>3</v>
      </c>
      <c r="N823" t="s">
        <v>16457</v>
      </c>
    </row>
    <row r="824" spans="1:14">
      <c r="A824" t="s">
        <v>17297</v>
      </c>
      <c r="B824">
        <v>1</v>
      </c>
      <c r="C824" t="s">
        <v>16458</v>
      </c>
      <c r="D824" t="s">
        <v>4215</v>
      </c>
      <c r="E824" t="s">
        <v>17334</v>
      </c>
      <c r="F824">
        <v>3</v>
      </c>
      <c r="N824" t="s">
        <v>16458</v>
      </c>
    </row>
    <row r="825" spans="1:14">
      <c r="A825" t="s">
        <v>17304</v>
      </c>
      <c r="B825">
        <v>1</v>
      </c>
      <c r="C825" t="s">
        <v>16459</v>
      </c>
      <c r="D825" t="s">
        <v>4215</v>
      </c>
      <c r="E825" t="s">
        <v>17334</v>
      </c>
      <c r="F825">
        <v>3</v>
      </c>
      <c r="N825" t="s">
        <v>16459</v>
      </c>
    </row>
    <row r="826" spans="1:14">
      <c r="A826" t="s">
        <v>17311</v>
      </c>
      <c r="B826">
        <v>1</v>
      </c>
      <c r="C826" t="s">
        <v>16460</v>
      </c>
      <c r="D826" t="s">
        <v>4215</v>
      </c>
      <c r="E826" t="s">
        <v>17334</v>
      </c>
      <c r="F826">
        <v>3</v>
      </c>
      <c r="N826" t="s">
        <v>16460</v>
      </c>
    </row>
    <row r="827" spans="1:14">
      <c r="A827" t="s">
        <v>17318</v>
      </c>
      <c r="B827">
        <v>1</v>
      </c>
      <c r="C827" t="s">
        <v>16461</v>
      </c>
      <c r="D827" t="s">
        <v>4215</v>
      </c>
      <c r="E827" t="s">
        <v>17334</v>
      </c>
      <c r="F827">
        <v>3</v>
      </c>
      <c r="N827" t="s">
        <v>16461</v>
      </c>
    </row>
    <row r="828" spans="1:14">
      <c r="A828" t="s">
        <v>17115</v>
      </c>
      <c r="B828">
        <v>1</v>
      </c>
      <c r="C828" t="s">
        <v>16462</v>
      </c>
      <c r="D828" t="s">
        <v>4215</v>
      </c>
      <c r="E828" t="s">
        <v>17334</v>
      </c>
      <c r="F828">
        <v>3</v>
      </c>
      <c r="N828" t="s">
        <v>16462</v>
      </c>
    </row>
    <row r="829" spans="1:14">
      <c r="A829" t="s">
        <v>17124</v>
      </c>
      <c r="B829">
        <v>1</v>
      </c>
      <c r="C829" t="s">
        <v>16463</v>
      </c>
      <c r="D829" t="s">
        <v>4215</v>
      </c>
      <c r="E829" t="s">
        <v>17334</v>
      </c>
      <c r="F829">
        <v>3</v>
      </c>
      <c r="N829" t="s">
        <v>16463</v>
      </c>
    </row>
    <row r="830" spans="1:14">
      <c r="A830" t="s">
        <v>17133</v>
      </c>
      <c r="B830">
        <v>1</v>
      </c>
      <c r="C830" t="s">
        <v>16464</v>
      </c>
      <c r="D830" t="s">
        <v>4215</v>
      </c>
      <c r="E830" t="s">
        <v>17334</v>
      </c>
      <c r="F830">
        <v>3</v>
      </c>
      <c r="N830" t="s">
        <v>16464</v>
      </c>
    </row>
    <row r="831" spans="1:14">
      <c r="A831" t="s">
        <v>17142</v>
      </c>
      <c r="B831">
        <v>1</v>
      </c>
      <c r="C831" t="s">
        <v>16465</v>
      </c>
      <c r="D831" t="s">
        <v>4215</v>
      </c>
      <c r="E831" t="s">
        <v>17334</v>
      </c>
      <c r="F831">
        <v>3</v>
      </c>
      <c r="N831" t="s">
        <v>16465</v>
      </c>
    </row>
    <row r="832" spans="1:14">
      <c r="A832" t="s">
        <v>17151</v>
      </c>
      <c r="B832">
        <v>1</v>
      </c>
      <c r="C832" t="s">
        <v>16466</v>
      </c>
      <c r="D832" t="s">
        <v>4215</v>
      </c>
      <c r="E832" t="s">
        <v>17334</v>
      </c>
      <c r="F832">
        <v>3</v>
      </c>
      <c r="N832" t="s">
        <v>16466</v>
      </c>
    </row>
    <row r="833" spans="1:14">
      <c r="A833" t="s">
        <v>17160</v>
      </c>
      <c r="B833">
        <v>1</v>
      </c>
      <c r="C833" t="s">
        <v>16467</v>
      </c>
      <c r="D833" t="s">
        <v>4215</v>
      </c>
      <c r="E833" t="s">
        <v>17334</v>
      </c>
      <c r="F833">
        <v>3</v>
      </c>
      <c r="N833" t="s">
        <v>16467</v>
      </c>
    </row>
    <row r="834" spans="1:14">
      <c r="A834" t="s">
        <v>17169</v>
      </c>
      <c r="B834">
        <v>1</v>
      </c>
      <c r="C834" t="s">
        <v>16468</v>
      </c>
      <c r="D834" t="s">
        <v>4215</v>
      </c>
      <c r="E834" t="s">
        <v>17334</v>
      </c>
      <c r="F834">
        <v>3</v>
      </c>
      <c r="N834" t="s">
        <v>16468</v>
      </c>
    </row>
    <row r="835" spans="1:14">
      <c r="A835" t="s">
        <v>17116</v>
      </c>
      <c r="B835">
        <v>1</v>
      </c>
      <c r="C835" t="s">
        <v>16469</v>
      </c>
      <c r="D835" t="s">
        <v>4215</v>
      </c>
      <c r="E835" t="s">
        <v>17334</v>
      </c>
      <c r="F835">
        <v>3</v>
      </c>
      <c r="N835" t="s">
        <v>16469</v>
      </c>
    </row>
    <row r="836" spans="1:14">
      <c r="A836" t="s">
        <v>17125</v>
      </c>
      <c r="B836">
        <v>1</v>
      </c>
      <c r="C836" t="s">
        <v>16470</v>
      </c>
      <c r="D836" t="s">
        <v>4215</v>
      </c>
      <c r="E836" t="s">
        <v>17334</v>
      </c>
      <c r="F836">
        <v>3</v>
      </c>
      <c r="N836" t="s">
        <v>16470</v>
      </c>
    </row>
    <row r="837" spans="1:14">
      <c r="A837" t="s">
        <v>17134</v>
      </c>
      <c r="B837">
        <v>1</v>
      </c>
      <c r="C837" t="s">
        <v>16471</v>
      </c>
      <c r="D837" t="s">
        <v>4215</v>
      </c>
      <c r="E837" t="s">
        <v>17334</v>
      </c>
      <c r="F837">
        <v>3</v>
      </c>
      <c r="N837" t="s">
        <v>16471</v>
      </c>
    </row>
    <row r="838" spans="1:14">
      <c r="A838" t="s">
        <v>17143</v>
      </c>
      <c r="B838">
        <v>1</v>
      </c>
      <c r="C838" t="s">
        <v>16472</v>
      </c>
      <c r="D838" t="s">
        <v>4215</v>
      </c>
      <c r="E838" t="s">
        <v>17334</v>
      </c>
      <c r="F838">
        <v>3</v>
      </c>
      <c r="N838" t="s">
        <v>16472</v>
      </c>
    </row>
    <row r="839" spans="1:14">
      <c r="A839" t="s">
        <v>17152</v>
      </c>
      <c r="B839">
        <v>1</v>
      </c>
      <c r="C839" t="s">
        <v>16473</v>
      </c>
      <c r="D839" t="s">
        <v>4215</v>
      </c>
      <c r="E839" t="s">
        <v>17334</v>
      </c>
      <c r="F839">
        <v>3</v>
      </c>
      <c r="N839" t="s">
        <v>16473</v>
      </c>
    </row>
    <row r="840" spans="1:14">
      <c r="A840" t="s">
        <v>17161</v>
      </c>
      <c r="B840">
        <v>1</v>
      </c>
      <c r="C840" t="s">
        <v>16474</v>
      </c>
      <c r="D840" t="s">
        <v>4215</v>
      </c>
      <c r="E840" t="s">
        <v>17334</v>
      </c>
      <c r="F840">
        <v>3</v>
      </c>
      <c r="N840" t="s">
        <v>16474</v>
      </c>
    </row>
    <row r="841" spans="1:14">
      <c r="A841" t="s">
        <v>17170</v>
      </c>
      <c r="B841">
        <v>1</v>
      </c>
      <c r="C841" t="s">
        <v>16475</v>
      </c>
      <c r="D841" t="s">
        <v>4215</v>
      </c>
      <c r="E841" t="s">
        <v>17334</v>
      </c>
      <c r="F841">
        <v>3</v>
      </c>
      <c r="N841" t="s">
        <v>16475</v>
      </c>
    </row>
    <row r="842" spans="1:14">
      <c r="A842" t="s">
        <v>17350</v>
      </c>
      <c r="C842" t="s">
        <v>18136</v>
      </c>
      <c r="D842" t="s">
        <v>4215</v>
      </c>
      <c r="E842" t="s">
        <v>17334</v>
      </c>
      <c r="F842">
        <v>3</v>
      </c>
      <c r="N842" t="s">
        <v>18136</v>
      </c>
    </row>
    <row r="843" spans="1:14">
      <c r="A843" t="s">
        <v>17351</v>
      </c>
      <c r="C843" t="s">
        <v>18137</v>
      </c>
      <c r="D843" t="s">
        <v>4215</v>
      </c>
      <c r="E843" t="s">
        <v>17334</v>
      </c>
      <c r="F843">
        <v>3</v>
      </c>
      <c r="N843" t="s">
        <v>18137</v>
      </c>
    </row>
    <row r="844" spans="1:14">
      <c r="A844" t="s">
        <v>17352</v>
      </c>
      <c r="C844" t="s">
        <v>18138</v>
      </c>
      <c r="D844" t="s">
        <v>4215</v>
      </c>
      <c r="E844" t="s">
        <v>17334</v>
      </c>
      <c r="F844">
        <v>3</v>
      </c>
      <c r="N844" t="s">
        <v>18138</v>
      </c>
    </row>
    <row r="845" spans="1:14">
      <c r="A845" t="s">
        <v>17353</v>
      </c>
      <c r="C845" t="s">
        <v>18139</v>
      </c>
      <c r="D845" t="s">
        <v>4215</v>
      </c>
      <c r="E845" t="s">
        <v>17334</v>
      </c>
      <c r="F845">
        <v>3</v>
      </c>
      <c r="N845" t="s">
        <v>18139</v>
      </c>
    </row>
    <row r="846" spans="1:14">
      <c r="A846" t="s">
        <v>17354</v>
      </c>
      <c r="C846" t="s">
        <v>18140</v>
      </c>
      <c r="D846" t="s">
        <v>4215</v>
      </c>
      <c r="E846" t="s">
        <v>17334</v>
      </c>
      <c r="F846">
        <v>3</v>
      </c>
      <c r="N846" t="s">
        <v>18140</v>
      </c>
    </row>
    <row r="847" spans="1:14">
      <c r="A847" t="s">
        <v>17355</v>
      </c>
      <c r="C847" t="s">
        <v>18141</v>
      </c>
      <c r="D847" t="s">
        <v>4215</v>
      </c>
      <c r="E847" t="s">
        <v>17334</v>
      </c>
      <c r="F847">
        <v>3</v>
      </c>
      <c r="N847" t="s">
        <v>18141</v>
      </c>
    </row>
    <row r="848" spans="1:14">
      <c r="A848" t="s">
        <v>17356</v>
      </c>
      <c r="C848" t="s">
        <v>18136</v>
      </c>
      <c r="D848" t="s">
        <v>4215</v>
      </c>
      <c r="E848" t="s">
        <v>17334</v>
      </c>
      <c r="F848">
        <v>3</v>
      </c>
      <c r="N848" t="s">
        <v>18136</v>
      </c>
    </row>
    <row r="849" spans="1:14">
      <c r="A849" t="s">
        <v>17357</v>
      </c>
      <c r="C849" t="s">
        <v>18137</v>
      </c>
      <c r="D849" t="s">
        <v>4215</v>
      </c>
      <c r="E849" t="s">
        <v>17334</v>
      </c>
      <c r="F849">
        <v>3</v>
      </c>
      <c r="N849" t="s">
        <v>18137</v>
      </c>
    </row>
    <row r="850" spans="1:14">
      <c r="A850" t="s">
        <v>17358</v>
      </c>
      <c r="C850" t="s">
        <v>18138</v>
      </c>
      <c r="D850" t="s">
        <v>4215</v>
      </c>
      <c r="E850" t="s">
        <v>17334</v>
      </c>
      <c r="F850">
        <v>3</v>
      </c>
      <c r="N850" t="s">
        <v>18138</v>
      </c>
    </row>
    <row r="851" spans="1:14">
      <c r="A851" t="s">
        <v>17359</v>
      </c>
      <c r="C851" t="s">
        <v>18139</v>
      </c>
      <c r="D851" t="s">
        <v>4215</v>
      </c>
      <c r="E851" t="s">
        <v>17334</v>
      </c>
      <c r="F851">
        <v>3</v>
      </c>
      <c r="N851" t="s">
        <v>18139</v>
      </c>
    </row>
    <row r="852" spans="1:14">
      <c r="A852" t="s">
        <v>17360</v>
      </c>
      <c r="C852" t="s">
        <v>18140</v>
      </c>
      <c r="D852" t="s">
        <v>4215</v>
      </c>
      <c r="E852" t="s">
        <v>17334</v>
      </c>
      <c r="F852">
        <v>3</v>
      </c>
      <c r="N852" t="s">
        <v>18140</v>
      </c>
    </row>
    <row r="853" spans="1:14">
      <c r="A853" t="s">
        <v>17361</v>
      </c>
      <c r="C853" t="s">
        <v>18141</v>
      </c>
      <c r="D853" t="s">
        <v>4215</v>
      </c>
      <c r="E853" t="s">
        <v>17334</v>
      </c>
      <c r="F853">
        <v>3</v>
      </c>
      <c r="N853" t="s">
        <v>18141</v>
      </c>
    </row>
    <row r="854" spans="1:14">
      <c r="A854" t="s">
        <v>17362</v>
      </c>
      <c r="C854" t="s">
        <v>18136</v>
      </c>
      <c r="D854" t="s">
        <v>4215</v>
      </c>
      <c r="E854" t="s">
        <v>17334</v>
      </c>
      <c r="F854">
        <v>3</v>
      </c>
      <c r="N854" t="s">
        <v>18136</v>
      </c>
    </row>
    <row r="855" spans="1:14">
      <c r="A855" t="s">
        <v>17363</v>
      </c>
      <c r="C855" t="s">
        <v>18137</v>
      </c>
      <c r="D855" t="s">
        <v>4215</v>
      </c>
      <c r="E855" t="s">
        <v>17334</v>
      </c>
      <c r="F855">
        <v>3</v>
      </c>
      <c r="N855" t="s">
        <v>18137</v>
      </c>
    </row>
    <row r="856" spans="1:14">
      <c r="A856" t="s">
        <v>17364</v>
      </c>
      <c r="C856" t="s">
        <v>18138</v>
      </c>
      <c r="D856" t="s">
        <v>4215</v>
      </c>
      <c r="E856" t="s">
        <v>17334</v>
      </c>
      <c r="F856">
        <v>3</v>
      </c>
      <c r="N856" t="s">
        <v>18138</v>
      </c>
    </row>
    <row r="857" spans="1:14">
      <c r="A857" t="s">
        <v>17365</v>
      </c>
      <c r="C857" t="s">
        <v>18139</v>
      </c>
      <c r="D857" t="s">
        <v>4215</v>
      </c>
      <c r="E857" t="s">
        <v>17334</v>
      </c>
      <c r="F857">
        <v>3</v>
      </c>
      <c r="N857" t="s">
        <v>18139</v>
      </c>
    </row>
    <row r="858" spans="1:14">
      <c r="A858" t="s">
        <v>17366</v>
      </c>
      <c r="C858" t="s">
        <v>18140</v>
      </c>
      <c r="D858" t="s">
        <v>4215</v>
      </c>
      <c r="E858" t="s">
        <v>17334</v>
      </c>
      <c r="F858">
        <v>3</v>
      </c>
      <c r="N858" t="s">
        <v>18140</v>
      </c>
    </row>
    <row r="859" spans="1:14">
      <c r="A859" t="s">
        <v>17367</v>
      </c>
      <c r="C859" t="s">
        <v>18141</v>
      </c>
      <c r="D859" t="s">
        <v>4215</v>
      </c>
      <c r="E859" t="s">
        <v>17334</v>
      </c>
      <c r="F859">
        <v>3</v>
      </c>
      <c r="N859" t="s">
        <v>18141</v>
      </c>
    </row>
    <row r="860" spans="1:14">
      <c r="A860" t="s">
        <v>17368</v>
      </c>
      <c r="C860" t="s">
        <v>18142</v>
      </c>
      <c r="D860" t="s">
        <v>4215</v>
      </c>
      <c r="E860" t="s">
        <v>17334</v>
      </c>
      <c r="F860">
        <v>3</v>
      </c>
      <c r="N860" t="s">
        <v>18142</v>
      </c>
    </row>
    <row r="861" spans="1:14">
      <c r="A861" t="s">
        <v>17369</v>
      </c>
      <c r="C861" t="s">
        <v>18143</v>
      </c>
      <c r="D861" t="s">
        <v>4215</v>
      </c>
      <c r="E861" t="s">
        <v>17334</v>
      </c>
      <c r="F861">
        <v>3</v>
      </c>
      <c r="N861" t="s">
        <v>18143</v>
      </c>
    </row>
    <row r="862" spans="1:14">
      <c r="A862" t="s">
        <v>17370</v>
      </c>
      <c r="C862" t="s">
        <v>18144</v>
      </c>
      <c r="D862" t="s">
        <v>4215</v>
      </c>
      <c r="E862" t="s">
        <v>17334</v>
      </c>
      <c r="F862">
        <v>3</v>
      </c>
      <c r="N862" t="s">
        <v>18144</v>
      </c>
    </row>
    <row r="863" spans="1:14">
      <c r="A863" t="s">
        <v>17371</v>
      </c>
      <c r="C863" t="s">
        <v>18145</v>
      </c>
      <c r="D863" t="s">
        <v>4215</v>
      </c>
      <c r="E863" t="s">
        <v>17334</v>
      </c>
      <c r="F863">
        <v>3</v>
      </c>
      <c r="N863" t="s">
        <v>18145</v>
      </c>
    </row>
    <row r="864" spans="1:14">
      <c r="A864" t="s">
        <v>17372</v>
      </c>
      <c r="C864" t="s">
        <v>18146</v>
      </c>
      <c r="D864" t="s">
        <v>4215</v>
      </c>
      <c r="E864" t="s">
        <v>17334</v>
      </c>
      <c r="F864">
        <v>3</v>
      </c>
      <c r="N864" t="s">
        <v>18146</v>
      </c>
    </row>
    <row r="865" spans="1:14">
      <c r="A865" t="s">
        <v>17373</v>
      </c>
      <c r="C865" t="s">
        <v>18147</v>
      </c>
      <c r="D865" t="s">
        <v>4215</v>
      </c>
      <c r="E865" t="s">
        <v>17334</v>
      </c>
      <c r="F865">
        <v>3</v>
      </c>
      <c r="N865" t="s">
        <v>18147</v>
      </c>
    </row>
    <row r="866" spans="1:14">
      <c r="A866" t="s">
        <v>17374</v>
      </c>
      <c r="C866" t="s">
        <v>18142</v>
      </c>
      <c r="D866" t="s">
        <v>4215</v>
      </c>
      <c r="E866" t="s">
        <v>17334</v>
      </c>
      <c r="F866">
        <v>3</v>
      </c>
      <c r="N866" t="s">
        <v>18142</v>
      </c>
    </row>
    <row r="867" spans="1:14">
      <c r="A867" t="s">
        <v>17375</v>
      </c>
      <c r="C867" t="s">
        <v>18143</v>
      </c>
      <c r="D867" t="s">
        <v>4215</v>
      </c>
      <c r="E867" t="s">
        <v>17334</v>
      </c>
      <c r="F867">
        <v>3</v>
      </c>
      <c r="N867" t="s">
        <v>18143</v>
      </c>
    </row>
    <row r="868" spans="1:14">
      <c r="A868" t="s">
        <v>17376</v>
      </c>
      <c r="C868" t="s">
        <v>18144</v>
      </c>
      <c r="D868" t="s">
        <v>4215</v>
      </c>
      <c r="E868" t="s">
        <v>17334</v>
      </c>
      <c r="F868">
        <v>3</v>
      </c>
      <c r="N868" t="s">
        <v>18144</v>
      </c>
    </row>
    <row r="869" spans="1:14">
      <c r="A869" t="s">
        <v>17377</v>
      </c>
      <c r="C869" t="s">
        <v>18145</v>
      </c>
      <c r="D869" t="s">
        <v>4215</v>
      </c>
      <c r="E869" t="s">
        <v>17334</v>
      </c>
      <c r="F869">
        <v>3</v>
      </c>
      <c r="N869" t="s">
        <v>18145</v>
      </c>
    </row>
    <row r="870" spans="1:14">
      <c r="A870" t="s">
        <v>17378</v>
      </c>
      <c r="C870" t="s">
        <v>18146</v>
      </c>
      <c r="D870" t="s">
        <v>4215</v>
      </c>
      <c r="E870" t="s">
        <v>17334</v>
      </c>
      <c r="F870">
        <v>3</v>
      </c>
      <c r="N870" t="s">
        <v>18146</v>
      </c>
    </row>
    <row r="871" spans="1:14">
      <c r="A871" t="s">
        <v>17379</v>
      </c>
      <c r="C871" t="s">
        <v>18147</v>
      </c>
      <c r="D871" t="s">
        <v>4215</v>
      </c>
      <c r="E871" t="s">
        <v>17334</v>
      </c>
      <c r="F871">
        <v>3</v>
      </c>
      <c r="N871" t="s">
        <v>18147</v>
      </c>
    </row>
    <row r="872" spans="1:14">
      <c r="A872" t="s">
        <v>17380</v>
      </c>
      <c r="C872" t="s">
        <v>18142</v>
      </c>
      <c r="D872" t="s">
        <v>4215</v>
      </c>
      <c r="E872" t="s">
        <v>17334</v>
      </c>
      <c r="F872">
        <v>3</v>
      </c>
      <c r="N872" t="s">
        <v>18142</v>
      </c>
    </row>
    <row r="873" spans="1:14">
      <c r="A873" t="s">
        <v>17381</v>
      </c>
      <c r="C873" t="s">
        <v>18143</v>
      </c>
      <c r="D873" t="s">
        <v>4215</v>
      </c>
      <c r="E873" t="s">
        <v>17334</v>
      </c>
      <c r="F873">
        <v>3</v>
      </c>
      <c r="N873" t="s">
        <v>18143</v>
      </c>
    </row>
    <row r="874" spans="1:14">
      <c r="A874" t="s">
        <v>17382</v>
      </c>
      <c r="C874" t="s">
        <v>18144</v>
      </c>
      <c r="D874" t="s">
        <v>4215</v>
      </c>
      <c r="E874" t="s">
        <v>17334</v>
      </c>
      <c r="F874">
        <v>3</v>
      </c>
      <c r="N874" t="s">
        <v>18144</v>
      </c>
    </row>
    <row r="875" spans="1:14">
      <c r="A875" t="s">
        <v>17383</v>
      </c>
      <c r="C875" t="s">
        <v>18145</v>
      </c>
      <c r="D875" t="s">
        <v>4215</v>
      </c>
      <c r="E875" t="s">
        <v>17334</v>
      </c>
      <c r="F875">
        <v>3</v>
      </c>
      <c r="N875" t="s">
        <v>18145</v>
      </c>
    </row>
    <row r="876" spans="1:14">
      <c r="A876" t="s">
        <v>17384</v>
      </c>
      <c r="C876" t="s">
        <v>18146</v>
      </c>
      <c r="D876" t="s">
        <v>4215</v>
      </c>
      <c r="E876" t="s">
        <v>17334</v>
      </c>
      <c r="F876">
        <v>3</v>
      </c>
      <c r="N876" t="s">
        <v>18146</v>
      </c>
    </row>
    <row r="877" spans="1:14">
      <c r="A877" t="s">
        <v>17385</v>
      </c>
      <c r="C877" t="s">
        <v>18147</v>
      </c>
      <c r="D877" t="s">
        <v>4215</v>
      </c>
      <c r="E877" t="s">
        <v>17334</v>
      </c>
      <c r="F877">
        <v>3</v>
      </c>
      <c r="N877" t="s">
        <v>18147</v>
      </c>
    </row>
    <row r="878" spans="1:14">
      <c r="A878" t="s">
        <v>17449</v>
      </c>
      <c r="C878" t="s">
        <v>18148</v>
      </c>
      <c r="D878" t="s">
        <v>4215</v>
      </c>
      <c r="E878" t="s">
        <v>17334</v>
      </c>
      <c r="F878">
        <v>3</v>
      </c>
      <c r="N878" t="s">
        <v>18148</v>
      </c>
    </row>
    <row r="879" spans="1:14">
      <c r="A879" t="s">
        <v>17450</v>
      </c>
      <c r="C879" t="s">
        <v>18149</v>
      </c>
      <c r="D879" t="s">
        <v>4215</v>
      </c>
      <c r="E879" t="s">
        <v>17334</v>
      </c>
      <c r="F879">
        <v>3</v>
      </c>
      <c r="N879" t="s">
        <v>18149</v>
      </c>
    </row>
    <row r="880" spans="1:14">
      <c r="A880" t="s">
        <v>17451</v>
      </c>
      <c r="C880" t="s">
        <v>18150</v>
      </c>
      <c r="D880" t="s">
        <v>4215</v>
      </c>
      <c r="E880" t="s">
        <v>17334</v>
      </c>
      <c r="F880">
        <v>3</v>
      </c>
      <c r="N880" t="s">
        <v>18150</v>
      </c>
    </row>
    <row r="881" spans="1:14">
      <c r="A881" t="s">
        <v>17452</v>
      </c>
      <c r="C881" t="s">
        <v>18151</v>
      </c>
      <c r="D881" t="s">
        <v>4215</v>
      </c>
      <c r="E881" t="s">
        <v>17334</v>
      </c>
      <c r="F881">
        <v>3</v>
      </c>
      <c r="N881" t="s">
        <v>18151</v>
      </c>
    </row>
    <row r="882" spans="1:14">
      <c r="A882" t="s">
        <v>17453</v>
      </c>
      <c r="C882" t="s">
        <v>18150</v>
      </c>
      <c r="D882" t="s">
        <v>4215</v>
      </c>
      <c r="E882" t="s">
        <v>17334</v>
      </c>
      <c r="F882">
        <v>3</v>
      </c>
      <c r="N882" t="s">
        <v>18150</v>
      </c>
    </row>
    <row r="883" spans="1:14">
      <c r="A883" t="s">
        <v>17454</v>
      </c>
      <c r="C883" t="s">
        <v>18151</v>
      </c>
      <c r="D883" t="s">
        <v>4215</v>
      </c>
      <c r="E883" t="s">
        <v>17334</v>
      </c>
      <c r="F883">
        <v>3</v>
      </c>
      <c r="N883" t="s">
        <v>18151</v>
      </c>
    </row>
    <row r="884" spans="1:14">
      <c r="A884" t="s">
        <v>17455</v>
      </c>
      <c r="C884" t="s">
        <v>18150</v>
      </c>
      <c r="D884" t="s">
        <v>4215</v>
      </c>
      <c r="E884" t="s">
        <v>17334</v>
      </c>
      <c r="F884">
        <v>3</v>
      </c>
      <c r="N884" t="s">
        <v>18150</v>
      </c>
    </row>
    <row r="885" spans="1:14">
      <c r="A885" t="s">
        <v>17456</v>
      </c>
      <c r="C885" t="s">
        <v>18151</v>
      </c>
      <c r="D885" t="s">
        <v>4215</v>
      </c>
      <c r="E885" t="s">
        <v>17334</v>
      </c>
      <c r="F885">
        <v>3</v>
      </c>
      <c r="N885" t="s">
        <v>18151</v>
      </c>
    </row>
    <row r="886" spans="1:14">
      <c r="A886" t="s">
        <v>17411</v>
      </c>
      <c r="C886" t="s">
        <v>18152</v>
      </c>
      <c r="D886" t="s">
        <v>4215</v>
      </c>
      <c r="E886" t="s">
        <v>17334</v>
      </c>
      <c r="F886">
        <v>3</v>
      </c>
      <c r="N886" t="s">
        <v>18152</v>
      </c>
    </row>
    <row r="887" spans="1:14">
      <c r="A887" t="s">
        <v>17412</v>
      </c>
      <c r="C887" t="s">
        <v>18153</v>
      </c>
      <c r="D887" t="s">
        <v>4215</v>
      </c>
      <c r="E887" t="s">
        <v>17334</v>
      </c>
      <c r="F887">
        <v>3</v>
      </c>
      <c r="N887" t="s">
        <v>18153</v>
      </c>
    </row>
    <row r="888" spans="1:14">
      <c r="A888" t="s">
        <v>17417</v>
      </c>
      <c r="C888" t="s">
        <v>18152</v>
      </c>
      <c r="D888" t="s">
        <v>4215</v>
      </c>
      <c r="E888" t="s">
        <v>17334</v>
      </c>
      <c r="F888">
        <v>3</v>
      </c>
      <c r="N888" t="s">
        <v>18152</v>
      </c>
    </row>
    <row r="889" spans="1:14">
      <c r="A889" t="s">
        <v>17418</v>
      </c>
      <c r="C889" t="s">
        <v>18153</v>
      </c>
      <c r="D889" t="s">
        <v>4215</v>
      </c>
      <c r="E889" t="s">
        <v>17334</v>
      </c>
      <c r="F889">
        <v>3</v>
      </c>
      <c r="N889" t="s">
        <v>18153</v>
      </c>
    </row>
    <row r="890" spans="1:14">
      <c r="A890" t="s">
        <v>17423</v>
      </c>
      <c r="C890" t="s">
        <v>18152</v>
      </c>
      <c r="D890" t="s">
        <v>4215</v>
      </c>
      <c r="E890" t="s">
        <v>17334</v>
      </c>
      <c r="F890">
        <v>3</v>
      </c>
      <c r="N890" t="s">
        <v>18152</v>
      </c>
    </row>
    <row r="891" spans="1:14">
      <c r="A891" t="s">
        <v>17424</v>
      </c>
      <c r="C891" t="s">
        <v>18153</v>
      </c>
      <c r="D891" t="s">
        <v>4215</v>
      </c>
      <c r="E891" t="s">
        <v>17334</v>
      </c>
      <c r="F891">
        <v>3</v>
      </c>
      <c r="N891" t="s">
        <v>18153</v>
      </c>
    </row>
    <row r="892" spans="1:14">
      <c r="A892" t="s">
        <v>9656</v>
      </c>
      <c r="C892" t="s">
        <v>18154</v>
      </c>
      <c r="D892" t="s">
        <v>4215</v>
      </c>
      <c r="E892" t="s">
        <v>17334</v>
      </c>
      <c r="F892">
        <v>3</v>
      </c>
      <c r="N892" t="s">
        <v>18154</v>
      </c>
    </row>
    <row r="893" spans="1:14">
      <c r="A893" t="s">
        <v>9657</v>
      </c>
      <c r="C893" t="s">
        <v>18155</v>
      </c>
      <c r="D893" t="s">
        <v>4215</v>
      </c>
      <c r="E893" t="s">
        <v>17334</v>
      </c>
      <c r="F893">
        <v>3</v>
      </c>
      <c r="N893" t="s">
        <v>18155</v>
      </c>
    </row>
    <row r="894" spans="1:14">
      <c r="A894" t="s">
        <v>9658</v>
      </c>
      <c r="C894" t="s">
        <v>18156</v>
      </c>
      <c r="D894" t="s">
        <v>4215</v>
      </c>
      <c r="E894" t="s">
        <v>17334</v>
      </c>
      <c r="F894">
        <v>3</v>
      </c>
      <c r="N894" t="s">
        <v>18156</v>
      </c>
    </row>
    <row r="895" spans="1:14">
      <c r="A895" t="s">
        <v>9659</v>
      </c>
      <c r="C895" t="s">
        <v>18157</v>
      </c>
      <c r="D895" t="s">
        <v>4215</v>
      </c>
      <c r="E895" t="s">
        <v>17334</v>
      </c>
      <c r="F895">
        <v>3</v>
      </c>
      <c r="N895" t="s">
        <v>18157</v>
      </c>
    </row>
    <row r="896" spans="1:14">
      <c r="A896" t="s">
        <v>9660</v>
      </c>
      <c r="C896" t="s">
        <v>18158</v>
      </c>
      <c r="D896" t="s">
        <v>4215</v>
      </c>
      <c r="E896" t="s">
        <v>17334</v>
      </c>
      <c r="F896">
        <v>3</v>
      </c>
      <c r="N896" t="s">
        <v>18158</v>
      </c>
    </row>
    <row r="897" spans="1:14">
      <c r="A897" t="s">
        <v>17395</v>
      </c>
      <c r="C897" t="s">
        <v>18159</v>
      </c>
      <c r="D897" t="s">
        <v>4215</v>
      </c>
      <c r="E897" t="s">
        <v>17334</v>
      </c>
      <c r="F897">
        <v>3</v>
      </c>
      <c r="N897" t="s">
        <v>18159</v>
      </c>
    </row>
    <row r="898" spans="1:14">
      <c r="A898" t="s">
        <v>17396</v>
      </c>
      <c r="C898" t="s">
        <v>18160</v>
      </c>
      <c r="D898" t="s">
        <v>4215</v>
      </c>
      <c r="E898" t="s">
        <v>17334</v>
      </c>
      <c r="F898">
        <v>3</v>
      </c>
      <c r="N898" t="s">
        <v>18160</v>
      </c>
    </row>
    <row r="899" spans="1:14">
      <c r="A899" t="s">
        <v>17397</v>
      </c>
      <c r="C899" t="s">
        <v>18161</v>
      </c>
      <c r="D899" t="s">
        <v>4215</v>
      </c>
      <c r="E899" t="s">
        <v>17334</v>
      </c>
      <c r="F899">
        <v>3</v>
      </c>
      <c r="N899" t="s">
        <v>18161</v>
      </c>
    </row>
    <row r="900" spans="1:14">
      <c r="A900" t="s">
        <v>17398</v>
      </c>
      <c r="C900" t="s">
        <v>18162</v>
      </c>
      <c r="D900" t="s">
        <v>4215</v>
      </c>
      <c r="E900" t="s">
        <v>17334</v>
      </c>
      <c r="F900">
        <v>3</v>
      </c>
      <c r="N900" t="s">
        <v>18162</v>
      </c>
    </row>
    <row r="901" spans="1:14">
      <c r="A901" t="s">
        <v>17399</v>
      </c>
      <c r="C901" t="s">
        <v>18163</v>
      </c>
      <c r="D901" t="s">
        <v>4215</v>
      </c>
      <c r="E901" t="s">
        <v>17334</v>
      </c>
      <c r="F901">
        <v>3</v>
      </c>
      <c r="N901" t="s">
        <v>18163</v>
      </c>
    </row>
    <row r="902" spans="1:14">
      <c r="A902" t="s">
        <v>17400</v>
      </c>
      <c r="C902" t="s">
        <v>18164</v>
      </c>
      <c r="D902" t="s">
        <v>4215</v>
      </c>
      <c r="E902" t="s">
        <v>17334</v>
      </c>
      <c r="F902">
        <v>3</v>
      </c>
      <c r="N902" t="s">
        <v>18164</v>
      </c>
    </row>
    <row r="903" spans="1:14">
      <c r="A903" t="s">
        <v>9663</v>
      </c>
      <c r="C903" t="s">
        <v>18154</v>
      </c>
      <c r="D903" t="s">
        <v>4215</v>
      </c>
      <c r="E903" t="s">
        <v>17334</v>
      </c>
      <c r="F903">
        <v>3</v>
      </c>
      <c r="N903" t="s">
        <v>18154</v>
      </c>
    </row>
    <row r="904" spans="1:14">
      <c r="A904" t="s">
        <v>9664</v>
      </c>
      <c r="C904" t="s">
        <v>18155</v>
      </c>
      <c r="D904" t="s">
        <v>4215</v>
      </c>
      <c r="E904" t="s">
        <v>17334</v>
      </c>
      <c r="F904">
        <v>3</v>
      </c>
      <c r="N904" t="s">
        <v>18155</v>
      </c>
    </row>
    <row r="905" spans="1:14">
      <c r="A905" t="s">
        <v>9665</v>
      </c>
      <c r="C905" t="s">
        <v>18156</v>
      </c>
      <c r="D905" t="s">
        <v>4215</v>
      </c>
      <c r="E905" t="s">
        <v>17334</v>
      </c>
      <c r="F905">
        <v>3</v>
      </c>
      <c r="N905" t="s">
        <v>18156</v>
      </c>
    </row>
    <row r="906" spans="1:14">
      <c r="A906" t="s">
        <v>9666</v>
      </c>
      <c r="C906" t="s">
        <v>18157</v>
      </c>
      <c r="D906" t="s">
        <v>4215</v>
      </c>
      <c r="E906" t="s">
        <v>17334</v>
      </c>
      <c r="F906">
        <v>3</v>
      </c>
      <c r="N906" t="s">
        <v>18157</v>
      </c>
    </row>
    <row r="907" spans="1:14">
      <c r="A907" t="s">
        <v>9667</v>
      </c>
      <c r="C907" t="s">
        <v>18158</v>
      </c>
      <c r="D907" t="s">
        <v>4215</v>
      </c>
      <c r="E907" t="s">
        <v>17334</v>
      </c>
      <c r="F907">
        <v>3</v>
      </c>
      <c r="N907" t="s">
        <v>18158</v>
      </c>
    </row>
    <row r="908" spans="1:14">
      <c r="A908" t="s">
        <v>17401</v>
      </c>
      <c r="C908" t="s">
        <v>18159</v>
      </c>
      <c r="D908" t="s">
        <v>4215</v>
      </c>
      <c r="E908" t="s">
        <v>17334</v>
      </c>
      <c r="F908">
        <v>3</v>
      </c>
      <c r="N908" t="s">
        <v>18159</v>
      </c>
    </row>
    <row r="909" spans="1:14">
      <c r="A909" t="s">
        <v>17402</v>
      </c>
      <c r="C909" t="s">
        <v>18160</v>
      </c>
      <c r="D909" t="s">
        <v>4215</v>
      </c>
      <c r="E909" t="s">
        <v>17334</v>
      </c>
      <c r="F909">
        <v>3</v>
      </c>
      <c r="N909" t="s">
        <v>18160</v>
      </c>
    </row>
    <row r="910" spans="1:14">
      <c r="A910" t="s">
        <v>17403</v>
      </c>
      <c r="C910" t="s">
        <v>18161</v>
      </c>
      <c r="D910" t="s">
        <v>4215</v>
      </c>
      <c r="E910" t="s">
        <v>17334</v>
      </c>
      <c r="F910">
        <v>3</v>
      </c>
      <c r="N910" t="s">
        <v>18161</v>
      </c>
    </row>
    <row r="911" spans="1:14">
      <c r="A911" t="s">
        <v>17404</v>
      </c>
      <c r="C911" t="s">
        <v>18162</v>
      </c>
      <c r="D911" t="s">
        <v>4215</v>
      </c>
      <c r="E911" t="s">
        <v>17334</v>
      </c>
      <c r="F911">
        <v>3</v>
      </c>
      <c r="N911" t="s">
        <v>18162</v>
      </c>
    </row>
    <row r="912" spans="1:14">
      <c r="A912" t="s">
        <v>17405</v>
      </c>
      <c r="C912" t="s">
        <v>18163</v>
      </c>
      <c r="D912" t="s">
        <v>4215</v>
      </c>
      <c r="E912" t="s">
        <v>17334</v>
      </c>
      <c r="F912">
        <v>3</v>
      </c>
      <c r="N912" t="s">
        <v>18163</v>
      </c>
    </row>
    <row r="913" spans="1:14">
      <c r="A913" t="s">
        <v>17406</v>
      </c>
      <c r="C913" t="s">
        <v>18164</v>
      </c>
      <c r="D913" t="s">
        <v>4215</v>
      </c>
      <c r="E913" t="s">
        <v>17334</v>
      </c>
      <c r="F913">
        <v>3</v>
      </c>
      <c r="N913" t="s">
        <v>18164</v>
      </c>
    </row>
    <row r="914" spans="1:14">
      <c r="A914" t="s">
        <v>9670</v>
      </c>
      <c r="C914" t="s">
        <v>18154</v>
      </c>
      <c r="D914" t="s">
        <v>4215</v>
      </c>
      <c r="E914" t="s">
        <v>17334</v>
      </c>
      <c r="F914">
        <v>3</v>
      </c>
      <c r="N914" t="s">
        <v>18154</v>
      </c>
    </row>
    <row r="915" spans="1:14">
      <c r="A915" t="s">
        <v>9671</v>
      </c>
      <c r="C915" t="s">
        <v>18155</v>
      </c>
      <c r="D915" t="s">
        <v>4215</v>
      </c>
      <c r="E915" t="s">
        <v>17334</v>
      </c>
      <c r="F915">
        <v>3</v>
      </c>
      <c r="N915" t="s">
        <v>18155</v>
      </c>
    </row>
    <row r="916" spans="1:14">
      <c r="A916" t="s">
        <v>9672</v>
      </c>
      <c r="C916" t="s">
        <v>18156</v>
      </c>
      <c r="D916" t="s">
        <v>4215</v>
      </c>
      <c r="E916" t="s">
        <v>17334</v>
      </c>
      <c r="F916">
        <v>3</v>
      </c>
      <c r="N916" t="s">
        <v>18156</v>
      </c>
    </row>
    <row r="917" spans="1:14">
      <c r="A917" t="s">
        <v>9673</v>
      </c>
      <c r="C917" t="s">
        <v>18157</v>
      </c>
      <c r="D917" t="s">
        <v>4215</v>
      </c>
      <c r="E917" t="s">
        <v>17334</v>
      </c>
      <c r="F917">
        <v>3</v>
      </c>
      <c r="N917" t="s">
        <v>18157</v>
      </c>
    </row>
    <row r="918" spans="1:14">
      <c r="A918" t="s">
        <v>9674</v>
      </c>
      <c r="C918" t="s">
        <v>18158</v>
      </c>
      <c r="D918" t="s">
        <v>4215</v>
      </c>
      <c r="E918" t="s">
        <v>17334</v>
      </c>
      <c r="F918">
        <v>3</v>
      </c>
      <c r="N918" t="s">
        <v>18158</v>
      </c>
    </row>
    <row r="919" spans="1:14">
      <c r="A919" t="s">
        <v>17407</v>
      </c>
      <c r="C919" t="s">
        <v>18159</v>
      </c>
      <c r="D919" t="s">
        <v>4215</v>
      </c>
      <c r="E919" t="s">
        <v>17334</v>
      </c>
      <c r="F919">
        <v>3</v>
      </c>
      <c r="N919" t="s">
        <v>18159</v>
      </c>
    </row>
    <row r="920" spans="1:14">
      <c r="A920" t="s">
        <v>17408</v>
      </c>
      <c r="C920" t="s">
        <v>18160</v>
      </c>
      <c r="D920" t="s">
        <v>4215</v>
      </c>
      <c r="E920" t="s">
        <v>17334</v>
      </c>
      <c r="F920">
        <v>3</v>
      </c>
      <c r="N920" t="s">
        <v>18160</v>
      </c>
    </row>
    <row r="921" spans="1:14">
      <c r="A921" t="s">
        <v>17409</v>
      </c>
      <c r="C921" t="s">
        <v>18161</v>
      </c>
      <c r="D921" t="s">
        <v>4215</v>
      </c>
      <c r="E921" t="s">
        <v>17334</v>
      </c>
      <c r="F921">
        <v>3</v>
      </c>
      <c r="N921" t="s">
        <v>18161</v>
      </c>
    </row>
    <row r="922" spans="1:14">
      <c r="A922" t="s">
        <v>17410</v>
      </c>
      <c r="C922" t="s">
        <v>18162</v>
      </c>
      <c r="D922" t="s">
        <v>4215</v>
      </c>
      <c r="E922" t="s">
        <v>17334</v>
      </c>
      <c r="F922">
        <v>3</v>
      </c>
      <c r="N922" t="s">
        <v>18162</v>
      </c>
    </row>
    <row r="923" spans="1:14">
      <c r="A923" t="s">
        <v>9682</v>
      </c>
      <c r="C923" t="s">
        <v>18165</v>
      </c>
      <c r="D923" t="s">
        <v>4215</v>
      </c>
      <c r="E923" t="s">
        <v>17334</v>
      </c>
      <c r="F923">
        <v>3</v>
      </c>
      <c r="N923" t="s">
        <v>18165</v>
      </c>
    </row>
    <row r="924" spans="1:14">
      <c r="A924" t="s">
        <v>9683</v>
      </c>
      <c r="C924" t="s">
        <v>18166</v>
      </c>
      <c r="D924" t="s">
        <v>4215</v>
      </c>
      <c r="E924" t="s">
        <v>17334</v>
      </c>
      <c r="F924">
        <v>3</v>
      </c>
      <c r="N924" t="s">
        <v>18166</v>
      </c>
    </row>
    <row r="925" spans="1:14">
      <c r="A925" t="s">
        <v>9684</v>
      </c>
      <c r="C925" t="s">
        <v>18167</v>
      </c>
      <c r="D925" t="s">
        <v>4215</v>
      </c>
      <c r="E925" t="s">
        <v>17334</v>
      </c>
      <c r="F925">
        <v>3</v>
      </c>
      <c r="N925" t="s">
        <v>18167</v>
      </c>
    </row>
    <row r="926" spans="1:14">
      <c r="A926" t="s">
        <v>9685</v>
      </c>
      <c r="C926" t="s">
        <v>18168</v>
      </c>
      <c r="D926" t="s">
        <v>4215</v>
      </c>
      <c r="E926" t="s">
        <v>17334</v>
      </c>
      <c r="F926">
        <v>3</v>
      </c>
      <c r="N926" t="s">
        <v>18168</v>
      </c>
    </row>
    <row r="927" spans="1:14">
      <c r="A927" t="s">
        <v>9686</v>
      </c>
      <c r="C927" t="s">
        <v>18169</v>
      </c>
      <c r="D927" t="s">
        <v>4215</v>
      </c>
      <c r="E927" t="s">
        <v>17334</v>
      </c>
      <c r="F927">
        <v>3</v>
      </c>
      <c r="N927" t="s">
        <v>18169</v>
      </c>
    </row>
    <row r="928" spans="1:14">
      <c r="A928" t="s">
        <v>17413</v>
      </c>
      <c r="C928" t="s">
        <v>18170</v>
      </c>
      <c r="D928" t="s">
        <v>4215</v>
      </c>
      <c r="E928" t="s">
        <v>17334</v>
      </c>
      <c r="F928">
        <v>3</v>
      </c>
      <c r="N928" t="s">
        <v>18170</v>
      </c>
    </row>
    <row r="929" spans="1:14">
      <c r="A929" t="s">
        <v>17414</v>
      </c>
      <c r="C929" t="s">
        <v>18171</v>
      </c>
      <c r="D929" t="s">
        <v>4215</v>
      </c>
      <c r="E929" t="s">
        <v>17334</v>
      </c>
      <c r="F929">
        <v>3</v>
      </c>
      <c r="N929" t="s">
        <v>18171</v>
      </c>
    </row>
    <row r="930" spans="1:14">
      <c r="A930" t="s">
        <v>17415</v>
      </c>
      <c r="C930" t="s">
        <v>18172</v>
      </c>
      <c r="D930" t="s">
        <v>4215</v>
      </c>
      <c r="E930" t="s">
        <v>17334</v>
      </c>
      <c r="F930">
        <v>3</v>
      </c>
      <c r="N930" t="s">
        <v>18172</v>
      </c>
    </row>
    <row r="931" spans="1:14">
      <c r="A931" t="s">
        <v>17416</v>
      </c>
      <c r="C931" t="s">
        <v>18173</v>
      </c>
      <c r="D931" t="s">
        <v>4215</v>
      </c>
      <c r="E931" t="s">
        <v>17334</v>
      </c>
      <c r="F931">
        <v>3</v>
      </c>
      <c r="N931" t="s">
        <v>18173</v>
      </c>
    </row>
    <row r="932" spans="1:14">
      <c r="A932" t="s">
        <v>9689</v>
      </c>
      <c r="C932" t="s">
        <v>18165</v>
      </c>
      <c r="D932" t="s">
        <v>4215</v>
      </c>
      <c r="E932" t="s">
        <v>17334</v>
      </c>
      <c r="F932">
        <v>3</v>
      </c>
      <c r="N932" t="s">
        <v>18165</v>
      </c>
    </row>
    <row r="933" spans="1:14">
      <c r="A933" t="s">
        <v>9690</v>
      </c>
      <c r="C933" t="s">
        <v>18166</v>
      </c>
      <c r="D933" t="s">
        <v>4215</v>
      </c>
      <c r="E933" t="s">
        <v>17334</v>
      </c>
      <c r="F933">
        <v>3</v>
      </c>
      <c r="N933" t="s">
        <v>18166</v>
      </c>
    </row>
    <row r="934" spans="1:14">
      <c r="A934" t="s">
        <v>9691</v>
      </c>
      <c r="C934" t="s">
        <v>18167</v>
      </c>
      <c r="D934" t="s">
        <v>4215</v>
      </c>
      <c r="E934" t="s">
        <v>17334</v>
      </c>
      <c r="F934">
        <v>3</v>
      </c>
      <c r="N934" t="s">
        <v>18167</v>
      </c>
    </row>
    <row r="935" spans="1:14">
      <c r="A935" t="s">
        <v>9692</v>
      </c>
      <c r="C935" t="s">
        <v>18168</v>
      </c>
      <c r="D935" t="s">
        <v>4215</v>
      </c>
      <c r="E935" t="s">
        <v>17334</v>
      </c>
      <c r="F935">
        <v>3</v>
      </c>
      <c r="N935" t="s">
        <v>18168</v>
      </c>
    </row>
    <row r="936" spans="1:14">
      <c r="A936" t="s">
        <v>9693</v>
      </c>
      <c r="C936" t="s">
        <v>18169</v>
      </c>
      <c r="D936" t="s">
        <v>4215</v>
      </c>
      <c r="E936" t="s">
        <v>17334</v>
      </c>
      <c r="F936">
        <v>3</v>
      </c>
      <c r="N936" t="s">
        <v>18169</v>
      </c>
    </row>
    <row r="937" spans="1:14">
      <c r="A937" t="s">
        <v>17419</v>
      </c>
      <c r="C937" t="s">
        <v>18170</v>
      </c>
      <c r="D937" t="s">
        <v>4215</v>
      </c>
      <c r="E937" t="s">
        <v>17334</v>
      </c>
      <c r="F937">
        <v>3</v>
      </c>
      <c r="N937" t="s">
        <v>18170</v>
      </c>
    </row>
    <row r="938" spans="1:14">
      <c r="A938" t="s">
        <v>17420</v>
      </c>
      <c r="C938" t="s">
        <v>18171</v>
      </c>
      <c r="D938" t="s">
        <v>4215</v>
      </c>
      <c r="E938" t="s">
        <v>17334</v>
      </c>
      <c r="F938">
        <v>3</v>
      </c>
      <c r="N938" t="s">
        <v>18171</v>
      </c>
    </row>
    <row r="939" spans="1:14">
      <c r="A939" t="s">
        <v>17421</v>
      </c>
      <c r="C939" t="s">
        <v>18172</v>
      </c>
      <c r="D939" t="s">
        <v>4215</v>
      </c>
      <c r="E939" t="s">
        <v>17334</v>
      </c>
      <c r="F939">
        <v>3</v>
      </c>
      <c r="N939" t="s">
        <v>18172</v>
      </c>
    </row>
    <row r="940" spans="1:14">
      <c r="A940" t="s">
        <v>17422</v>
      </c>
      <c r="C940" t="s">
        <v>18173</v>
      </c>
      <c r="D940" t="s">
        <v>4215</v>
      </c>
      <c r="E940" t="s">
        <v>17334</v>
      </c>
      <c r="F940">
        <v>3</v>
      </c>
      <c r="N940" t="s">
        <v>18173</v>
      </c>
    </row>
    <row r="941" spans="1:14">
      <c r="A941" t="s">
        <v>9696</v>
      </c>
      <c r="C941" t="s">
        <v>18165</v>
      </c>
      <c r="D941" t="s">
        <v>4215</v>
      </c>
      <c r="E941" t="s">
        <v>17334</v>
      </c>
      <c r="F941">
        <v>3</v>
      </c>
      <c r="N941" t="s">
        <v>18165</v>
      </c>
    </row>
    <row r="942" spans="1:14">
      <c r="A942" t="s">
        <v>9697</v>
      </c>
      <c r="C942" t="s">
        <v>18166</v>
      </c>
      <c r="D942" t="s">
        <v>4215</v>
      </c>
      <c r="E942" t="s">
        <v>17334</v>
      </c>
      <c r="F942">
        <v>3</v>
      </c>
      <c r="N942" t="s">
        <v>18166</v>
      </c>
    </row>
    <row r="943" spans="1:14">
      <c r="A943" t="s">
        <v>9698</v>
      </c>
      <c r="C943" t="s">
        <v>18167</v>
      </c>
      <c r="D943" t="s">
        <v>4215</v>
      </c>
      <c r="E943" t="s">
        <v>17334</v>
      </c>
      <c r="F943">
        <v>3</v>
      </c>
      <c r="N943" t="s">
        <v>18167</v>
      </c>
    </row>
    <row r="944" spans="1:14">
      <c r="A944" t="s">
        <v>9699</v>
      </c>
      <c r="C944" t="s">
        <v>18168</v>
      </c>
      <c r="D944" t="s">
        <v>4215</v>
      </c>
      <c r="E944" t="s">
        <v>17334</v>
      </c>
      <c r="F944">
        <v>3</v>
      </c>
      <c r="N944" t="s">
        <v>18168</v>
      </c>
    </row>
    <row r="945" spans="1:14">
      <c r="A945" t="s">
        <v>9700</v>
      </c>
      <c r="C945" t="s">
        <v>18169</v>
      </c>
      <c r="D945" t="s">
        <v>4215</v>
      </c>
      <c r="E945" t="s">
        <v>17334</v>
      </c>
      <c r="F945">
        <v>3</v>
      </c>
      <c r="N945" t="s">
        <v>18169</v>
      </c>
    </row>
    <row r="946" spans="1:14">
      <c r="A946" t="s">
        <v>17425</v>
      </c>
      <c r="C946" t="s">
        <v>18170</v>
      </c>
      <c r="D946" t="s">
        <v>4215</v>
      </c>
      <c r="E946" t="s">
        <v>17334</v>
      </c>
      <c r="F946">
        <v>3</v>
      </c>
      <c r="N946" t="s">
        <v>18170</v>
      </c>
    </row>
    <row r="947" spans="1:14">
      <c r="A947" t="s">
        <v>17426</v>
      </c>
      <c r="C947" t="s">
        <v>18171</v>
      </c>
      <c r="D947" t="s">
        <v>4215</v>
      </c>
      <c r="E947" t="s">
        <v>17334</v>
      </c>
      <c r="F947">
        <v>3</v>
      </c>
      <c r="N947" t="s">
        <v>18171</v>
      </c>
    </row>
    <row r="948" spans="1:14">
      <c r="A948" t="s">
        <v>17427</v>
      </c>
      <c r="C948" t="s">
        <v>18172</v>
      </c>
      <c r="D948" t="s">
        <v>4215</v>
      </c>
      <c r="E948" t="s">
        <v>17334</v>
      </c>
      <c r="F948">
        <v>3</v>
      </c>
      <c r="N948" t="s">
        <v>18172</v>
      </c>
    </row>
    <row r="949" spans="1:14">
      <c r="A949" t="s">
        <v>17428</v>
      </c>
      <c r="C949" t="s">
        <v>18173</v>
      </c>
      <c r="D949" t="s">
        <v>4215</v>
      </c>
      <c r="E949" t="s">
        <v>17334</v>
      </c>
      <c r="F949">
        <v>3</v>
      </c>
      <c r="N949" t="s">
        <v>18173</v>
      </c>
    </row>
    <row r="950" spans="1:14">
      <c r="A950" t="s">
        <v>17429</v>
      </c>
      <c r="C950" t="s">
        <v>18174</v>
      </c>
      <c r="D950" t="s">
        <v>4215</v>
      </c>
      <c r="E950" t="s">
        <v>17334</v>
      </c>
      <c r="F950">
        <v>3</v>
      </c>
      <c r="N950" t="s">
        <v>18174</v>
      </c>
    </row>
    <row r="951" spans="1:14">
      <c r="A951" t="s">
        <v>17430</v>
      </c>
      <c r="C951" t="s">
        <v>18175</v>
      </c>
      <c r="D951" t="s">
        <v>4215</v>
      </c>
      <c r="E951" t="s">
        <v>17334</v>
      </c>
      <c r="F951">
        <v>3</v>
      </c>
      <c r="N951" t="s">
        <v>18175</v>
      </c>
    </row>
    <row r="952" spans="1:14">
      <c r="A952" t="s">
        <v>17431</v>
      </c>
      <c r="C952" t="s">
        <v>18176</v>
      </c>
      <c r="D952" t="s">
        <v>4215</v>
      </c>
      <c r="E952" t="s">
        <v>17334</v>
      </c>
      <c r="F952">
        <v>3</v>
      </c>
      <c r="N952" t="s">
        <v>18176</v>
      </c>
    </row>
    <row r="953" spans="1:14">
      <c r="A953" t="s">
        <v>17432</v>
      </c>
      <c r="C953" t="s">
        <v>18177</v>
      </c>
      <c r="D953" t="s">
        <v>4215</v>
      </c>
      <c r="E953" t="s">
        <v>17334</v>
      </c>
      <c r="F953">
        <v>3</v>
      </c>
      <c r="N953" t="s">
        <v>18177</v>
      </c>
    </row>
    <row r="954" spans="1:14">
      <c r="A954" t="s">
        <v>17433</v>
      </c>
      <c r="C954" t="s">
        <v>18178</v>
      </c>
      <c r="D954" t="s">
        <v>4215</v>
      </c>
      <c r="E954" t="s">
        <v>17334</v>
      </c>
      <c r="F954">
        <v>3</v>
      </c>
      <c r="N954" t="s">
        <v>18178</v>
      </c>
    </row>
    <row r="955" spans="1:14">
      <c r="A955" t="s">
        <v>17434</v>
      </c>
      <c r="C955" t="s">
        <v>18179</v>
      </c>
      <c r="D955" t="s">
        <v>4215</v>
      </c>
      <c r="E955" t="s">
        <v>17334</v>
      </c>
      <c r="F955">
        <v>3</v>
      </c>
      <c r="N955" t="s">
        <v>18179</v>
      </c>
    </row>
    <row r="956" spans="1:14">
      <c r="A956" t="s">
        <v>17435</v>
      </c>
      <c r="C956" t="s">
        <v>18180</v>
      </c>
      <c r="D956" t="s">
        <v>4215</v>
      </c>
      <c r="E956" t="s">
        <v>17334</v>
      </c>
      <c r="F956">
        <v>3</v>
      </c>
      <c r="N956" t="s">
        <v>18180</v>
      </c>
    </row>
    <row r="957" spans="1:14">
      <c r="A957" t="s">
        <v>17436</v>
      </c>
      <c r="C957" t="s">
        <v>18181</v>
      </c>
      <c r="D957" t="s">
        <v>4215</v>
      </c>
      <c r="E957" t="s">
        <v>17334</v>
      </c>
      <c r="F957">
        <v>3</v>
      </c>
      <c r="N957" t="s">
        <v>18181</v>
      </c>
    </row>
    <row r="958" spans="1:14">
      <c r="A958" t="s">
        <v>17437</v>
      </c>
      <c r="C958" t="s">
        <v>18176</v>
      </c>
      <c r="D958" t="s">
        <v>4215</v>
      </c>
      <c r="E958" t="s">
        <v>17334</v>
      </c>
      <c r="F958">
        <v>3</v>
      </c>
      <c r="N958" t="s">
        <v>18176</v>
      </c>
    </row>
    <row r="959" spans="1:14">
      <c r="A959" t="s">
        <v>17438</v>
      </c>
      <c r="C959" t="s">
        <v>18177</v>
      </c>
      <c r="D959" t="s">
        <v>4215</v>
      </c>
      <c r="E959" t="s">
        <v>17334</v>
      </c>
      <c r="F959">
        <v>3</v>
      </c>
      <c r="N959" t="s">
        <v>18177</v>
      </c>
    </row>
    <row r="960" spans="1:14">
      <c r="A960" t="s">
        <v>17439</v>
      </c>
      <c r="C960" t="s">
        <v>18178</v>
      </c>
      <c r="D960" t="s">
        <v>4215</v>
      </c>
      <c r="E960" t="s">
        <v>17334</v>
      </c>
      <c r="F960">
        <v>3</v>
      </c>
      <c r="N960" t="s">
        <v>18178</v>
      </c>
    </row>
    <row r="961" spans="1:14">
      <c r="A961" t="s">
        <v>17440</v>
      </c>
      <c r="C961" t="s">
        <v>18179</v>
      </c>
      <c r="D961" t="s">
        <v>4215</v>
      </c>
      <c r="E961" t="s">
        <v>17334</v>
      </c>
      <c r="F961">
        <v>3</v>
      </c>
      <c r="N961" t="s">
        <v>18179</v>
      </c>
    </row>
    <row r="962" spans="1:14">
      <c r="A962" t="s">
        <v>17441</v>
      </c>
      <c r="C962" t="s">
        <v>18180</v>
      </c>
      <c r="D962" t="s">
        <v>4215</v>
      </c>
      <c r="E962" t="s">
        <v>17334</v>
      </c>
      <c r="F962">
        <v>3</v>
      </c>
      <c r="N962" t="s">
        <v>18180</v>
      </c>
    </row>
    <row r="963" spans="1:14">
      <c r="A963" t="s">
        <v>17442</v>
      </c>
      <c r="C963" t="s">
        <v>18181</v>
      </c>
      <c r="D963" t="s">
        <v>4215</v>
      </c>
      <c r="E963" t="s">
        <v>17334</v>
      </c>
      <c r="F963">
        <v>3</v>
      </c>
      <c r="N963" t="s">
        <v>18181</v>
      </c>
    </row>
    <row r="964" spans="1:14">
      <c r="A964" t="s">
        <v>17443</v>
      </c>
      <c r="C964" t="s">
        <v>18176</v>
      </c>
      <c r="D964" t="s">
        <v>4215</v>
      </c>
      <c r="E964" t="s">
        <v>17334</v>
      </c>
      <c r="F964">
        <v>3</v>
      </c>
      <c r="N964" t="s">
        <v>18176</v>
      </c>
    </row>
    <row r="965" spans="1:14">
      <c r="A965" t="s">
        <v>17444</v>
      </c>
      <c r="C965" t="s">
        <v>18177</v>
      </c>
      <c r="D965" t="s">
        <v>4215</v>
      </c>
      <c r="E965" t="s">
        <v>17334</v>
      </c>
      <c r="F965">
        <v>3</v>
      </c>
      <c r="N965" t="s">
        <v>18177</v>
      </c>
    </row>
    <row r="966" spans="1:14">
      <c r="A966" t="s">
        <v>17445</v>
      </c>
      <c r="C966" t="s">
        <v>18178</v>
      </c>
      <c r="D966" t="s">
        <v>4215</v>
      </c>
      <c r="E966" t="s">
        <v>17334</v>
      </c>
      <c r="F966">
        <v>3</v>
      </c>
      <c r="N966" t="s">
        <v>18178</v>
      </c>
    </row>
    <row r="967" spans="1:14">
      <c r="A967" t="s">
        <v>17446</v>
      </c>
      <c r="C967" t="s">
        <v>18179</v>
      </c>
      <c r="D967" t="s">
        <v>4215</v>
      </c>
      <c r="E967" t="s">
        <v>17334</v>
      </c>
      <c r="F967">
        <v>3</v>
      </c>
      <c r="N967" t="s">
        <v>18179</v>
      </c>
    </row>
    <row r="968" spans="1:14">
      <c r="A968" t="s">
        <v>17447</v>
      </c>
      <c r="C968" t="s">
        <v>18180</v>
      </c>
      <c r="D968" t="s">
        <v>4215</v>
      </c>
      <c r="E968" t="s">
        <v>17334</v>
      </c>
      <c r="F968">
        <v>3</v>
      </c>
      <c r="N968" t="s">
        <v>18180</v>
      </c>
    </row>
    <row r="969" spans="1:14">
      <c r="A969" t="s">
        <v>17448</v>
      </c>
      <c r="C969" t="s">
        <v>18181</v>
      </c>
      <c r="D969" t="s">
        <v>4215</v>
      </c>
      <c r="E969" t="s">
        <v>17334</v>
      </c>
      <c r="F969">
        <v>3</v>
      </c>
      <c r="N969" t="s">
        <v>18181</v>
      </c>
    </row>
    <row r="970" spans="1:14">
      <c r="A970" t="s">
        <v>9776</v>
      </c>
      <c r="C970" t="s">
        <v>18182</v>
      </c>
      <c r="D970" t="s">
        <v>4215</v>
      </c>
      <c r="E970" t="s">
        <v>17334</v>
      </c>
      <c r="F970">
        <v>3</v>
      </c>
      <c r="N970" t="s">
        <v>18182</v>
      </c>
    </row>
    <row r="971" spans="1:14">
      <c r="A971" t="s">
        <v>9777</v>
      </c>
      <c r="C971" t="s">
        <v>18183</v>
      </c>
      <c r="D971" t="s">
        <v>4215</v>
      </c>
      <c r="E971" t="s">
        <v>17334</v>
      </c>
      <c r="F971">
        <v>3</v>
      </c>
      <c r="N971" t="s">
        <v>18183</v>
      </c>
    </row>
    <row r="972" spans="1:14">
      <c r="A972" t="s">
        <v>9778</v>
      </c>
      <c r="C972" t="s">
        <v>18184</v>
      </c>
      <c r="D972" t="s">
        <v>4215</v>
      </c>
      <c r="E972" t="s">
        <v>17334</v>
      </c>
      <c r="F972">
        <v>3</v>
      </c>
      <c r="N972" t="s">
        <v>18184</v>
      </c>
    </row>
    <row r="973" spans="1:14">
      <c r="A973" t="s">
        <v>9779</v>
      </c>
      <c r="C973" t="s">
        <v>18185</v>
      </c>
      <c r="D973" t="s">
        <v>4215</v>
      </c>
      <c r="E973" t="s">
        <v>17334</v>
      </c>
      <c r="F973">
        <v>3</v>
      </c>
      <c r="N973" t="s">
        <v>18185</v>
      </c>
    </row>
    <row r="974" spans="1:14">
      <c r="A974" t="s">
        <v>9780</v>
      </c>
      <c r="C974" t="s">
        <v>18186</v>
      </c>
      <c r="D974" t="s">
        <v>4215</v>
      </c>
      <c r="E974" t="s">
        <v>17334</v>
      </c>
      <c r="F974">
        <v>3</v>
      </c>
      <c r="N974" t="s">
        <v>18186</v>
      </c>
    </row>
    <row r="975" spans="1:14">
      <c r="A975" t="s">
        <v>9783</v>
      </c>
      <c r="C975" t="s">
        <v>18182</v>
      </c>
      <c r="D975" t="s">
        <v>4215</v>
      </c>
      <c r="E975" t="s">
        <v>17334</v>
      </c>
      <c r="F975">
        <v>3</v>
      </c>
      <c r="N975" t="s">
        <v>18182</v>
      </c>
    </row>
    <row r="976" spans="1:14">
      <c r="A976" t="s">
        <v>9784</v>
      </c>
      <c r="C976" t="s">
        <v>18183</v>
      </c>
      <c r="D976" t="s">
        <v>4215</v>
      </c>
      <c r="E976" t="s">
        <v>17334</v>
      </c>
      <c r="F976">
        <v>3</v>
      </c>
      <c r="N976" t="s">
        <v>18183</v>
      </c>
    </row>
    <row r="977" spans="1:14">
      <c r="A977" t="s">
        <v>9785</v>
      </c>
      <c r="C977" t="s">
        <v>18184</v>
      </c>
      <c r="D977" t="s">
        <v>4215</v>
      </c>
      <c r="E977" t="s">
        <v>17334</v>
      </c>
      <c r="F977">
        <v>3</v>
      </c>
      <c r="N977" t="s">
        <v>18184</v>
      </c>
    </row>
    <row r="978" spans="1:14">
      <c r="A978" t="s">
        <v>9786</v>
      </c>
      <c r="C978" t="s">
        <v>18185</v>
      </c>
      <c r="D978" t="s">
        <v>4215</v>
      </c>
      <c r="E978" t="s">
        <v>17334</v>
      </c>
      <c r="F978">
        <v>3</v>
      </c>
      <c r="N978" t="s">
        <v>18185</v>
      </c>
    </row>
    <row r="979" spans="1:14">
      <c r="A979" t="s">
        <v>9787</v>
      </c>
      <c r="C979" t="s">
        <v>18186</v>
      </c>
      <c r="D979" t="s">
        <v>4215</v>
      </c>
      <c r="E979" t="s">
        <v>17334</v>
      </c>
      <c r="F979">
        <v>3</v>
      </c>
      <c r="N979" t="s">
        <v>18186</v>
      </c>
    </row>
    <row r="980" spans="1:14">
      <c r="A980" t="s">
        <v>9790</v>
      </c>
      <c r="C980" t="s">
        <v>18182</v>
      </c>
      <c r="D980" t="s">
        <v>4215</v>
      </c>
      <c r="E980" t="s">
        <v>17334</v>
      </c>
      <c r="F980">
        <v>3</v>
      </c>
      <c r="N980" t="s">
        <v>18182</v>
      </c>
    </row>
    <row r="981" spans="1:14">
      <c r="A981" t="s">
        <v>9791</v>
      </c>
      <c r="C981" t="s">
        <v>18183</v>
      </c>
      <c r="D981" t="s">
        <v>4215</v>
      </c>
      <c r="E981" t="s">
        <v>17334</v>
      </c>
      <c r="F981">
        <v>3</v>
      </c>
      <c r="N981" t="s">
        <v>18183</v>
      </c>
    </row>
    <row r="982" spans="1:14">
      <c r="A982" t="s">
        <v>9792</v>
      </c>
      <c r="C982" t="s">
        <v>18184</v>
      </c>
      <c r="D982" t="s">
        <v>4215</v>
      </c>
      <c r="E982" t="s">
        <v>17334</v>
      </c>
      <c r="F982">
        <v>3</v>
      </c>
      <c r="N982" t="s">
        <v>18184</v>
      </c>
    </row>
    <row r="983" spans="1:14">
      <c r="A983" t="s">
        <v>9793</v>
      </c>
      <c r="C983" t="s">
        <v>18185</v>
      </c>
      <c r="D983" t="s">
        <v>4215</v>
      </c>
      <c r="E983" t="s">
        <v>17334</v>
      </c>
      <c r="F983">
        <v>3</v>
      </c>
      <c r="N983" t="s">
        <v>18185</v>
      </c>
    </row>
    <row r="984" spans="1:14">
      <c r="A984" t="s">
        <v>9794</v>
      </c>
      <c r="C984" t="s">
        <v>18186</v>
      </c>
      <c r="D984" t="s">
        <v>4215</v>
      </c>
      <c r="E984" t="s">
        <v>17334</v>
      </c>
      <c r="F984">
        <v>3</v>
      </c>
      <c r="N984" t="s">
        <v>18186</v>
      </c>
    </row>
    <row r="985" spans="1:14">
      <c r="A985" t="s">
        <v>17386</v>
      </c>
      <c r="C985" t="s">
        <v>18187</v>
      </c>
      <c r="D985" t="s">
        <v>4215</v>
      </c>
      <c r="E985" t="s">
        <v>17334</v>
      </c>
      <c r="F985">
        <v>3</v>
      </c>
      <c r="N985" t="s">
        <v>18187</v>
      </c>
    </row>
    <row r="986" spans="1:14">
      <c r="A986" t="s">
        <v>17387</v>
      </c>
      <c r="C986" t="s">
        <v>18188</v>
      </c>
      <c r="D986" t="s">
        <v>4215</v>
      </c>
      <c r="E986" t="s">
        <v>17334</v>
      </c>
      <c r="F986">
        <v>3</v>
      </c>
      <c r="N986" t="s">
        <v>18188</v>
      </c>
    </row>
    <row r="987" spans="1:14">
      <c r="A987" t="s">
        <v>17388</v>
      </c>
      <c r="C987" t="s">
        <v>18189</v>
      </c>
      <c r="D987" t="s">
        <v>4215</v>
      </c>
      <c r="E987" t="s">
        <v>17334</v>
      </c>
      <c r="F987">
        <v>3</v>
      </c>
      <c r="N987" t="s">
        <v>18189</v>
      </c>
    </row>
    <row r="988" spans="1:14">
      <c r="A988" t="s">
        <v>9798</v>
      </c>
      <c r="C988" t="s">
        <v>18190</v>
      </c>
      <c r="D988" t="s">
        <v>4215</v>
      </c>
      <c r="E988" t="s">
        <v>17334</v>
      </c>
      <c r="F988">
        <v>3</v>
      </c>
      <c r="N988" t="s">
        <v>18190</v>
      </c>
    </row>
    <row r="989" spans="1:14">
      <c r="A989" t="s">
        <v>9799</v>
      </c>
      <c r="C989" t="s">
        <v>18191</v>
      </c>
      <c r="D989" t="s">
        <v>4215</v>
      </c>
      <c r="E989" t="s">
        <v>17334</v>
      </c>
      <c r="F989">
        <v>3</v>
      </c>
      <c r="N989" t="s">
        <v>18191</v>
      </c>
    </row>
    <row r="990" spans="1:14">
      <c r="A990" t="s">
        <v>9800</v>
      </c>
      <c r="C990" t="s">
        <v>18192</v>
      </c>
      <c r="D990" t="s">
        <v>4215</v>
      </c>
      <c r="E990" t="s">
        <v>17334</v>
      </c>
      <c r="F990">
        <v>3</v>
      </c>
      <c r="N990" t="s">
        <v>18192</v>
      </c>
    </row>
    <row r="991" spans="1:14">
      <c r="A991" t="s">
        <v>9801</v>
      </c>
      <c r="C991" t="s">
        <v>18193</v>
      </c>
      <c r="D991" t="s">
        <v>4215</v>
      </c>
      <c r="E991" t="s">
        <v>17334</v>
      </c>
      <c r="F991">
        <v>3</v>
      </c>
      <c r="N991" t="s">
        <v>18193</v>
      </c>
    </row>
    <row r="992" spans="1:14">
      <c r="A992" t="s">
        <v>9802</v>
      </c>
      <c r="C992" t="s">
        <v>18194</v>
      </c>
      <c r="D992" t="s">
        <v>4215</v>
      </c>
      <c r="E992" t="s">
        <v>17334</v>
      </c>
      <c r="F992">
        <v>3</v>
      </c>
      <c r="N992" t="s">
        <v>18194</v>
      </c>
    </row>
    <row r="993" spans="1:14">
      <c r="A993" t="s">
        <v>9805</v>
      </c>
      <c r="C993" t="s">
        <v>18190</v>
      </c>
      <c r="D993" t="s">
        <v>4215</v>
      </c>
      <c r="E993" t="s">
        <v>17334</v>
      </c>
      <c r="F993">
        <v>3</v>
      </c>
      <c r="N993" t="s">
        <v>18190</v>
      </c>
    </row>
    <row r="994" spans="1:14">
      <c r="A994" t="s">
        <v>9806</v>
      </c>
      <c r="C994" t="s">
        <v>18191</v>
      </c>
      <c r="D994" t="s">
        <v>4215</v>
      </c>
      <c r="E994" t="s">
        <v>17334</v>
      </c>
      <c r="F994">
        <v>3</v>
      </c>
      <c r="N994" t="s">
        <v>18191</v>
      </c>
    </row>
    <row r="995" spans="1:14">
      <c r="A995" t="s">
        <v>9807</v>
      </c>
      <c r="C995" t="s">
        <v>18192</v>
      </c>
      <c r="D995" t="s">
        <v>4215</v>
      </c>
      <c r="E995" t="s">
        <v>17334</v>
      </c>
      <c r="F995">
        <v>3</v>
      </c>
      <c r="N995" t="s">
        <v>18192</v>
      </c>
    </row>
    <row r="996" spans="1:14">
      <c r="A996" t="s">
        <v>9808</v>
      </c>
      <c r="C996" t="s">
        <v>18193</v>
      </c>
      <c r="D996" t="s">
        <v>4215</v>
      </c>
      <c r="E996" t="s">
        <v>17334</v>
      </c>
      <c r="F996">
        <v>3</v>
      </c>
      <c r="N996" t="s">
        <v>18193</v>
      </c>
    </row>
    <row r="997" spans="1:14">
      <c r="A997" t="s">
        <v>9809</v>
      </c>
      <c r="C997" t="s">
        <v>18194</v>
      </c>
      <c r="D997" t="s">
        <v>4215</v>
      </c>
      <c r="E997" t="s">
        <v>17334</v>
      </c>
      <c r="F997">
        <v>3</v>
      </c>
      <c r="N997" t="s">
        <v>18194</v>
      </c>
    </row>
    <row r="998" spans="1:14">
      <c r="A998" t="s">
        <v>9812</v>
      </c>
      <c r="C998" t="s">
        <v>18190</v>
      </c>
      <c r="D998" t="s">
        <v>4215</v>
      </c>
      <c r="E998" t="s">
        <v>17334</v>
      </c>
      <c r="F998">
        <v>3</v>
      </c>
      <c r="N998" t="s">
        <v>18190</v>
      </c>
    </row>
    <row r="999" spans="1:14">
      <c r="A999" t="s">
        <v>9813</v>
      </c>
      <c r="C999" t="s">
        <v>18191</v>
      </c>
      <c r="D999" t="s">
        <v>4215</v>
      </c>
      <c r="E999" t="s">
        <v>17334</v>
      </c>
      <c r="F999">
        <v>3</v>
      </c>
      <c r="N999" t="s">
        <v>18191</v>
      </c>
    </row>
    <row r="1000" spans="1:14">
      <c r="A1000" t="s">
        <v>9814</v>
      </c>
      <c r="C1000" t="s">
        <v>18192</v>
      </c>
      <c r="D1000" t="s">
        <v>4215</v>
      </c>
      <c r="E1000" t="s">
        <v>17334</v>
      </c>
      <c r="F1000">
        <v>3</v>
      </c>
      <c r="N1000" t="s">
        <v>18192</v>
      </c>
    </row>
    <row r="1001" spans="1:14">
      <c r="A1001" t="s">
        <v>9815</v>
      </c>
      <c r="C1001" t="s">
        <v>18193</v>
      </c>
      <c r="D1001" t="s">
        <v>4215</v>
      </c>
      <c r="E1001" t="s">
        <v>17334</v>
      </c>
      <c r="F1001">
        <v>3</v>
      </c>
      <c r="N1001" t="s">
        <v>18193</v>
      </c>
    </row>
    <row r="1002" spans="1:14">
      <c r="A1002" t="s">
        <v>9816</v>
      </c>
      <c r="C1002" t="s">
        <v>18194</v>
      </c>
      <c r="D1002" t="s">
        <v>4215</v>
      </c>
      <c r="E1002" t="s">
        <v>17334</v>
      </c>
      <c r="F1002">
        <v>3</v>
      </c>
      <c r="N1002" t="s">
        <v>18194</v>
      </c>
    </row>
    <row r="1003" spans="1:14">
      <c r="A1003" t="s">
        <v>17389</v>
      </c>
      <c r="C1003" t="s">
        <v>18195</v>
      </c>
      <c r="D1003" t="s">
        <v>4215</v>
      </c>
      <c r="E1003" t="s">
        <v>17334</v>
      </c>
      <c r="F1003">
        <v>3</v>
      </c>
      <c r="N1003" t="s">
        <v>18195</v>
      </c>
    </row>
    <row r="1004" spans="1:14">
      <c r="A1004" t="s">
        <v>17390</v>
      </c>
      <c r="C1004" t="s">
        <v>18196</v>
      </c>
      <c r="D1004" t="s">
        <v>4215</v>
      </c>
      <c r="E1004" t="s">
        <v>17334</v>
      </c>
      <c r="F1004">
        <v>3</v>
      </c>
      <c r="N1004" t="s">
        <v>18196</v>
      </c>
    </row>
    <row r="1005" spans="1:14">
      <c r="A1005" t="s">
        <v>17391</v>
      </c>
      <c r="C1005" t="s">
        <v>18197</v>
      </c>
      <c r="D1005" t="s">
        <v>4215</v>
      </c>
      <c r="E1005" t="s">
        <v>17334</v>
      </c>
      <c r="F1005">
        <v>3</v>
      </c>
      <c r="N1005" t="s">
        <v>18197</v>
      </c>
    </row>
    <row r="1006" spans="1:14">
      <c r="A1006" t="s">
        <v>9820</v>
      </c>
      <c r="C1006" t="s">
        <v>18198</v>
      </c>
      <c r="D1006" t="s">
        <v>4215</v>
      </c>
      <c r="E1006" t="s">
        <v>17334</v>
      </c>
      <c r="F1006">
        <v>3</v>
      </c>
      <c r="N1006" t="s">
        <v>18198</v>
      </c>
    </row>
    <row r="1007" spans="1:14">
      <c r="A1007" t="s">
        <v>9821</v>
      </c>
      <c r="C1007" t="s">
        <v>18199</v>
      </c>
      <c r="D1007" t="s">
        <v>4215</v>
      </c>
      <c r="E1007" t="s">
        <v>17334</v>
      </c>
      <c r="F1007">
        <v>3</v>
      </c>
      <c r="N1007" t="s">
        <v>18199</v>
      </c>
    </row>
    <row r="1008" spans="1:14">
      <c r="A1008" t="s">
        <v>9822</v>
      </c>
      <c r="C1008" t="s">
        <v>18200</v>
      </c>
      <c r="D1008" t="s">
        <v>4215</v>
      </c>
      <c r="E1008" t="s">
        <v>17334</v>
      </c>
      <c r="F1008">
        <v>3</v>
      </c>
      <c r="N1008" t="s">
        <v>18200</v>
      </c>
    </row>
    <row r="1009" spans="1:14">
      <c r="A1009" t="s">
        <v>9823</v>
      </c>
      <c r="C1009" t="s">
        <v>18201</v>
      </c>
      <c r="D1009" t="s">
        <v>4215</v>
      </c>
      <c r="E1009" t="s">
        <v>17334</v>
      </c>
      <c r="F1009">
        <v>3</v>
      </c>
      <c r="N1009" t="s">
        <v>18201</v>
      </c>
    </row>
    <row r="1010" spans="1:14">
      <c r="A1010" t="s">
        <v>9824</v>
      </c>
      <c r="C1010" t="s">
        <v>18202</v>
      </c>
      <c r="D1010" t="s">
        <v>4215</v>
      </c>
      <c r="E1010" t="s">
        <v>17334</v>
      </c>
      <c r="F1010">
        <v>3</v>
      </c>
      <c r="N1010" t="s">
        <v>18202</v>
      </c>
    </row>
    <row r="1011" spans="1:14">
      <c r="A1011" t="s">
        <v>9827</v>
      </c>
      <c r="C1011" t="s">
        <v>18198</v>
      </c>
      <c r="D1011" t="s">
        <v>4215</v>
      </c>
      <c r="E1011" t="s">
        <v>17334</v>
      </c>
      <c r="F1011">
        <v>3</v>
      </c>
      <c r="N1011" t="s">
        <v>18198</v>
      </c>
    </row>
    <row r="1012" spans="1:14">
      <c r="A1012" t="s">
        <v>9828</v>
      </c>
      <c r="C1012" t="s">
        <v>18199</v>
      </c>
      <c r="D1012" t="s">
        <v>4215</v>
      </c>
      <c r="E1012" t="s">
        <v>17334</v>
      </c>
      <c r="F1012">
        <v>3</v>
      </c>
      <c r="N1012" t="s">
        <v>18199</v>
      </c>
    </row>
    <row r="1013" spans="1:14">
      <c r="A1013" t="s">
        <v>9829</v>
      </c>
      <c r="C1013" t="s">
        <v>18200</v>
      </c>
      <c r="D1013" t="s">
        <v>4215</v>
      </c>
      <c r="E1013" t="s">
        <v>17334</v>
      </c>
      <c r="F1013">
        <v>3</v>
      </c>
      <c r="N1013" t="s">
        <v>18200</v>
      </c>
    </row>
    <row r="1014" spans="1:14">
      <c r="A1014" t="s">
        <v>9830</v>
      </c>
      <c r="C1014" t="s">
        <v>18201</v>
      </c>
      <c r="D1014" t="s">
        <v>4215</v>
      </c>
      <c r="E1014" t="s">
        <v>17334</v>
      </c>
      <c r="F1014">
        <v>3</v>
      </c>
      <c r="N1014" t="s">
        <v>18201</v>
      </c>
    </row>
    <row r="1015" spans="1:14">
      <c r="A1015" t="s">
        <v>9831</v>
      </c>
      <c r="C1015" t="s">
        <v>18202</v>
      </c>
      <c r="D1015" t="s">
        <v>4215</v>
      </c>
      <c r="E1015" t="s">
        <v>17334</v>
      </c>
      <c r="F1015">
        <v>3</v>
      </c>
      <c r="N1015" t="s">
        <v>18202</v>
      </c>
    </row>
    <row r="1016" spans="1:14">
      <c r="A1016" t="s">
        <v>9834</v>
      </c>
      <c r="C1016" t="s">
        <v>18198</v>
      </c>
      <c r="D1016" t="s">
        <v>4215</v>
      </c>
      <c r="E1016" t="s">
        <v>17334</v>
      </c>
      <c r="F1016">
        <v>3</v>
      </c>
      <c r="N1016" t="s">
        <v>18198</v>
      </c>
    </row>
    <row r="1017" spans="1:14">
      <c r="A1017" t="s">
        <v>9835</v>
      </c>
      <c r="C1017" t="s">
        <v>18199</v>
      </c>
      <c r="D1017" t="s">
        <v>4215</v>
      </c>
      <c r="E1017" t="s">
        <v>17334</v>
      </c>
      <c r="F1017">
        <v>3</v>
      </c>
      <c r="N1017" t="s">
        <v>18199</v>
      </c>
    </row>
    <row r="1018" spans="1:14">
      <c r="A1018" t="s">
        <v>9836</v>
      </c>
      <c r="C1018" t="s">
        <v>18200</v>
      </c>
      <c r="D1018" t="s">
        <v>4215</v>
      </c>
      <c r="E1018" t="s">
        <v>17334</v>
      </c>
      <c r="F1018">
        <v>3</v>
      </c>
      <c r="N1018" t="s">
        <v>18200</v>
      </c>
    </row>
    <row r="1019" spans="1:14">
      <c r="A1019" t="s">
        <v>9837</v>
      </c>
      <c r="C1019" t="s">
        <v>18201</v>
      </c>
      <c r="D1019" t="s">
        <v>4215</v>
      </c>
      <c r="E1019" t="s">
        <v>17334</v>
      </c>
      <c r="F1019">
        <v>3</v>
      </c>
      <c r="N1019" t="s">
        <v>18201</v>
      </c>
    </row>
    <row r="1020" spans="1:14">
      <c r="A1020" t="s">
        <v>9838</v>
      </c>
      <c r="C1020" t="s">
        <v>18202</v>
      </c>
      <c r="D1020" t="s">
        <v>4215</v>
      </c>
      <c r="E1020" t="s">
        <v>17334</v>
      </c>
      <c r="F1020">
        <v>3</v>
      </c>
      <c r="N1020" t="s">
        <v>18202</v>
      </c>
    </row>
    <row r="1021" spans="1:14">
      <c r="A1021" t="s">
        <v>17392</v>
      </c>
      <c r="C1021" t="s">
        <v>18203</v>
      </c>
      <c r="D1021" t="s">
        <v>4215</v>
      </c>
      <c r="E1021" t="s">
        <v>17334</v>
      </c>
      <c r="F1021">
        <v>3</v>
      </c>
      <c r="N1021" t="s">
        <v>18203</v>
      </c>
    </row>
    <row r="1022" spans="1:14">
      <c r="A1022" t="s">
        <v>17393</v>
      </c>
      <c r="C1022" t="s">
        <v>18204</v>
      </c>
      <c r="D1022" t="s">
        <v>4215</v>
      </c>
      <c r="E1022" t="s">
        <v>17334</v>
      </c>
      <c r="F1022">
        <v>3</v>
      </c>
      <c r="N1022" t="s">
        <v>18204</v>
      </c>
    </row>
    <row r="1023" spans="1:14">
      <c r="A1023" t="s">
        <v>17394</v>
      </c>
      <c r="C1023" t="s">
        <v>18205</v>
      </c>
      <c r="D1023" t="s">
        <v>4215</v>
      </c>
      <c r="E1023" t="s">
        <v>17334</v>
      </c>
      <c r="F1023">
        <v>3</v>
      </c>
      <c r="N1023" t="s">
        <v>18205</v>
      </c>
    </row>
    <row r="1024" spans="1:14">
      <c r="A1024" t="s">
        <v>17468</v>
      </c>
      <c r="C1024" t="s">
        <v>18206</v>
      </c>
      <c r="D1024" t="s">
        <v>4215</v>
      </c>
      <c r="E1024" t="s">
        <v>17334</v>
      </c>
      <c r="F1024">
        <v>3</v>
      </c>
      <c r="N1024" t="s">
        <v>18206</v>
      </c>
    </row>
    <row r="1025" spans="1:14">
      <c r="A1025" t="s">
        <v>17469</v>
      </c>
      <c r="C1025" t="s">
        <v>18207</v>
      </c>
      <c r="D1025" t="s">
        <v>4215</v>
      </c>
      <c r="E1025" t="s">
        <v>17334</v>
      </c>
      <c r="F1025">
        <v>3</v>
      </c>
      <c r="N1025" t="s">
        <v>18207</v>
      </c>
    </row>
    <row r="1026" spans="1:14">
      <c r="A1026" t="s">
        <v>17470</v>
      </c>
      <c r="C1026" t="s">
        <v>18208</v>
      </c>
      <c r="D1026" t="s">
        <v>4215</v>
      </c>
      <c r="E1026" t="s">
        <v>17334</v>
      </c>
      <c r="F1026">
        <v>3</v>
      </c>
      <c r="N1026" t="s">
        <v>18208</v>
      </c>
    </row>
    <row r="1027" spans="1:14">
      <c r="A1027" t="s">
        <v>17471</v>
      </c>
      <c r="C1027" t="s">
        <v>18209</v>
      </c>
      <c r="D1027" t="s">
        <v>4215</v>
      </c>
      <c r="E1027" t="s">
        <v>17334</v>
      </c>
      <c r="F1027">
        <v>3</v>
      </c>
      <c r="N1027" t="s">
        <v>18209</v>
      </c>
    </row>
    <row r="1028" spans="1:14">
      <c r="A1028" t="s">
        <v>17472</v>
      </c>
      <c r="C1028" t="s">
        <v>18210</v>
      </c>
      <c r="D1028" t="s">
        <v>4215</v>
      </c>
      <c r="E1028" t="s">
        <v>17334</v>
      </c>
      <c r="F1028">
        <v>3</v>
      </c>
      <c r="N1028" t="s">
        <v>18210</v>
      </c>
    </row>
    <row r="1029" spans="1:14">
      <c r="A1029" t="s">
        <v>17473</v>
      </c>
      <c r="C1029" t="s">
        <v>18211</v>
      </c>
      <c r="D1029" t="s">
        <v>4215</v>
      </c>
      <c r="E1029" t="s">
        <v>17334</v>
      </c>
      <c r="F1029">
        <v>3</v>
      </c>
      <c r="N1029" t="s">
        <v>18211</v>
      </c>
    </row>
    <row r="1030" spans="1:14">
      <c r="A1030" t="s">
        <v>17474</v>
      </c>
      <c r="C1030" t="s">
        <v>18212</v>
      </c>
      <c r="D1030" t="s">
        <v>4215</v>
      </c>
      <c r="E1030" t="s">
        <v>17334</v>
      </c>
      <c r="F1030">
        <v>3</v>
      </c>
      <c r="N1030" t="s">
        <v>18212</v>
      </c>
    </row>
    <row r="1031" spans="1:14">
      <c r="A1031" t="s">
        <v>17475</v>
      </c>
      <c r="C1031" t="s">
        <v>18213</v>
      </c>
      <c r="D1031" t="s">
        <v>4215</v>
      </c>
      <c r="E1031" t="s">
        <v>17334</v>
      </c>
      <c r="F1031">
        <v>3</v>
      </c>
      <c r="N1031" t="s">
        <v>18213</v>
      </c>
    </row>
    <row r="1032" spans="1:14">
      <c r="A1032" t="s">
        <v>17476</v>
      </c>
      <c r="C1032" t="s">
        <v>18214</v>
      </c>
      <c r="D1032" t="s">
        <v>4215</v>
      </c>
      <c r="E1032" t="s">
        <v>17334</v>
      </c>
      <c r="F1032">
        <v>3</v>
      </c>
      <c r="N1032" t="s">
        <v>18214</v>
      </c>
    </row>
    <row r="1033" spans="1:14">
      <c r="A1033" t="s">
        <v>17477</v>
      </c>
      <c r="C1033" t="s">
        <v>18215</v>
      </c>
      <c r="D1033" t="s">
        <v>4215</v>
      </c>
      <c r="E1033" t="s">
        <v>17334</v>
      </c>
      <c r="F1033">
        <v>3</v>
      </c>
      <c r="N1033" t="s">
        <v>18215</v>
      </c>
    </row>
    <row r="1034" spans="1:14">
      <c r="A1034" t="s">
        <v>17478</v>
      </c>
      <c r="C1034" t="s">
        <v>18216</v>
      </c>
      <c r="D1034" t="s">
        <v>4215</v>
      </c>
      <c r="E1034" t="s">
        <v>17334</v>
      </c>
      <c r="F1034">
        <v>3</v>
      </c>
      <c r="N1034" t="s">
        <v>18216</v>
      </c>
    </row>
    <row r="1035" spans="1:14">
      <c r="A1035" t="s">
        <v>17479</v>
      </c>
      <c r="C1035" t="s">
        <v>18217</v>
      </c>
      <c r="D1035" t="s">
        <v>4215</v>
      </c>
      <c r="E1035" t="s">
        <v>17334</v>
      </c>
      <c r="F1035">
        <v>3</v>
      </c>
      <c r="N1035" t="s">
        <v>18217</v>
      </c>
    </row>
    <row r="1036" spans="1:14">
      <c r="A1036" t="s">
        <v>17480</v>
      </c>
      <c r="C1036" t="s">
        <v>18521</v>
      </c>
      <c r="D1036" t="s">
        <v>4215</v>
      </c>
      <c r="E1036" t="s">
        <v>17334</v>
      </c>
      <c r="F1036">
        <v>3</v>
      </c>
      <c r="N1036" t="s">
        <v>18218</v>
      </c>
    </row>
    <row r="1037" spans="1:14">
      <c r="A1037" t="s">
        <v>17481</v>
      </c>
      <c r="C1037" t="s">
        <v>18219</v>
      </c>
      <c r="D1037" t="s">
        <v>4215</v>
      </c>
      <c r="E1037" t="s">
        <v>17334</v>
      </c>
      <c r="F1037">
        <v>3</v>
      </c>
      <c r="N1037" t="s">
        <v>18219</v>
      </c>
    </row>
    <row r="1038" spans="1:14">
      <c r="A1038" t="s">
        <v>17482</v>
      </c>
      <c r="C1038" t="s">
        <v>18220</v>
      </c>
      <c r="D1038" t="s">
        <v>4215</v>
      </c>
      <c r="E1038" t="s">
        <v>17334</v>
      </c>
      <c r="F1038">
        <v>3</v>
      </c>
      <c r="N1038" t="s">
        <v>18220</v>
      </c>
    </row>
    <row r="1039" spans="1:14">
      <c r="A1039" t="s">
        <v>17483</v>
      </c>
      <c r="C1039" t="s">
        <v>18221</v>
      </c>
      <c r="D1039" t="s">
        <v>4215</v>
      </c>
      <c r="E1039" t="s">
        <v>17334</v>
      </c>
      <c r="F1039">
        <v>3</v>
      </c>
      <c r="N1039" t="s">
        <v>18221</v>
      </c>
    </row>
    <row r="1040" spans="1:14">
      <c r="A1040" t="s">
        <v>17484</v>
      </c>
      <c r="C1040" t="s">
        <v>18222</v>
      </c>
      <c r="D1040" t="s">
        <v>4215</v>
      </c>
      <c r="E1040" t="s">
        <v>17334</v>
      </c>
      <c r="F1040">
        <v>3</v>
      </c>
      <c r="N1040" t="s">
        <v>18222</v>
      </c>
    </row>
    <row r="1041" spans="1:14">
      <c r="A1041" t="s">
        <v>17485</v>
      </c>
      <c r="C1041" t="s">
        <v>18223</v>
      </c>
      <c r="D1041" t="s">
        <v>4215</v>
      </c>
      <c r="E1041" t="s">
        <v>17334</v>
      </c>
      <c r="F1041">
        <v>3</v>
      </c>
      <c r="N1041" t="s">
        <v>18223</v>
      </c>
    </row>
    <row r="1042" spans="1:14">
      <c r="A1042" t="s">
        <v>17486</v>
      </c>
      <c r="C1042" t="s">
        <v>18206</v>
      </c>
      <c r="D1042" t="s">
        <v>4215</v>
      </c>
      <c r="E1042" t="s">
        <v>17334</v>
      </c>
      <c r="F1042">
        <v>3</v>
      </c>
      <c r="N1042" t="s">
        <v>18206</v>
      </c>
    </row>
    <row r="1043" spans="1:14">
      <c r="A1043" t="s">
        <v>17487</v>
      </c>
      <c r="C1043" t="s">
        <v>18207</v>
      </c>
      <c r="D1043" t="s">
        <v>4215</v>
      </c>
      <c r="E1043" t="s">
        <v>17334</v>
      </c>
      <c r="F1043">
        <v>3</v>
      </c>
      <c r="N1043" t="s">
        <v>18207</v>
      </c>
    </row>
    <row r="1044" spans="1:14">
      <c r="A1044" t="s">
        <v>17488</v>
      </c>
      <c r="C1044" t="s">
        <v>18208</v>
      </c>
      <c r="D1044" t="s">
        <v>4215</v>
      </c>
      <c r="E1044" t="s">
        <v>17334</v>
      </c>
      <c r="F1044">
        <v>3</v>
      </c>
      <c r="N1044" t="s">
        <v>18208</v>
      </c>
    </row>
    <row r="1045" spans="1:14">
      <c r="A1045" t="s">
        <v>17489</v>
      </c>
      <c r="C1045" t="s">
        <v>18209</v>
      </c>
      <c r="D1045" t="s">
        <v>4215</v>
      </c>
      <c r="E1045" t="s">
        <v>17334</v>
      </c>
      <c r="F1045">
        <v>3</v>
      </c>
      <c r="N1045" t="s">
        <v>18209</v>
      </c>
    </row>
    <row r="1046" spans="1:14">
      <c r="A1046" t="s">
        <v>17490</v>
      </c>
      <c r="C1046" t="s">
        <v>18210</v>
      </c>
      <c r="D1046" t="s">
        <v>4215</v>
      </c>
      <c r="E1046" t="s">
        <v>17334</v>
      </c>
      <c r="F1046">
        <v>3</v>
      </c>
      <c r="N1046" t="s">
        <v>18210</v>
      </c>
    </row>
    <row r="1047" spans="1:14">
      <c r="A1047" t="s">
        <v>17491</v>
      </c>
      <c r="C1047" t="s">
        <v>18211</v>
      </c>
      <c r="D1047" t="s">
        <v>4215</v>
      </c>
      <c r="E1047" t="s">
        <v>17334</v>
      </c>
      <c r="F1047">
        <v>3</v>
      </c>
      <c r="N1047" t="s">
        <v>18211</v>
      </c>
    </row>
    <row r="1048" spans="1:14">
      <c r="A1048" t="s">
        <v>17492</v>
      </c>
      <c r="C1048" t="s">
        <v>18212</v>
      </c>
      <c r="D1048" t="s">
        <v>4215</v>
      </c>
      <c r="E1048" t="s">
        <v>17334</v>
      </c>
      <c r="F1048">
        <v>3</v>
      </c>
      <c r="N1048" t="s">
        <v>18212</v>
      </c>
    </row>
    <row r="1049" spans="1:14">
      <c r="A1049" t="s">
        <v>17493</v>
      </c>
      <c r="C1049" t="s">
        <v>18213</v>
      </c>
      <c r="D1049" t="s">
        <v>4215</v>
      </c>
      <c r="E1049" t="s">
        <v>17334</v>
      </c>
      <c r="F1049">
        <v>3</v>
      </c>
      <c r="N1049" t="s">
        <v>18213</v>
      </c>
    </row>
    <row r="1050" spans="1:14">
      <c r="A1050" t="s">
        <v>17494</v>
      </c>
      <c r="C1050" t="s">
        <v>18214</v>
      </c>
      <c r="D1050" t="s">
        <v>4215</v>
      </c>
      <c r="E1050" t="s">
        <v>17334</v>
      </c>
      <c r="F1050">
        <v>3</v>
      </c>
      <c r="N1050" t="s">
        <v>18214</v>
      </c>
    </row>
    <row r="1051" spans="1:14">
      <c r="A1051" t="s">
        <v>17495</v>
      </c>
      <c r="C1051" t="s">
        <v>18215</v>
      </c>
      <c r="D1051" t="s">
        <v>4215</v>
      </c>
      <c r="E1051" t="s">
        <v>17334</v>
      </c>
      <c r="F1051">
        <v>3</v>
      </c>
      <c r="N1051" t="s">
        <v>18215</v>
      </c>
    </row>
    <row r="1052" spans="1:14">
      <c r="A1052" t="s">
        <v>17496</v>
      </c>
      <c r="C1052" t="s">
        <v>18216</v>
      </c>
      <c r="D1052" t="s">
        <v>4215</v>
      </c>
      <c r="E1052" t="s">
        <v>17334</v>
      </c>
      <c r="F1052">
        <v>3</v>
      </c>
      <c r="N1052" t="s">
        <v>18216</v>
      </c>
    </row>
    <row r="1053" spans="1:14">
      <c r="A1053" t="s">
        <v>17497</v>
      </c>
      <c r="C1053" t="s">
        <v>18217</v>
      </c>
      <c r="D1053" t="s">
        <v>4215</v>
      </c>
      <c r="E1053" t="s">
        <v>17334</v>
      </c>
      <c r="F1053">
        <v>3</v>
      </c>
      <c r="N1053" t="s">
        <v>18217</v>
      </c>
    </row>
    <row r="1054" spans="1:14">
      <c r="A1054" t="s">
        <v>17498</v>
      </c>
      <c r="C1054" t="s">
        <v>18218</v>
      </c>
      <c r="D1054" t="s">
        <v>4215</v>
      </c>
      <c r="E1054" t="s">
        <v>17334</v>
      </c>
      <c r="F1054">
        <v>3</v>
      </c>
      <c r="N1054" t="s">
        <v>18218</v>
      </c>
    </row>
    <row r="1055" spans="1:14">
      <c r="A1055" t="s">
        <v>17499</v>
      </c>
      <c r="C1055" t="s">
        <v>18219</v>
      </c>
      <c r="D1055" t="s">
        <v>4215</v>
      </c>
      <c r="E1055" t="s">
        <v>17334</v>
      </c>
      <c r="F1055">
        <v>3</v>
      </c>
      <c r="N1055" t="s">
        <v>18219</v>
      </c>
    </row>
    <row r="1056" spans="1:14">
      <c r="A1056" t="s">
        <v>17500</v>
      </c>
      <c r="C1056" t="s">
        <v>18220</v>
      </c>
      <c r="D1056" t="s">
        <v>4215</v>
      </c>
      <c r="E1056" t="s">
        <v>17334</v>
      </c>
      <c r="F1056">
        <v>3</v>
      </c>
      <c r="N1056" t="s">
        <v>18220</v>
      </c>
    </row>
    <row r="1057" spans="1:14">
      <c r="A1057" t="s">
        <v>17501</v>
      </c>
      <c r="C1057" t="s">
        <v>18221</v>
      </c>
      <c r="D1057" t="s">
        <v>4215</v>
      </c>
      <c r="E1057" t="s">
        <v>17334</v>
      </c>
      <c r="F1057">
        <v>3</v>
      </c>
      <c r="N1057" t="s">
        <v>18221</v>
      </c>
    </row>
    <row r="1058" spans="1:14">
      <c r="A1058" t="s">
        <v>17502</v>
      </c>
      <c r="C1058" t="s">
        <v>18222</v>
      </c>
      <c r="D1058" t="s">
        <v>4215</v>
      </c>
      <c r="E1058" t="s">
        <v>17334</v>
      </c>
      <c r="F1058">
        <v>3</v>
      </c>
      <c r="N1058" t="s">
        <v>18222</v>
      </c>
    </row>
    <row r="1059" spans="1:14">
      <c r="A1059" t="s">
        <v>17503</v>
      </c>
      <c r="C1059" t="s">
        <v>18223</v>
      </c>
      <c r="D1059" t="s">
        <v>4215</v>
      </c>
      <c r="E1059" t="s">
        <v>17334</v>
      </c>
      <c r="F1059">
        <v>3</v>
      </c>
      <c r="N1059" t="s">
        <v>18223</v>
      </c>
    </row>
    <row r="1060" spans="1:14">
      <c r="A1060" t="s">
        <v>17504</v>
      </c>
      <c r="C1060" t="s">
        <v>18206</v>
      </c>
      <c r="D1060" t="s">
        <v>4215</v>
      </c>
      <c r="E1060" t="s">
        <v>17334</v>
      </c>
      <c r="F1060">
        <v>3</v>
      </c>
      <c r="N1060" t="s">
        <v>18206</v>
      </c>
    </row>
    <row r="1061" spans="1:14">
      <c r="A1061" t="s">
        <v>17505</v>
      </c>
      <c r="C1061" t="s">
        <v>18207</v>
      </c>
      <c r="D1061" t="s">
        <v>4215</v>
      </c>
      <c r="E1061" t="s">
        <v>17334</v>
      </c>
      <c r="F1061">
        <v>3</v>
      </c>
      <c r="N1061" t="s">
        <v>18207</v>
      </c>
    </row>
    <row r="1062" spans="1:14">
      <c r="A1062" t="s">
        <v>17506</v>
      </c>
      <c r="C1062" t="s">
        <v>18208</v>
      </c>
      <c r="D1062" t="s">
        <v>4215</v>
      </c>
      <c r="E1062" t="s">
        <v>17334</v>
      </c>
      <c r="F1062">
        <v>3</v>
      </c>
      <c r="N1062" t="s">
        <v>18208</v>
      </c>
    </row>
    <row r="1063" spans="1:14">
      <c r="A1063" t="s">
        <v>17507</v>
      </c>
      <c r="C1063" t="s">
        <v>18209</v>
      </c>
      <c r="D1063" t="s">
        <v>4215</v>
      </c>
      <c r="E1063" t="s">
        <v>17334</v>
      </c>
      <c r="F1063">
        <v>3</v>
      </c>
      <c r="N1063" t="s">
        <v>18209</v>
      </c>
    </row>
    <row r="1064" spans="1:14">
      <c r="A1064" t="s">
        <v>17508</v>
      </c>
      <c r="C1064" t="s">
        <v>18210</v>
      </c>
      <c r="D1064" t="s">
        <v>4215</v>
      </c>
      <c r="E1064" t="s">
        <v>17334</v>
      </c>
      <c r="F1064">
        <v>3</v>
      </c>
      <c r="N1064" t="s">
        <v>18210</v>
      </c>
    </row>
    <row r="1065" spans="1:14">
      <c r="A1065" t="s">
        <v>17509</v>
      </c>
      <c r="C1065" t="s">
        <v>18211</v>
      </c>
      <c r="D1065" t="s">
        <v>4215</v>
      </c>
      <c r="E1065" t="s">
        <v>17334</v>
      </c>
      <c r="F1065">
        <v>3</v>
      </c>
      <c r="N1065" t="s">
        <v>18211</v>
      </c>
    </row>
    <row r="1066" spans="1:14">
      <c r="A1066" t="s">
        <v>17510</v>
      </c>
      <c r="C1066" t="s">
        <v>18212</v>
      </c>
      <c r="D1066" t="s">
        <v>4215</v>
      </c>
      <c r="E1066" t="s">
        <v>17334</v>
      </c>
      <c r="F1066">
        <v>3</v>
      </c>
      <c r="N1066" t="s">
        <v>18212</v>
      </c>
    </row>
    <row r="1067" spans="1:14">
      <c r="A1067" t="s">
        <v>17511</v>
      </c>
      <c r="C1067" t="s">
        <v>18213</v>
      </c>
      <c r="D1067" t="s">
        <v>4215</v>
      </c>
      <c r="E1067" t="s">
        <v>17334</v>
      </c>
      <c r="F1067">
        <v>3</v>
      </c>
      <c r="N1067" t="s">
        <v>18213</v>
      </c>
    </row>
    <row r="1068" spans="1:14">
      <c r="A1068" t="s">
        <v>17512</v>
      </c>
      <c r="C1068" t="s">
        <v>18214</v>
      </c>
      <c r="D1068" t="s">
        <v>4215</v>
      </c>
      <c r="E1068" t="s">
        <v>17334</v>
      </c>
      <c r="F1068">
        <v>3</v>
      </c>
      <c r="N1068" t="s">
        <v>18214</v>
      </c>
    </row>
    <row r="1069" spans="1:14">
      <c r="A1069" t="s">
        <v>17513</v>
      </c>
      <c r="C1069" t="s">
        <v>18215</v>
      </c>
      <c r="D1069" t="s">
        <v>4215</v>
      </c>
      <c r="E1069" t="s">
        <v>17334</v>
      </c>
      <c r="F1069">
        <v>3</v>
      </c>
      <c r="N1069" t="s">
        <v>18215</v>
      </c>
    </row>
    <row r="1070" spans="1:14">
      <c r="A1070" t="s">
        <v>17514</v>
      </c>
      <c r="C1070" t="s">
        <v>18216</v>
      </c>
      <c r="D1070" t="s">
        <v>4215</v>
      </c>
      <c r="E1070" t="s">
        <v>17334</v>
      </c>
      <c r="F1070">
        <v>3</v>
      </c>
      <c r="N1070" t="s">
        <v>18216</v>
      </c>
    </row>
    <row r="1071" spans="1:14">
      <c r="A1071" t="s">
        <v>17515</v>
      </c>
      <c r="C1071" t="s">
        <v>18217</v>
      </c>
      <c r="D1071" t="s">
        <v>4215</v>
      </c>
      <c r="E1071" t="s">
        <v>17334</v>
      </c>
      <c r="F1071">
        <v>3</v>
      </c>
      <c r="N1071" t="s">
        <v>18217</v>
      </c>
    </row>
    <row r="1072" spans="1:14">
      <c r="A1072" t="s">
        <v>17516</v>
      </c>
      <c r="C1072" t="s">
        <v>18521</v>
      </c>
      <c r="D1072" t="s">
        <v>4215</v>
      </c>
      <c r="E1072" t="s">
        <v>17334</v>
      </c>
      <c r="F1072">
        <v>3</v>
      </c>
      <c r="N1072" t="s">
        <v>18218</v>
      </c>
    </row>
    <row r="1073" spans="1:14">
      <c r="A1073" t="s">
        <v>17517</v>
      </c>
      <c r="C1073" t="s">
        <v>18219</v>
      </c>
      <c r="D1073" t="s">
        <v>4215</v>
      </c>
      <c r="E1073" t="s">
        <v>17334</v>
      </c>
      <c r="F1073">
        <v>3</v>
      </c>
      <c r="N1073" t="s">
        <v>18219</v>
      </c>
    </row>
    <row r="1074" spans="1:14">
      <c r="A1074" t="s">
        <v>17518</v>
      </c>
      <c r="C1074" t="s">
        <v>18220</v>
      </c>
      <c r="D1074" t="s">
        <v>4215</v>
      </c>
      <c r="E1074" t="s">
        <v>17334</v>
      </c>
      <c r="F1074">
        <v>3</v>
      </c>
      <c r="N1074" t="s">
        <v>18220</v>
      </c>
    </row>
    <row r="1075" spans="1:14">
      <c r="A1075" t="s">
        <v>17519</v>
      </c>
      <c r="C1075" t="s">
        <v>18221</v>
      </c>
      <c r="D1075" t="s">
        <v>4215</v>
      </c>
      <c r="E1075" t="s">
        <v>17334</v>
      </c>
      <c r="F1075">
        <v>3</v>
      </c>
      <c r="N1075" t="s">
        <v>18221</v>
      </c>
    </row>
    <row r="1076" spans="1:14">
      <c r="A1076" t="s">
        <v>17520</v>
      </c>
      <c r="C1076" t="s">
        <v>18222</v>
      </c>
      <c r="D1076" t="s">
        <v>4215</v>
      </c>
      <c r="E1076" t="s">
        <v>17334</v>
      </c>
      <c r="F1076">
        <v>3</v>
      </c>
      <c r="N1076" t="s">
        <v>18222</v>
      </c>
    </row>
    <row r="1077" spans="1:14">
      <c r="A1077" t="s">
        <v>17521</v>
      </c>
      <c r="C1077" t="s">
        <v>18223</v>
      </c>
      <c r="D1077" t="s">
        <v>4215</v>
      </c>
      <c r="E1077" t="s">
        <v>17334</v>
      </c>
      <c r="F1077">
        <v>3</v>
      </c>
      <c r="N1077" t="s">
        <v>18223</v>
      </c>
    </row>
    <row r="1078" spans="1:14">
      <c r="A1078" t="s">
        <v>17522</v>
      </c>
      <c r="C1078" t="s">
        <v>18224</v>
      </c>
      <c r="D1078" t="s">
        <v>4215</v>
      </c>
      <c r="E1078" t="s">
        <v>17334</v>
      </c>
      <c r="F1078">
        <v>3</v>
      </c>
      <c r="N1078" t="s">
        <v>18224</v>
      </c>
    </row>
    <row r="1079" spans="1:14">
      <c r="A1079" t="s">
        <v>17523</v>
      </c>
      <c r="C1079" t="s">
        <v>18225</v>
      </c>
      <c r="D1079" t="s">
        <v>4215</v>
      </c>
      <c r="E1079" t="s">
        <v>17334</v>
      </c>
      <c r="F1079">
        <v>3</v>
      </c>
      <c r="N1079" t="s">
        <v>18225</v>
      </c>
    </row>
    <row r="1080" spans="1:14">
      <c r="A1080" t="s">
        <v>17524</v>
      </c>
      <c r="C1080" t="s">
        <v>18226</v>
      </c>
      <c r="D1080" t="s">
        <v>4215</v>
      </c>
      <c r="E1080" t="s">
        <v>17334</v>
      </c>
      <c r="F1080">
        <v>3</v>
      </c>
      <c r="N1080" t="s">
        <v>18226</v>
      </c>
    </row>
    <row r="1081" spans="1:14">
      <c r="A1081" t="s">
        <v>17525</v>
      </c>
      <c r="C1081" t="s">
        <v>18227</v>
      </c>
      <c r="D1081" t="s">
        <v>4215</v>
      </c>
      <c r="E1081" t="s">
        <v>17334</v>
      </c>
      <c r="F1081">
        <v>3</v>
      </c>
      <c r="N1081" t="s">
        <v>18227</v>
      </c>
    </row>
    <row r="1082" spans="1:14">
      <c r="A1082" t="s">
        <v>17526</v>
      </c>
      <c r="C1082" t="s">
        <v>18228</v>
      </c>
      <c r="D1082" t="s">
        <v>4215</v>
      </c>
      <c r="E1082" t="s">
        <v>17334</v>
      </c>
      <c r="F1082">
        <v>3</v>
      </c>
      <c r="N1082" t="s">
        <v>18228</v>
      </c>
    </row>
    <row r="1083" spans="1:14">
      <c r="A1083" t="s">
        <v>17527</v>
      </c>
      <c r="C1083" t="s">
        <v>18229</v>
      </c>
      <c r="D1083" t="s">
        <v>4215</v>
      </c>
      <c r="E1083" t="s">
        <v>17334</v>
      </c>
      <c r="F1083">
        <v>3</v>
      </c>
      <c r="N1083" t="s">
        <v>18229</v>
      </c>
    </row>
    <row r="1084" spans="1:14">
      <c r="A1084" t="s">
        <v>17528</v>
      </c>
      <c r="C1084" t="s">
        <v>18230</v>
      </c>
      <c r="D1084" t="s">
        <v>4215</v>
      </c>
      <c r="E1084" t="s">
        <v>17334</v>
      </c>
      <c r="F1084">
        <v>3</v>
      </c>
      <c r="N1084" t="s">
        <v>18230</v>
      </c>
    </row>
    <row r="1085" spans="1:14">
      <c r="A1085" t="s">
        <v>17529</v>
      </c>
      <c r="C1085" t="s">
        <v>18231</v>
      </c>
      <c r="D1085" t="s">
        <v>4215</v>
      </c>
      <c r="E1085" t="s">
        <v>17334</v>
      </c>
      <c r="F1085">
        <v>3</v>
      </c>
      <c r="N1085" t="s">
        <v>18231</v>
      </c>
    </row>
    <row r="1086" spans="1:14">
      <c r="A1086" t="s">
        <v>17530</v>
      </c>
      <c r="C1086" t="s">
        <v>18232</v>
      </c>
      <c r="D1086" t="s">
        <v>4215</v>
      </c>
      <c r="E1086" t="s">
        <v>17334</v>
      </c>
      <c r="F1086">
        <v>3</v>
      </c>
      <c r="N1086" t="s">
        <v>18232</v>
      </c>
    </row>
    <row r="1087" spans="1:14">
      <c r="A1087" t="s">
        <v>17531</v>
      </c>
      <c r="C1087" t="s">
        <v>18233</v>
      </c>
      <c r="D1087" t="s">
        <v>4215</v>
      </c>
      <c r="E1087" t="s">
        <v>17334</v>
      </c>
      <c r="F1087">
        <v>3</v>
      </c>
      <c r="N1087" t="s">
        <v>18233</v>
      </c>
    </row>
    <row r="1088" spans="1:14">
      <c r="A1088" t="s">
        <v>17532</v>
      </c>
      <c r="C1088" t="s">
        <v>18234</v>
      </c>
      <c r="D1088" t="s">
        <v>4215</v>
      </c>
      <c r="E1088" t="s">
        <v>17334</v>
      </c>
      <c r="F1088">
        <v>3</v>
      </c>
      <c r="N1088" t="s">
        <v>18234</v>
      </c>
    </row>
    <row r="1089" spans="1:14">
      <c r="A1089" t="s">
        <v>17533</v>
      </c>
      <c r="C1089" t="s">
        <v>18235</v>
      </c>
      <c r="D1089" t="s">
        <v>4215</v>
      </c>
      <c r="E1089" t="s">
        <v>17334</v>
      </c>
      <c r="F1089">
        <v>3</v>
      </c>
      <c r="N1089" t="s">
        <v>18235</v>
      </c>
    </row>
    <row r="1090" spans="1:14">
      <c r="A1090" t="s">
        <v>17534</v>
      </c>
      <c r="C1090" t="s">
        <v>18236</v>
      </c>
      <c r="D1090" t="s">
        <v>4215</v>
      </c>
      <c r="E1090" t="s">
        <v>17334</v>
      </c>
      <c r="F1090">
        <v>3</v>
      </c>
      <c r="N1090" t="s">
        <v>18236</v>
      </c>
    </row>
    <row r="1091" spans="1:14">
      <c r="A1091" t="s">
        <v>17535</v>
      </c>
      <c r="C1091" t="s">
        <v>18237</v>
      </c>
      <c r="D1091" t="s">
        <v>4215</v>
      </c>
      <c r="E1091" t="s">
        <v>17334</v>
      </c>
      <c r="F1091">
        <v>3</v>
      </c>
      <c r="N1091" t="s">
        <v>18237</v>
      </c>
    </row>
    <row r="1092" spans="1:14">
      <c r="A1092" t="s">
        <v>17536</v>
      </c>
      <c r="C1092" t="s">
        <v>18238</v>
      </c>
      <c r="D1092" t="s">
        <v>4215</v>
      </c>
      <c r="E1092" t="s">
        <v>17334</v>
      </c>
      <c r="F1092">
        <v>3</v>
      </c>
      <c r="N1092" t="s">
        <v>18238</v>
      </c>
    </row>
    <row r="1093" spans="1:14">
      <c r="A1093" t="s">
        <v>17537</v>
      </c>
      <c r="C1093" t="s">
        <v>18239</v>
      </c>
      <c r="D1093" t="s">
        <v>4215</v>
      </c>
      <c r="E1093" t="s">
        <v>17334</v>
      </c>
      <c r="F1093">
        <v>3</v>
      </c>
      <c r="N1093" t="s">
        <v>18239</v>
      </c>
    </row>
    <row r="1094" spans="1:14">
      <c r="A1094" t="s">
        <v>17538</v>
      </c>
      <c r="C1094" t="s">
        <v>18240</v>
      </c>
      <c r="D1094" t="s">
        <v>4215</v>
      </c>
      <c r="E1094" t="s">
        <v>17334</v>
      </c>
      <c r="F1094">
        <v>3</v>
      </c>
      <c r="N1094" t="s">
        <v>18240</v>
      </c>
    </row>
    <row r="1095" spans="1:14">
      <c r="A1095" t="s">
        <v>17539</v>
      </c>
      <c r="C1095" t="s">
        <v>18241</v>
      </c>
      <c r="D1095" t="s">
        <v>4215</v>
      </c>
      <c r="E1095" t="s">
        <v>17334</v>
      </c>
      <c r="F1095">
        <v>3</v>
      </c>
      <c r="N1095" t="s">
        <v>18241</v>
      </c>
    </row>
    <row r="1096" spans="1:14">
      <c r="A1096" t="s">
        <v>17540</v>
      </c>
      <c r="C1096" t="s">
        <v>18242</v>
      </c>
      <c r="D1096" t="s">
        <v>4215</v>
      </c>
      <c r="E1096" t="s">
        <v>17334</v>
      </c>
      <c r="F1096">
        <v>3</v>
      </c>
      <c r="N1096" t="s">
        <v>18242</v>
      </c>
    </row>
    <row r="1097" spans="1:14">
      <c r="A1097" t="s">
        <v>17541</v>
      </c>
      <c r="C1097" t="s">
        <v>18243</v>
      </c>
      <c r="D1097" t="s">
        <v>4215</v>
      </c>
      <c r="E1097" t="s">
        <v>17334</v>
      </c>
      <c r="F1097">
        <v>3</v>
      </c>
      <c r="N1097" t="s">
        <v>18243</v>
      </c>
    </row>
    <row r="1098" spans="1:14">
      <c r="A1098" t="s">
        <v>17542</v>
      </c>
      <c r="C1098" t="s">
        <v>18244</v>
      </c>
      <c r="D1098" t="s">
        <v>4215</v>
      </c>
      <c r="E1098" t="s">
        <v>17334</v>
      </c>
      <c r="F1098">
        <v>3</v>
      </c>
      <c r="N1098" t="s">
        <v>18244</v>
      </c>
    </row>
    <row r="1099" spans="1:14">
      <c r="A1099" t="s">
        <v>17543</v>
      </c>
      <c r="C1099" t="s">
        <v>18245</v>
      </c>
      <c r="D1099" t="s">
        <v>4215</v>
      </c>
      <c r="E1099" t="s">
        <v>17334</v>
      </c>
      <c r="F1099">
        <v>3</v>
      </c>
      <c r="N1099" t="s">
        <v>18245</v>
      </c>
    </row>
    <row r="1100" spans="1:14">
      <c r="A1100" t="s">
        <v>17544</v>
      </c>
      <c r="C1100" t="s">
        <v>18246</v>
      </c>
      <c r="D1100" t="s">
        <v>4215</v>
      </c>
      <c r="E1100" t="s">
        <v>17334</v>
      </c>
      <c r="F1100">
        <v>3</v>
      </c>
      <c r="N1100" t="s">
        <v>18246</v>
      </c>
    </row>
    <row r="1101" spans="1:14">
      <c r="A1101" t="s">
        <v>17545</v>
      </c>
      <c r="C1101" t="s">
        <v>18247</v>
      </c>
      <c r="D1101" t="s">
        <v>4215</v>
      </c>
      <c r="E1101" t="s">
        <v>17334</v>
      </c>
      <c r="F1101">
        <v>3</v>
      </c>
      <c r="N1101" t="s">
        <v>18247</v>
      </c>
    </row>
    <row r="1102" spans="1:14">
      <c r="A1102" t="s">
        <v>17546</v>
      </c>
      <c r="C1102" t="s">
        <v>18248</v>
      </c>
      <c r="D1102" t="s">
        <v>4215</v>
      </c>
      <c r="E1102" t="s">
        <v>17334</v>
      </c>
      <c r="F1102">
        <v>3</v>
      </c>
      <c r="N1102" t="s">
        <v>18248</v>
      </c>
    </row>
    <row r="1103" spans="1:14">
      <c r="A1103" t="s">
        <v>17547</v>
      </c>
      <c r="C1103" t="s">
        <v>18249</v>
      </c>
      <c r="D1103" t="s">
        <v>4215</v>
      </c>
      <c r="E1103" t="s">
        <v>17334</v>
      </c>
      <c r="F1103">
        <v>3</v>
      </c>
      <c r="N1103" t="s">
        <v>18249</v>
      </c>
    </row>
    <row r="1104" spans="1:14">
      <c r="A1104" t="s">
        <v>17548</v>
      </c>
      <c r="C1104" t="s">
        <v>18250</v>
      </c>
      <c r="D1104" t="s">
        <v>4215</v>
      </c>
      <c r="E1104" t="s">
        <v>17334</v>
      </c>
      <c r="F1104">
        <v>3</v>
      </c>
      <c r="N1104" t="s">
        <v>18250</v>
      </c>
    </row>
    <row r="1105" spans="1:14">
      <c r="A1105" t="s">
        <v>17549</v>
      </c>
      <c r="C1105" t="s">
        <v>18251</v>
      </c>
      <c r="D1105" t="s">
        <v>4215</v>
      </c>
      <c r="E1105" t="s">
        <v>17334</v>
      </c>
      <c r="F1105">
        <v>3</v>
      </c>
      <c r="N1105" t="s">
        <v>18251</v>
      </c>
    </row>
    <row r="1106" spans="1:14">
      <c r="A1106" t="s">
        <v>17550</v>
      </c>
      <c r="C1106" t="s">
        <v>18252</v>
      </c>
      <c r="D1106" t="s">
        <v>4215</v>
      </c>
      <c r="E1106" t="s">
        <v>17334</v>
      </c>
      <c r="F1106">
        <v>3</v>
      </c>
      <c r="N1106" t="s">
        <v>18252</v>
      </c>
    </row>
    <row r="1107" spans="1:14">
      <c r="A1107" t="s">
        <v>17551</v>
      </c>
      <c r="C1107" t="s">
        <v>18253</v>
      </c>
      <c r="D1107" t="s">
        <v>4215</v>
      </c>
      <c r="E1107" t="s">
        <v>17334</v>
      </c>
      <c r="F1107">
        <v>3</v>
      </c>
      <c r="N1107" t="s">
        <v>18253</v>
      </c>
    </row>
    <row r="1108" spans="1:14">
      <c r="A1108" t="s">
        <v>17552</v>
      </c>
      <c r="C1108" t="s">
        <v>18254</v>
      </c>
      <c r="D1108" t="s">
        <v>4215</v>
      </c>
      <c r="E1108" t="s">
        <v>17334</v>
      </c>
      <c r="F1108">
        <v>3</v>
      </c>
      <c r="N1108" t="s">
        <v>18254</v>
      </c>
    </row>
    <row r="1109" spans="1:14">
      <c r="A1109" t="s">
        <v>17553</v>
      </c>
      <c r="C1109" t="s">
        <v>18255</v>
      </c>
      <c r="D1109" t="s">
        <v>4215</v>
      </c>
      <c r="E1109" t="s">
        <v>17334</v>
      </c>
      <c r="F1109">
        <v>3</v>
      </c>
      <c r="N1109" t="s">
        <v>18255</v>
      </c>
    </row>
    <row r="1110" spans="1:14">
      <c r="A1110" t="s">
        <v>17554</v>
      </c>
      <c r="C1110" t="s">
        <v>18256</v>
      </c>
      <c r="D1110" t="s">
        <v>4215</v>
      </c>
      <c r="E1110" t="s">
        <v>17334</v>
      </c>
      <c r="F1110">
        <v>3</v>
      </c>
      <c r="N1110" t="s">
        <v>18256</v>
      </c>
    </row>
    <row r="1111" spans="1:14">
      <c r="A1111" t="s">
        <v>17555</v>
      </c>
      <c r="C1111" t="s">
        <v>18257</v>
      </c>
      <c r="D1111" t="s">
        <v>4215</v>
      </c>
      <c r="E1111" t="s">
        <v>17334</v>
      </c>
      <c r="F1111">
        <v>3</v>
      </c>
      <c r="N1111" t="s">
        <v>18257</v>
      </c>
    </row>
    <row r="1112" spans="1:14">
      <c r="A1112" t="s">
        <v>17556</v>
      </c>
      <c r="C1112" t="s">
        <v>18258</v>
      </c>
      <c r="D1112" t="s">
        <v>4215</v>
      </c>
      <c r="E1112" t="s">
        <v>17334</v>
      </c>
      <c r="F1112">
        <v>3</v>
      </c>
      <c r="N1112" t="s">
        <v>18258</v>
      </c>
    </row>
    <row r="1113" spans="1:14">
      <c r="A1113" t="s">
        <v>17557</v>
      </c>
      <c r="C1113" t="s">
        <v>18259</v>
      </c>
      <c r="D1113" t="s">
        <v>4215</v>
      </c>
      <c r="E1113" t="s">
        <v>17334</v>
      </c>
      <c r="F1113">
        <v>3</v>
      </c>
      <c r="N1113" t="s">
        <v>18259</v>
      </c>
    </row>
    <row r="1114" spans="1:14">
      <c r="A1114" t="s">
        <v>17558</v>
      </c>
      <c r="B1114">
        <v>1</v>
      </c>
      <c r="C1114" t="s">
        <v>18260</v>
      </c>
      <c r="D1114" t="s">
        <v>4215</v>
      </c>
      <c r="E1114" t="s">
        <v>17334</v>
      </c>
      <c r="F1114">
        <v>3</v>
      </c>
      <c r="N1114" t="s">
        <v>18260</v>
      </c>
    </row>
    <row r="1115" spans="1:14">
      <c r="A1115" t="s">
        <v>17559</v>
      </c>
      <c r="B1115">
        <v>1</v>
      </c>
      <c r="C1115" t="s">
        <v>18261</v>
      </c>
      <c r="D1115" t="s">
        <v>4215</v>
      </c>
      <c r="E1115" t="s">
        <v>17334</v>
      </c>
      <c r="F1115">
        <v>3</v>
      </c>
      <c r="N1115" t="s">
        <v>18261</v>
      </c>
    </row>
    <row r="1116" spans="1:14">
      <c r="A1116" t="s">
        <v>17560</v>
      </c>
      <c r="B1116">
        <v>1</v>
      </c>
      <c r="C1116" t="s">
        <v>18262</v>
      </c>
      <c r="D1116" t="s">
        <v>4215</v>
      </c>
      <c r="E1116" t="s">
        <v>17334</v>
      </c>
      <c r="F1116">
        <v>3</v>
      </c>
      <c r="N1116" t="s">
        <v>18262</v>
      </c>
    </row>
    <row r="1117" spans="1:14">
      <c r="A1117" t="s">
        <v>17561</v>
      </c>
      <c r="B1117">
        <v>1</v>
      </c>
      <c r="C1117" t="s">
        <v>18263</v>
      </c>
      <c r="D1117" t="s">
        <v>4215</v>
      </c>
      <c r="E1117" t="s">
        <v>17334</v>
      </c>
      <c r="F1117">
        <v>3</v>
      </c>
      <c r="N1117" t="s">
        <v>18263</v>
      </c>
    </row>
    <row r="1118" spans="1:14">
      <c r="A1118" t="s">
        <v>17562</v>
      </c>
      <c r="B1118">
        <v>1</v>
      </c>
      <c r="C1118" t="s">
        <v>18264</v>
      </c>
      <c r="D1118" t="s">
        <v>4215</v>
      </c>
      <c r="E1118" t="s">
        <v>17334</v>
      </c>
      <c r="F1118">
        <v>3</v>
      </c>
      <c r="N1118" t="s">
        <v>18264</v>
      </c>
    </row>
    <row r="1119" spans="1:14">
      <c r="A1119" t="s">
        <v>17563</v>
      </c>
      <c r="B1119">
        <v>1</v>
      </c>
      <c r="C1119" t="s">
        <v>18265</v>
      </c>
      <c r="D1119" t="s">
        <v>4215</v>
      </c>
      <c r="E1119" t="s">
        <v>17334</v>
      </c>
      <c r="F1119">
        <v>3</v>
      </c>
      <c r="N1119" t="s">
        <v>18265</v>
      </c>
    </row>
    <row r="1120" spans="1:14">
      <c r="A1120" t="s">
        <v>17564</v>
      </c>
      <c r="B1120">
        <v>1</v>
      </c>
      <c r="C1120" t="s">
        <v>18266</v>
      </c>
      <c r="D1120" t="s">
        <v>4215</v>
      </c>
      <c r="E1120" t="s">
        <v>17334</v>
      </c>
      <c r="F1120">
        <v>3</v>
      </c>
      <c r="N1120" t="s">
        <v>18266</v>
      </c>
    </row>
    <row r="1121" spans="1:14">
      <c r="A1121" t="s">
        <v>17565</v>
      </c>
      <c r="B1121">
        <v>1</v>
      </c>
      <c r="C1121" t="s">
        <v>18267</v>
      </c>
      <c r="D1121" t="s">
        <v>4215</v>
      </c>
      <c r="E1121" t="s">
        <v>17334</v>
      </c>
      <c r="F1121">
        <v>3</v>
      </c>
      <c r="N1121" t="s">
        <v>18267</v>
      </c>
    </row>
    <row r="1122" spans="1:14">
      <c r="A1122" t="s">
        <v>17566</v>
      </c>
      <c r="B1122">
        <v>1</v>
      </c>
      <c r="C1122" t="s">
        <v>18268</v>
      </c>
      <c r="D1122" t="s">
        <v>4215</v>
      </c>
      <c r="E1122" t="s">
        <v>17334</v>
      </c>
      <c r="F1122">
        <v>3</v>
      </c>
      <c r="N1122" t="s">
        <v>18268</v>
      </c>
    </row>
    <row r="1123" spans="1:14">
      <c r="A1123" t="s">
        <v>17567</v>
      </c>
      <c r="B1123">
        <v>1</v>
      </c>
      <c r="C1123" t="s">
        <v>18269</v>
      </c>
      <c r="D1123" t="s">
        <v>4215</v>
      </c>
      <c r="E1123" t="s">
        <v>17334</v>
      </c>
      <c r="F1123">
        <v>3</v>
      </c>
      <c r="N1123" t="s">
        <v>18269</v>
      </c>
    </row>
    <row r="1124" spans="1:14">
      <c r="A1124" t="s">
        <v>17568</v>
      </c>
      <c r="B1124">
        <v>1</v>
      </c>
      <c r="C1124" t="s">
        <v>18270</v>
      </c>
      <c r="D1124" t="s">
        <v>4215</v>
      </c>
      <c r="E1124" t="s">
        <v>17334</v>
      </c>
      <c r="F1124">
        <v>3</v>
      </c>
      <c r="N1124" t="s">
        <v>18270</v>
      </c>
    </row>
    <row r="1125" spans="1:14">
      <c r="A1125" t="s">
        <v>17569</v>
      </c>
      <c r="B1125">
        <v>1</v>
      </c>
      <c r="C1125" t="s">
        <v>18271</v>
      </c>
      <c r="D1125" t="s">
        <v>4215</v>
      </c>
      <c r="E1125" t="s">
        <v>17334</v>
      </c>
      <c r="F1125">
        <v>3</v>
      </c>
      <c r="N1125" t="s">
        <v>18271</v>
      </c>
    </row>
    <row r="1126" spans="1:14">
      <c r="A1126" t="s">
        <v>17570</v>
      </c>
      <c r="B1126">
        <v>1</v>
      </c>
      <c r="C1126" t="s">
        <v>18272</v>
      </c>
      <c r="D1126" t="s">
        <v>4215</v>
      </c>
      <c r="E1126" t="s">
        <v>17334</v>
      </c>
      <c r="F1126">
        <v>3</v>
      </c>
      <c r="N1126" t="s">
        <v>18272</v>
      </c>
    </row>
    <row r="1127" spans="1:14">
      <c r="A1127" t="s">
        <v>17571</v>
      </c>
      <c r="B1127">
        <v>1</v>
      </c>
      <c r="C1127" t="s">
        <v>18273</v>
      </c>
      <c r="D1127" t="s">
        <v>4215</v>
      </c>
      <c r="E1127" t="s">
        <v>17334</v>
      </c>
      <c r="F1127">
        <v>3</v>
      </c>
      <c r="N1127" t="s">
        <v>18273</v>
      </c>
    </row>
    <row r="1128" spans="1:14">
      <c r="A1128" t="s">
        <v>17572</v>
      </c>
      <c r="B1128">
        <v>1</v>
      </c>
      <c r="C1128" t="s">
        <v>18274</v>
      </c>
      <c r="D1128" t="s">
        <v>4215</v>
      </c>
      <c r="E1128" t="s">
        <v>17334</v>
      </c>
      <c r="F1128">
        <v>3</v>
      </c>
      <c r="N1128" t="s">
        <v>18274</v>
      </c>
    </row>
    <row r="1129" spans="1:14">
      <c r="A1129" t="s">
        <v>17573</v>
      </c>
      <c r="B1129">
        <v>1</v>
      </c>
      <c r="C1129" t="s">
        <v>18275</v>
      </c>
      <c r="D1129" t="s">
        <v>4215</v>
      </c>
      <c r="E1129" t="s">
        <v>17334</v>
      </c>
      <c r="F1129">
        <v>3</v>
      </c>
      <c r="N1129" t="s">
        <v>18275</v>
      </c>
    </row>
    <row r="1130" spans="1:14">
      <c r="A1130" t="s">
        <v>17574</v>
      </c>
      <c r="B1130">
        <v>1</v>
      </c>
      <c r="C1130" t="s">
        <v>18276</v>
      </c>
      <c r="D1130" t="s">
        <v>4215</v>
      </c>
      <c r="E1130" t="s">
        <v>17334</v>
      </c>
      <c r="F1130">
        <v>3</v>
      </c>
      <c r="N1130" t="s">
        <v>18276</v>
      </c>
    </row>
    <row r="1131" spans="1:14">
      <c r="A1131" t="s">
        <v>17575</v>
      </c>
      <c r="B1131">
        <v>1</v>
      </c>
      <c r="C1131" t="s">
        <v>18277</v>
      </c>
      <c r="D1131" t="s">
        <v>4215</v>
      </c>
      <c r="E1131" t="s">
        <v>17334</v>
      </c>
      <c r="F1131">
        <v>3</v>
      </c>
      <c r="N1131" t="s">
        <v>18277</v>
      </c>
    </row>
    <row r="1132" spans="1:14">
      <c r="A1132" t="s">
        <v>17576</v>
      </c>
      <c r="B1132">
        <v>1</v>
      </c>
      <c r="C1132" t="s">
        <v>18278</v>
      </c>
      <c r="D1132" t="s">
        <v>4215</v>
      </c>
      <c r="E1132" t="s">
        <v>17334</v>
      </c>
      <c r="F1132">
        <v>3</v>
      </c>
      <c r="N1132" t="s">
        <v>18278</v>
      </c>
    </row>
    <row r="1133" spans="1:14">
      <c r="A1133" t="s">
        <v>17577</v>
      </c>
      <c r="B1133">
        <v>1</v>
      </c>
      <c r="C1133" t="s">
        <v>18279</v>
      </c>
      <c r="D1133" t="s">
        <v>4215</v>
      </c>
      <c r="E1133" t="s">
        <v>17334</v>
      </c>
      <c r="F1133">
        <v>3</v>
      </c>
      <c r="N1133" t="s">
        <v>18279</v>
      </c>
    </row>
    <row r="1134" spans="1:14">
      <c r="A1134" t="s">
        <v>17578</v>
      </c>
      <c r="B1134">
        <v>1</v>
      </c>
      <c r="C1134" t="s">
        <v>18280</v>
      </c>
      <c r="D1134" t="s">
        <v>4215</v>
      </c>
      <c r="E1134" t="s">
        <v>17334</v>
      </c>
      <c r="F1134">
        <v>3</v>
      </c>
      <c r="N1134" t="s">
        <v>18280</v>
      </c>
    </row>
    <row r="1135" spans="1:14">
      <c r="A1135" t="s">
        <v>17579</v>
      </c>
      <c r="B1135">
        <v>1</v>
      </c>
      <c r="C1135" t="s">
        <v>18281</v>
      </c>
      <c r="D1135" t="s">
        <v>4215</v>
      </c>
      <c r="E1135" t="s">
        <v>17334</v>
      </c>
      <c r="F1135">
        <v>3</v>
      </c>
      <c r="N1135" t="s">
        <v>18281</v>
      </c>
    </row>
    <row r="1136" spans="1:14">
      <c r="A1136" t="s">
        <v>17580</v>
      </c>
      <c r="B1136">
        <v>1</v>
      </c>
      <c r="C1136" t="s">
        <v>18282</v>
      </c>
      <c r="D1136" t="s">
        <v>4215</v>
      </c>
      <c r="E1136" t="s">
        <v>17334</v>
      </c>
      <c r="F1136">
        <v>3</v>
      </c>
      <c r="N1136" t="s">
        <v>18282</v>
      </c>
    </row>
    <row r="1137" spans="1:14">
      <c r="A1137" t="s">
        <v>17581</v>
      </c>
      <c r="B1137">
        <v>1</v>
      </c>
      <c r="C1137" t="s">
        <v>18283</v>
      </c>
      <c r="D1137" t="s">
        <v>4215</v>
      </c>
      <c r="E1137" t="s">
        <v>17334</v>
      </c>
      <c r="F1137">
        <v>3</v>
      </c>
      <c r="N1137" t="s">
        <v>18283</v>
      </c>
    </row>
    <row r="1138" spans="1:14">
      <c r="A1138" t="s">
        <v>17582</v>
      </c>
      <c r="B1138">
        <v>1</v>
      </c>
      <c r="C1138" t="s">
        <v>18284</v>
      </c>
      <c r="D1138" t="s">
        <v>4215</v>
      </c>
      <c r="E1138" t="s">
        <v>17334</v>
      </c>
      <c r="F1138">
        <v>3</v>
      </c>
      <c r="N1138" t="s">
        <v>18284</v>
      </c>
    </row>
    <row r="1139" spans="1:14">
      <c r="A1139" t="s">
        <v>17583</v>
      </c>
      <c r="B1139">
        <v>1</v>
      </c>
      <c r="C1139" t="s">
        <v>18285</v>
      </c>
      <c r="D1139" t="s">
        <v>4215</v>
      </c>
      <c r="E1139" t="s">
        <v>17334</v>
      </c>
      <c r="F1139">
        <v>3</v>
      </c>
      <c r="N1139" t="s">
        <v>18285</v>
      </c>
    </row>
    <row r="1140" spans="1:14">
      <c r="A1140" t="s">
        <v>17584</v>
      </c>
      <c r="B1140">
        <v>1</v>
      </c>
      <c r="C1140" t="s">
        <v>18286</v>
      </c>
      <c r="D1140" t="s">
        <v>4215</v>
      </c>
      <c r="E1140" t="s">
        <v>17334</v>
      </c>
      <c r="F1140">
        <v>3</v>
      </c>
      <c r="N1140" t="s">
        <v>18286</v>
      </c>
    </row>
    <row r="1141" spans="1:14">
      <c r="A1141" t="s">
        <v>17585</v>
      </c>
      <c r="B1141">
        <v>1</v>
      </c>
      <c r="C1141" t="s">
        <v>18287</v>
      </c>
      <c r="D1141" t="s">
        <v>4215</v>
      </c>
      <c r="E1141" t="s">
        <v>17334</v>
      </c>
      <c r="F1141">
        <v>3</v>
      </c>
      <c r="N1141" t="s">
        <v>18287</v>
      </c>
    </row>
    <row r="1142" spans="1:14">
      <c r="A1142" t="s">
        <v>17586</v>
      </c>
      <c r="B1142">
        <v>1</v>
      </c>
      <c r="C1142" t="s">
        <v>18288</v>
      </c>
      <c r="D1142" t="s">
        <v>4215</v>
      </c>
      <c r="E1142" t="s">
        <v>17334</v>
      </c>
      <c r="F1142">
        <v>3</v>
      </c>
      <c r="N1142" t="s">
        <v>18288</v>
      </c>
    </row>
    <row r="1143" spans="1:14">
      <c r="A1143" t="s">
        <v>17587</v>
      </c>
      <c r="B1143">
        <v>1</v>
      </c>
      <c r="C1143" t="s">
        <v>18289</v>
      </c>
      <c r="D1143" t="s">
        <v>4215</v>
      </c>
      <c r="E1143" t="s">
        <v>17334</v>
      </c>
      <c r="F1143">
        <v>3</v>
      </c>
      <c r="N1143" t="s">
        <v>18289</v>
      </c>
    </row>
    <row r="1144" spans="1:14">
      <c r="A1144" t="s">
        <v>17588</v>
      </c>
      <c r="B1144">
        <v>1</v>
      </c>
      <c r="C1144" t="s">
        <v>18290</v>
      </c>
      <c r="D1144" t="s">
        <v>4215</v>
      </c>
      <c r="E1144" t="s">
        <v>17334</v>
      </c>
      <c r="F1144">
        <v>3</v>
      </c>
      <c r="N1144" t="s">
        <v>18290</v>
      </c>
    </row>
    <row r="1145" spans="1:14">
      <c r="A1145" t="s">
        <v>17589</v>
      </c>
      <c r="B1145">
        <v>1</v>
      </c>
      <c r="C1145" t="s">
        <v>18291</v>
      </c>
      <c r="D1145" t="s">
        <v>4215</v>
      </c>
      <c r="E1145" t="s">
        <v>17334</v>
      </c>
      <c r="F1145">
        <v>3</v>
      </c>
      <c r="N1145" t="s">
        <v>18291</v>
      </c>
    </row>
    <row r="1146" spans="1:14">
      <c r="A1146" t="s">
        <v>17644</v>
      </c>
      <c r="B1146">
        <v>1</v>
      </c>
      <c r="C1146" t="s">
        <v>18292</v>
      </c>
      <c r="D1146" t="s">
        <v>4215</v>
      </c>
      <c r="E1146" t="s">
        <v>17334</v>
      </c>
      <c r="F1146">
        <v>3</v>
      </c>
      <c r="N1146" t="s">
        <v>18292</v>
      </c>
    </row>
    <row r="1147" spans="1:14">
      <c r="A1147" t="s">
        <v>17645</v>
      </c>
      <c r="B1147">
        <v>1</v>
      </c>
      <c r="C1147" t="s">
        <v>18293</v>
      </c>
      <c r="D1147" t="s">
        <v>4215</v>
      </c>
      <c r="E1147" t="s">
        <v>17334</v>
      </c>
      <c r="F1147">
        <v>3</v>
      </c>
      <c r="N1147" t="s">
        <v>18293</v>
      </c>
    </row>
    <row r="1148" spans="1:14">
      <c r="A1148" t="s">
        <v>17646</v>
      </c>
      <c r="B1148">
        <v>1</v>
      </c>
      <c r="C1148" t="s">
        <v>18294</v>
      </c>
      <c r="D1148" t="s">
        <v>4215</v>
      </c>
      <c r="E1148" t="s">
        <v>17334</v>
      </c>
      <c r="F1148">
        <v>3</v>
      </c>
      <c r="N1148" t="s">
        <v>18294</v>
      </c>
    </row>
    <row r="1149" spans="1:14">
      <c r="A1149" t="s">
        <v>17647</v>
      </c>
      <c r="B1149">
        <v>1</v>
      </c>
      <c r="C1149" t="s">
        <v>18295</v>
      </c>
      <c r="D1149" t="s">
        <v>4215</v>
      </c>
      <c r="E1149" t="s">
        <v>17334</v>
      </c>
      <c r="F1149">
        <v>3</v>
      </c>
      <c r="N1149" t="s">
        <v>18295</v>
      </c>
    </row>
    <row r="1150" spans="1:14">
      <c r="A1150" t="s">
        <v>17648</v>
      </c>
      <c r="B1150">
        <v>1</v>
      </c>
      <c r="C1150" t="s">
        <v>18296</v>
      </c>
      <c r="D1150" t="s">
        <v>4215</v>
      </c>
      <c r="E1150" t="s">
        <v>17334</v>
      </c>
      <c r="F1150">
        <v>3</v>
      </c>
      <c r="N1150" t="s">
        <v>18296</v>
      </c>
    </row>
    <row r="1151" spans="1:14">
      <c r="A1151" t="s">
        <v>17649</v>
      </c>
      <c r="B1151">
        <v>1</v>
      </c>
      <c r="C1151" t="s">
        <v>18297</v>
      </c>
      <c r="D1151" t="s">
        <v>4215</v>
      </c>
      <c r="E1151" t="s">
        <v>17334</v>
      </c>
      <c r="F1151">
        <v>3</v>
      </c>
      <c r="N1151" t="s">
        <v>18297</v>
      </c>
    </row>
    <row r="1152" spans="1:14">
      <c r="A1152" t="s">
        <v>17650</v>
      </c>
      <c r="B1152">
        <v>1</v>
      </c>
      <c r="C1152" t="s">
        <v>18298</v>
      </c>
      <c r="D1152" t="s">
        <v>4215</v>
      </c>
      <c r="E1152" t="s">
        <v>17334</v>
      </c>
      <c r="F1152">
        <v>3</v>
      </c>
      <c r="N1152" t="s">
        <v>18298</v>
      </c>
    </row>
    <row r="1153" spans="1:14">
      <c r="A1153" t="s">
        <v>17651</v>
      </c>
      <c r="B1153">
        <v>1</v>
      </c>
      <c r="C1153" t="s">
        <v>18299</v>
      </c>
      <c r="D1153" t="s">
        <v>4215</v>
      </c>
      <c r="E1153" t="s">
        <v>17334</v>
      </c>
      <c r="F1153">
        <v>3</v>
      </c>
      <c r="N1153" t="s">
        <v>18299</v>
      </c>
    </row>
    <row r="1154" spans="1:14">
      <c r="A1154" t="s">
        <v>17652</v>
      </c>
      <c r="B1154">
        <v>1</v>
      </c>
      <c r="C1154" t="s">
        <v>18300</v>
      </c>
      <c r="D1154" t="s">
        <v>4215</v>
      </c>
      <c r="E1154" t="s">
        <v>17334</v>
      </c>
      <c r="F1154">
        <v>3</v>
      </c>
      <c r="N1154" t="s">
        <v>18300</v>
      </c>
    </row>
    <row r="1155" spans="1:14">
      <c r="A1155" t="s">
        <v>17653</v>
      </c>
      <c r="B1155">
        <v>1</v>
      </c>
      <c r="C1155" t="s">
        <v>18301</v>
      </c>
      <c r="D1155" t="s">
        <v>4215</v>
      </c>
      <c r="E1155" t="s">
        <v>17334</v>
      </c>
      <c r="F1155">
        <v>3</v>
      </c>
      <c r="N1155" t="s">
        <v>18301</v>
      </c>
    </row>
    <row r="1156" spans="1:14">
      <c r="A1156" t="s">
        <v>17654</v>
      </c>
      <c r="B1156">
        <v>1</v>
      </c>
      <c r="C1156" t="s">
        <v>18302</v>
      </c>
      <c r="D1156" t="s">
        <v>4215</v>
      </c>
      <c r="E1156" t="s">
        <v>17334</v>
      </c>
      <c r="F1156">
        <v>3</v>
      </c>
      <c r="N1156" t="s">
        <v>18302</v>
      </c>
    </row>
    <row r="1157" spans="1:14">
      <c r="A1157" t="s">
        <v>17655</v>
      </c>
      <c r="B1157">
        <v>1</v>
      </c>
      <c r="C1157" t="s">
        <v>18303</v>
      </c>
      <c r="D1157" t="s">
        <v>4215</v>
      </c>
      <c r="E1157" t="s">
        <v>17334</v>
      </c>
      <c r="F1157">
        <v>3</v>
      </c>
      <c r="N1157" t="s">
        <v>18303</v>
      </c>
    </row>
    <row r="1158" spans="1:14">
      <c r="A1158" t="s">
        <v>17656</v>
      </c>
      <c r="B1158">
        <v>1</v>
      </c>
      <c r="C1158" t="s">
        <v>18304</v>
      </c>
      <c r="D1158" t="s">
        <v>4215</v>
      </c>
      <c r="E1158" t="s">
        <v>17334</v>
      </c>
      <c r="F1158">
        <v>3</v>
      </c>
      <c r="N1158" t="s">
        <v>18304</v>
      </c>
    </row>
    <row r="1159" spans="1:14">
      <c r="A1159" t="s">
        <v>17657</v>
      </c>
      <c r="B1159">
        <v>1</v>
      </c>
      <c r="C1159" t="s">
        <v>18305</v>
      </c>
      <c r="D1159" t="s">
        <v>4215</v>
      </c>
      <c r="E1159" t="s">
        <v>17334</v>
      </c>
      <c r="F1159">
        <v>3</v>
      </c>
      <c r="N1159" t="s">
        <v>18305</v>
      </c>
    </row>
    <row r="1160" spans="1:14">
      <c r="A1160" t="s">
        <v>17658</v>
      </c>
      <c r="B1160">
        <v>1</v>
      </c>
      <c r="C1160" t="s">
        <v>18306</v>
      </c>
      <c r="D1160" t="s">
        <v>4215</v>
      </c>
      <c r="E1160" t="s">
        <v>17334</v>
      </c>
      <c r="F1160">
        <v>3</v>
      </c>
      <c r="N1160" t="s">
        <v>18306</v>
      </c>
    </row>
    <row r="1161" spans="1:14">
      <c r="A1161" t="s">
        <v>17659</v>
      </c>
      <c r="B1161">
        <v>1</v>
      </c>
      <c r="C1161" t="s">
        <v>18307</v>
      </c>
      <c r="D1161" t="s">
        <v>4215</v>
      </c>
      <c r="E1161" t="s">
        <v>17334</v>
      </c>
      <c r="F1161">
        <v>3</v>
      </c>
      <c r="N1161" t="s">
        <v>18307</v>
      </c>
    </row>
    <row r="1162" spans="1:14">
      <c r="A1162" t="s">
        <v>17660</v>
      </c>
      <c r="B1162">
        <v>1</v>
      </c>
      <c r="C1162" t="s">
        <v>18308</v>
      </c>
      <c r="D1162" t="s">
        <v>4215</v>
      </c>
      <c r="E1162" t="s">
        <v>17334</v>
      </c>
      <c r="F1162">
        <v>3</v>
      </c>
      <c r="N1162" t="s">
        <v>18308</v>
      </c>
    </row>
    <row r="1163" spans="1:14">
      <c r="A1163" t="s">
        <v>17661</v>
      </c>
      <c r="B1163">
        <v>1</v>
      </c>
      <c r="C1163" t="s">
        <v>18309</v>
      </c>
      <c r="D1163" t="s">
        <v>4215</v>
      </c>
      <c r="E1163" t="s">
        <v>17334</v>
      </c>
      <c r="F1163">
        <v>3</v>
      </c>
      <c r="N1163" t="s">
        <v>18309</v>
      </c>
    </row>
    <row r="1164" spans="1:14">
      <c r="A1164" t="s">
        <v>17662</v>
      </c>
      <c r="B1164">
        <v>1</v>
      </c>
      <c r="C1164" t="s">
        <v>18310</v>
      </c>
      <c r="D1164" t="s">
        <v>4215</v>
      </c>
      <c r="E1164" t="s">
        <v>17334</v>
      </c>
      <c r="F1164">
        <v>3</v>
      </c>
      <c r="N1164" t="s">
        <v>18310</v>
      </c>
    </row>
    <row r="1165" spans="1:14">
      <c r="A1165" t="s">
        <v>17663</v>
      </c>
      <c r="B1165">
        <v>1</v>
      </c>
      <c r="C1165" t="s">
        <v>18311</v>
      </c>
      <c r="D1165" t="s">
        <v>4215</v>
      </c>
      <c r="E1165" t="s">
        <v>17334</v>
      </c>
      <c r="F1165">
        <v>3</v>
      </c>
      <c r="N1165" t="s">
        <v>18311</v>
      </c>
    </row>
    <row r="1166" spans="1:14">
      <c r="A1166" t="s">
        <v>17664</v>
      </c>
      <c r="B1166">
        <v>1</v>
      </c>
      <c r="C1166" t="s">
        <v>18312</v>
      </c>
      <c r="D1166" t="s">
        <v>4215</v>
      </c>
      <c r="E1166" t="s">
        <v>17334</v>
      </c>
      <c r="F1166">
        <v>3</v>
      </c>
      <c r="N1166" t="s">
        <v>18312</v>
      </c>
    </row>
    <row r="1167" spans="1:14">
      <c r="A1167" t="s">
        <v>17665</v>
      </c>
      <c r="B1167">
        <v>1</v>
      </c>
      <c r="C1167" t="s">
        <v>18313</v>
      </c>
      <c r="D1167" t="s">
        <v>4215</v>
      </c>
      <c r="E1167" t="s">
        <v>17334</v>
      </c>
      <c r="F1167">
        <v>3</v>
      </c>
      <c r="N1167" t="s">
        <v>18313</v>
      </c>
    </row>
    <row r="1168" spans="1:14">
      <c r="A1168" t="s">
        <v>17666</v>
      </c>
      <c r="B1168">
        <v>1</v>
      </c>
      <c r="C1168" t="s">
        <v>18314</v>
      </c>
      <c r="D1168" t="s">
        <v>4215</v>
      </c>
      <c r="E1168" t="s">
        <v>17334</v>
      </c>
      <c r="F1168">
        <v>3</v>
      </c>
      <c r="N1168" t="s">
        <v>18314</v>
      </c>
    </row>
    <row r="1169" spans="1:14">
      <c r="A1169" t="s">
        <v>17667</v>
      </c>
      <c r="B1169">
        <v>1</v>
      </c>
      <c r="C1169" t="s">
        <v>18315</v>
      </c>
      <c r="D1169" t="s">
        <v>4215</v>
      </c>
      <c r="E1169" t="s">
        <v>17334</v>
      </c>
      <c r="F1169">
        <v>3</v>
      </c>
      <c r="N1169" t="s">
        <v>18315</v>
      </c>
    </row>
    <row r="1170" spans="1:14">
      <c r="A1170" t="s">
        <v>17668</v>
      </c>
      <c r="B1170">
        <v>1</v>
      </c>
      <c r="C1170" t="s">
        <v>18316</v>
      </c>
      <c r="D1170" t="s">
        <v>4215</v>
      </c>
      <c r="E1170" t="s">
        <v>17334</v>
      </c>
      <c r="F1170">
        <v>3</v>
      </c>
      <c r="N1170" t="s">
        <v>18316</v>
      </c>
    </row>
    <row r="1171" spans="1:14">
      <c r="A1171" t="s">
        <v>17669</v>
      </c>
      <c r="B1171">
        <v>1</v>
      </c>
      <c r="C1171" t="s">
        <v>18317</v>
      </c>
      <c r="D1171" t="s">
        <v>4215</v>
      </c>
      <c r="E1171" t="s">
        <v>17334</v>
      </c>
      <c r="F1171">
        <v>3</v>
      </c>
      <c r="N1171" t="s">
        <v>18317</v>
      </c>
    </row>
    <row r="1172" spans="1:14">
      <c r="A1172" t="s">
        <v>17670</v>
      </c>
      <c r="B1172">
        <v>1</v>
      </c>
      <c r="C1172" t="s">
        <v>18318</v>
      </c>
      <c r="D1172" t="s">
        <v>4215</v>
      </c>
      <c r="E1172" t="s">
        <v>17334</v>
      </c>
      <c r="F1172">
        <v>3</v>
      </c>
      <c r="N1172" t="s">
        <v>18318</v>
      </c>
    </row>
    <row r="1173" spans="1:14">
      <c r="A1173" t="s">
        <v>17671</v>
      </c>
      <c r="B1173">
        <v>1</v>
      </c>
      <c r="C1173" t="s">
        <v>18319</v>
      </c>
      <c r="D1173" t="s">
        <v>4215</v>
      </c>
      <c r="E1173" t="s">
        <v>17334</v>
      </c>
      <c r="F1173">
        <v>3</v>
      </c>
      <c r="N1173" t="s">
        <v>18319</v>
      </c>
    </row>
    <row r="1174" spans="1:14">
      <c r="A1174" t="s">
        <v>17672</v>
      </c>
      <c r="B1174">
        <v>1</v>
      </c>
      <c r="C1174" t="s">
        <v>18320</v>
      </c>
      <c r="D1174" t="s">
        <v>4215</v>
      </c>
      <c r="E1174" t="s">
        <v>17334</v>
      </c>
      <c r="F1174">
        <v>3</v>
      </c>
      <c r="N1174" t="s">
        <v>18320</v>
      </c>
    </row>
    <row r="1175" spans="1:14">
      <c r="A1175" t="s">
        <v>17673</v>
      </c>
      <c r="B1175">
        <v>1</v>
      </c>
      <c r="C1175" t="s">
        <v>18321</v>
      </c>
      <c r="D1175" t="s">
        <v>4215</v>
      </c>
      <c r="E1175" t="s">
        <v>17334</v>
      </c>
      <c r="F1175">
        <v>3</v>
      </c>
      <c r="N1175" t="s">
        <v>18321</v>
      </c>
    </row>
    <row r="1176" spans="1:14">
      <c r="A1176" t="s">
        <v>17674</v>
      </c>
      <c r="B1176">
        <v>1</v>
      </c>
      <c r="C1176" t="s">
        <v>18322</v>
      </c>
      <c r="D1176" t="s">
        <v>4215</v>
      </c>
      <c r="E1176" t="s">
        <v>17334</v>
      </c>
      <c r="F1176">
        <v>3</v>
      </c>
      <c r="N1176" t="s">
        <v>18322</v>
      </c>
    </row>
    <row r="1177" spans="1:14">
      <c r="A1177" t="s">
        <v>17675</v>
      </c>
      <c r="B1177">
        <v>1</v>
      </c>
      <c r="C1177" t="s">
        <v>18323</v>
      </c>
      <c r="D1177" t="s">
        <v>4215</v>
      </c>
      <c r="E1177" t="s">
        <v>17334</v>
      </c>
      <c r="F1177">
        <v>3</v>
      </c>
      <c r="N1177" t="s">
        <v>18323</v>
      </c>
    </row>
    <row r="1178" spans="1:14">
      <c r="A1178" t="s">
        <v>17676</v>
      </c>
      <c r="B1178">
        <v>1</v>
      </c>
      <c r="C1178" t="s">
        <v>18324</v>
      </c>
      <c r="D1178" t="s">
        <v>4215</v>
      </c>
      <c r="E1178" t="s">
        <v>17334</v>
      </c>
      <c r="F1178">
        <v>3</v>
      </c>
      <c r="N1178" t="s">
        <v>18324</v>
      </c>
    </row>
    <row r="1179" spans="1:14">
      <c r="A1179" t="s">
        <v>17677</v>
      </c>
      <c r="B1179">
        <v>1</v>
      </c>
      <c r="C1179" t="s">
        <v>18325</v>
      </c>
      <c r="D1179" t="s">
        <v>4215</v>
      </c>
      <c r="E1179" t="s">
        <v>17334</v>
      </c>
      <c r="F1179">
        <v>3</v>
      </c>
      <c r="N1179" t="s">
        <v>18325</v>
      </c>
    </row>
    <row r="1180" spans="1:14">
      <c r="A1180" t="s">
        <v>17678</v>
      </c>
      <c r="B1180">
        <v>1</v>
      </c>
      <c r="C1180" t="s">
        <v>18326</v>
      </c>
      <c r="D1180" t="s">
        <v>4215</v>
      </c>
      <c r="E1180" t="s">
        <v>17334</v>
      </c>
      <c r="F1180">
        <v>3</v>
      </c>
      <c r="N1180" t="s">
        <v>18326</v>
      </c>
    </row>
    <row r="1181" spans="1:14">
      <c r="A1181" t="s">
        <v>17679</v>
      </c>
      <c r="B1181">
        <v>1</v>
      </c>
      <c r="C1181" t="s">
        <v>18327</v>
      </c>
      <c r="D1181" t="s">
        <v>4215</v>
      </c>
      <c r="E1181" t="s">
        <v>17334</v>
      </c>
      <c r="F1181">
        <v>3</v>
      </c>
      <c r="N1181" t="s">
        <v>18327</v>
      </c>
    </row>
    <row r="1182" spans="1:14">
      <c r="A1182" t="s">
        <v>17680</v>
      </c>
      <c r="B1182">
        <v>1</v>
      </c>
      <c r="C1182" t="s">
        <v>18328</v>
      </c>
      <c r="D1182" t="s">
        <v>4215</v>
      </c>
      <c r="E1182" t="s">
        <v>17334</v>
      </c>
      <c r="F1182">
        <v>3</v>
      </c>
      <c r="N1182" t="s">
        <v>18328</v>
      </c>
    </row>
    <row r="1183" spans="1:14">
      <c r="A1183" t="s">
        <v>17681</v>
      </c>
      <c r="B1183">
        <v>1</v>
      </c>
      <c r="C1183" t="s">
        <v>18329</v>
      </c>
      <c r="D1183" t="s">
        <v>4215</v>
      </c>
      <c r="E1183" t="s">
        <v>17334</v>
      </c>
      <c r="F1183">
        <v>3</v>
      </c>
      <c r="N1183" t="s">
        <v>18329</v>
      </c>
    </row>
    <row r="1184" spans="1:14">
      <c r="A1184" t="s">
        <v>17682</v>
      </c>
      <c r="B1184">
        <v>1</v>
      </c>
      <c r="C1184" t="s">
        <v>18330</v>
      </c>
      <c r="D1184" t="s">
        <v>4215</v>
      </c>
      <c r="E1184" t="s">
        <v>17334</v>
      </c>
      <c r="F1184">
        <v>3</v>
      </c>
      <c r="N1184" t="s">
        <v>18330</v>
      </c>
    </row>
    <row r="1185" spans="1:14">
      <c r="A1185" t="s">
        <v>17683</v>
      </c>
      <c r="B1185">
        <v>1</v>
      </c>
      <c r="C1185" t="s">
        <v>18331</v>
      </c>
      <c r="D1185" t="s">
        <v>4215</v>
      </c>
      <c r="E1185" t="s">
        <v>17334</v>
      </c>
      <c r="F1185">
        <v>3</v>
      </c>
      <c r="N1185" t="s">
        <v>18331</v>
      </c>
    </row>
    <row r="1186" spans="1:14">
      <c r="A1186" t="s">
        <v>17684</v>
      </c>
      <c r="B1186">
        <v>1</v>
      </c>
      <c r="C1186" t="s">
        <v>18332</v>
      </c>
      <c r="D1186" t="s">
        <v>4215</v>
      </c>
      <c r="E1186" t="s">
        <v>17334</v>
      </c>
      <c r="F1186">
        <v>3</v>
      </c>
      <c r="N1186" t="s">
        <v>18332</v>
      </c>
    </row>
    <row r="1187" spans="1:14">
      <c r="A1187" t="s">
        <v>17685</v>
      </c>
      <c r="B1187">
        <v>1</v>
      </c>
      <c r="C1187" t="s">
        <v>18333</v>
      </c>
      <c r="D1187" t="s">
        <v>4215</v>
      </c>
      <c r="E1187" t="s">
        <v>17334</v>
      </c>
      <c r="F1187">
        <v>3</v>
      </c>
      <c r="N1187" t="s">
        <v>18333</v>
      </c>
    </row>
    <row r="1188" spans="1:14">
      <c r="A1188" t="s">
        <v>17686</v>
      </c>
      <c r="B1188">
        <v>1</v>
      </c>
      <c r="C1188" t="s">
        <v>18334</v>
      </c>
      <c r="D1188" t="s">
        <v>4215</v>
      </c>
      <c r="E1188" t="s">
        <v>17334</v>
      </c>
      <c r="F1188">
        <v>3</v>
      </c>
      <c r="N1188" t="s">
        <v>18334</v>
      </c>
    </row>
    <row r="1189" spans="1:14">
      <c r="A1189" t="s">
        <v>17687</v>
      </c>
      <c r="B1189">
        <v>1</v>
      </c>
      <c r="C1189" t="s">
        <v>18335</v>
      </c>
      <c r="D1189" t="s">
        <v>4215</v>
      </c>
      <c r="E1189" t="s">
        <v>17334</v>
      </c>
      <c r="F1189">
        <v>3</v>
      </c>
      <c r="N1189" t="s">
        <v>18335</v>
      </c>
    </row>
    <row r="1190" spans="1:14">
      <c r="A1190" t="s">
        <v>17688</v>
      </c>
      <c r="B1190">
        <v>1</v>
      </c>
      <c r="C1190" t="s">
        <v>18336</v>
      </c>
      <c r="D1190" t="s">
        <v>4215</v>
      </c>
      <c r="E1190" t="s">
        <v>17334</v>
      </c>
      <c r="F1190">
        <v>3</v>
      </c>
      <c r="N1190" t="s">
        <v>18336</v>
      </c>
    </row>
    <row r="1191" spans="1:14">
      <c r="A1191" t="s">
        <v>17689</v>
      </c>
      <c r="B1191">
        <v>1</v>
      </c>
      <c r="C1191" t="s">
        <v>18337</v>
      </c>
      <c r="D1191" t="s">
        <v>4215</v>
      </c>
      <c r="E1191" t="s">
        <v>17334</v>
      </c>
      <c r="F1191">
        <v>3</v>
      </c>
      <c r="N1191" t="s">
        <v>18337</v>
      </c>
    </row>
    <row r="1192" spans="1:14">
      <c r="A1192" t="s">
        <v>17690</v>
      </c>
      <c r="B1192">
        <v>1</v>
      </c>
      <c r="C1192" t="s">
        <v>18338</v>
      </c>
      <c r="D1192" t="s">
        <v>4215</v>
      </c>
      <c r="E1192" t="s">
        <v>17334</v>
      </c>
      <c r="F1192">
        <v>3</v>
      </c>
      <c r="N1192" t="s">
        <v>18338</v>
      </c>
    </row>
    <row r="1193" spans="1:14">
      <c r="A1193" t="s">
        <v>17691</v>
      </c>
      <c r="B1193">
        <v>1</v>
      </c>
      <c r="C1193" t="s">
        <v>18339</v>
      </c>
      <c r="D1193" t="s">
        <v>4215</v>
      </c>
      <c r="E1193" t="s">
        <v>17334</v>
      </c>
      <c r="F1193">
        <v>3</v>
      </c>
      <c r="N1193" t="s">
        <v>18339</v>
      </c>
    </row>
    <row r="1194" spans="1:14">
      <c r="A1194" t="s">
        <v>17692</v>
      </c>
      <c r="B1194">
        <v>1</v>
      </c>
      <c r="C1194" t="s">
        <v>18340</v>
      </c>
      <c r="D1194" t="s">
        <v>4215</v>
      </c>
      <c r="E1194" t="s">
        <v>17334</v>
      </c>
      <c r="F1194">
        <v>3</v>
      </c>
      <c r="N1194" t="s">
        <v>18340</v>
      </c>
    </row>
    <row r="1195" spans="1:14">
      <c r="A1195" t="s">
        <v>17693</v>
      </c>
      <c r="B1195">
        <v>1</v>
      </c>
      <c r="C1195" t="s">
        <v>18341</v>
      </c>
      <c r="D1195" t="s">
        <v>4215</v>
      </c>
      <c r="E1195" t="s">
        <v>17334</v>
      </c>
      <c r="F1195">
        <v>3</v>
      </c>
      <c r="N1195" t="s">
        <v>18341</v>
      </c>
    </row>
    <row r="1196" spans="1:14">
      <c r="A1196" t="s">
        <v>17694</v>
      </c>
      <c r="B1196">
        <v>1</v>
      </c>
      <c r="C1196" t="s">
        <v>18342</v>
      </c>
      <c r="D1196" t="s">
        <v>4215</v>
      </c>
      <c r="E1196" t="s">
        <v>17334</v>
      </c>
      <c r="F1196">
        <v>3</v>
      </c>
      <c r="N1196" t="s">
        <v>18342</v>
      </c>
    </row>
    <row r="1197" spans="1:14">
      <c r="A1197" t="s">
        <v>17695</v>
      </c>
      <c r="B1197">
        <v>1</v>
      </c>
      <c r="C1197" t="s">
        <v>18343</v>
      </c>
      <c r="D1197" t="s">
        <v>4215</v>
      </c>
      <c r="E1197" t="s">
        <v>17334</v>
      </c>
      <c r="F1197">
        <v>3</v>
      </c>
      <c r="N1197" t="s">
        <v>18343</v>
      </c>
    </row>
    <row r="1198" spans="1:14">
      <c r="A1198" t="s">
        <v>17696</v>
      </c>
      <c r="B1198">
        <v>1</v>
      </c>
      <c r="C1198" t="s">
        <v>18344</v>
      </c>
      <c r="D1198" t="s">
        <v>4215</v>
      </c>
      <c r="E1198" t="s">
        <v>17334</v>
      </c>
      <c r="F1198">
        <v>3</v>
      </c>
      <c r="N1198" t="s">
        <v>18344</v>
      </c>
    </row>
    <row r="1199" spans="1:14">
      <c r="A1199" t="s">
        <v>17697</v>
      </c>
      <c r="B1199">
        <v>1</v>
      </c>
      <c r="C1199" t="s">
        <v>18345</v>
      </c>
      <c r="D1199" t="s">
        <v>4215</v>
      </c>
      <c r="E1199" t="s">
        <v>17334</v>
      </c>
      <c r="F1199">
        <v>3</v>
      </c>
      <c r="N1199" t="s">
        <v>18345</v>
      </c>
    </row>
    <row r="1200" spans="1:14">
      <c r="A1200" t="s">
        <v>17698</v>
      </c>
      <c r="B1200">
        <v>1</v>
      </c>
      <c r="C1200" t="s">
        <v>18346</v>
      </c>
      <c r="D1200" t="s">
        <v>4215</v>
      </c>
      <c r="E1200" t="s">
        <v>17334</v>
      </c>
      <c r="F1200">
        <v>3</v>
      </c>
      <c r="N1200" t="s">
        <v>18346</v>
      </c>
    </row>
    <row r="1201" spans="1:14">
      <c r="A1201" t="s">
        <v>17699</v>
      </c>
      <c r="B1201">
        <v>1</v>
      </c>
      <c r="C1201" t="s">
        <v>18347</v>
      </c>
      <c r="D1201" t="s">
        <v>4215</v>
      </c>
      <c r="E1201" t="s">
        <v>17334</v>
      </c>
      <c r="F1201">
        <v>3</v>
      </c>
      <c r="N1201" t="s">
        <v>18347</v>
      </c>
    </row>
    <row r="1202" spans="1:14">
      <c r="A1202" t="s">
        <v>17463</v>
      </c>
      <c r="B1202">
        <v>1</v>
      </c>
      <c r="C1202" t="s">
        <v>18131</v>
      </c>
      <c r="D1202" t="s">
        <v>4843</v>
      </c>
      <c r="E1202" t="s">
        <v>17334</v>
      </c>
      <c r="F1202">
        <v>0</v>
      </c>
      <c r="N1202" t="s">
        <v>18131</v>
      </c>
    </row>
    <row r="1203" spans="1:14">
      <c r="A1203" t="s">
        <v>18520</v>
      </c>
      <c r="C1203" t="s">
        <v>18491</v>
      </c>
      <c r="D1203" t="s">
        <v>12500</v>
      </c>
      <c r="E1203" t="s">
        <v>17334</v>
      </c>
      <c r="F1203">
        <v>2</v>
      </c>
      <c r="N1203" t="s">
        <v>18491</v>
      </c>
    </row>
    <row r="1204" spans="1:14">
      <c r="A1204" t="s">
        <v>17700</v>
      </c>
      <c r="B1204">
        <v>1</v>
      </c>
      <c r="C1204" t="s">
        <v>18349</v>
      </c>
      <c r="D1204" t="s">
        <v>12500</v>
      </c>
      <c r="E1204" t="s">
        <v>17334</v>
      </c>
      <c r="F1204">
        <v>2</v>
      </c>
      <c r="N1204" t="s">
        <v>18349</v>
      </c>
    </row>
    <row r="1205" spans="1:14">
      <c r="A1205" t="s">
        <v>17701</v>
      </c>
      <c r="B1205">
        <v>1</v>
      </c>
      <c r="C1205" t="s">
        <v>18350</v>
      </c>
      <c r="D1205" t="s">
        <v>4805</v>
      </c>
      <c r="E1205" t="s">
        <v>17334</v>
      </c>
      <c r="F1205">
        <v>2</v>
      </c>
      <c r="N1205" t="s">
        <v>18350</v>
      </c>
    </row>
    <row r="1206" spans="1:14">
      <c r="A1206" t="s">
        <v>12953</v>
      </c>
      <c r="B1206">
        <v>1</v>
      </c>
      <c r="C1206" t="s">
        <v>18351</v>
      </c>
      <c r="D1206" t="s">
        <v>12500</v>
      </c>
      <c r="E1206" t="s">
        <v>17334</v>
      </c>
      <c r="F1206">
        <v>2</v>
      </c>
      <c r="N1206" t="s">
        <v>18351</v>
      </c>
    </row>
    <row r="1207" spans="1:14">
      <c r="A1207" t="s">
        <v>12957</v>
      </c>
      <c r="B1207">
        <v>1</v>
      </c>
      <c r="C1207" t="s">
        <v>18352</v>
      </c>
      <c r="D1207" t="s">
        <v>12500</v>
      </c>
      <c r="E1207" t="s">
        <v>17334</v>
      </c>
      <c r="F1207">
        <v>2</v>
      </c>
      <c r="N1207" t="s">
        <v>18352</v>
      </c>
    </row>
    <row r="1208" spans="1:14">
      <c r="A1208" t="s">
        <v>12961</v>
      </c>
      <c r="B1208">
        <v>1</v>
      </c>
      <c r="C1208" t="s">
        <v>18353</v>
      </c>
      <c r="D1208" t="s">
        <v>12500</v>
      </c>
      <c r="E1208" t="s">
        <v>17334</v>
      </c>
      <c r="F1208">
        <v>2</v>
      </c>
      <c r="N1208" t="s">
        <v>18353</v>
      </c>
    </row>
    <row r="1209" spans="1:14">
      <c r="A1209" t="s">
        <v>12965</v>
      </c>
      <c r="B1209">
        <v>1</v>
      </c>
      <c r="C1209" t="s">
        <v>18354</v>
      </c>
      <c r="D1209" t="s">
        <v>12500</v>
      </c>
      <c r="E1209" t="s">
        <v>17334</v>
      </c>
      <c r="F1209">
        <v>2</v>
      </c>
      <c r="N1209" t="s">
        <v>18354</v>
      </c>
    </row>
    <row r="1210" spans="1:14">
      <c r="A1210" t="s">
        <v>12971</v>
      </c>
      <c r="B1210">
        <v>1</v>
      </c>
      <c r="C1210" t="s">
        <v>18355</v>
      </c>
      <c r="D1210" t="s">
        <v>12500</v>
      </c>
      <c r="E1210" t="s">
        <v>17334</v>
      </c>
      <c r="F1210">
        <v>2</v>
      </c>
      <c r="N1210" t="s">
        <v>18355</v>
      </c>
    </row>
    <row r="1211" spans="1:14">
      <c r="A1211" t="s">
        <v>12974</v>
      </c>
      <c r="B1211">
        <v>1</v>
      </c>
      <c r="C1211" t="s">
        <v>18356</v>
      </c>
      <c r="D1211" t="s">
        <v>12500</v>
      </c>
      <c r="E1211" t="s">
        <v>17334</v>
      </c>
      <c r="F1211">
        <v>2</v>
      </c>
      <c r="N1211" t="s">
        <v>18356</v>
      </c>
    </row>
    <row r="1212" spans="1:14">
      <c r="A1212" t="s">
        <v>12977</v>
      </c>
      <c r="B1212">
        <v>1</v>
      </c>
      <c r="C1212" t="s">
        <v>18357</v>
      </c>
      <c r="D1212" t="s">
        <v>12500</v>
      </c>
      <c r="E1212" t="s">
        <v>17334</v>
      </c>
      <c r="F1212">
        <v>2</v>
      </c>
      <c r="N1212" t="s">
        <v>18357</v>
      </c>
    </row>
    <row r="1213" spans="1:14">
      <c r="A1213" t="s">
        <v>12980</v>
      </c>
      <c r="B1213">
        <v>1</v>
      </c>
      <c r="C1213" t="s">
        <v>18358</v>
      </c>
      <c r="D1213" t="s">
        <v>12500</v>
      </c>
      <c r="E1213" t="s">
        <v>17334</v>
      </c>
      <c r="F1213">
        <v>2</v>
      </c>
      <c r="N1213" t="s">
        <v>18358</v>
      </c>
    </row>
    <row r="1214" spans="1:14">
      <c r="A1214" t="s">
        <v>12983</v>
      </c>
      <c r="B1214">
        <v>1</v>
      </c>
      <c r="C1214" t="s">
        <v>18359</v>
      </c>
      <c r="D1214" t="s">
        <v>12500</v>
      </c>
      <c r="E1214" t="s">
        <v>17334</v>
      </c>
      <c r="F1214">
        <v>2</v>
      </c>
      <c r="N1214" t="s">
        <v>18359</v>
      </c>
    </row>
    <row r="1215" spans="1:14">
      <c r="A1215" t="s">
        <v>12985</v>
      </c>
      <c r="B1215">
        <v>1</v>
      </c>
      <c r="C1215" t="s">
        <v>18360</v>
      </c>
      <c r="D1215" t="s">
        <v>12500</v>
      </c>
      <c r="E1215" t="s">
        <v>17334</v>
      </c>
      <c r="F1215">
        <v>2</v>
      </c>
      <c r="N1215" t="s">
        <v>18360</v>
      </c>
    </row>
    <row r="1216" spans="1:14">
      <c r="A1216" t="s">
        <v>12987</v>
      </c>
      <c r="B1216">
        <v>1</v>
      </c>
      <c r="C1216" t="s">
        <v>18361</v>
      </c>
      <c r="D1216" t="s">
        <v>12500</v>
      </c>
      <c r="E1216" t="s">
        <v>17334</v>
      </c>
      <c r="F1216">
        <v>2</v>
      </c>
      <c r="N1216" t="s">
        <v>18361</v>
      </c>
    </row>
    <row r="1217" spans="1:14">
      <c r="A1217" t="s">
        <v>12989</v>
      </c>
      <c r="B1217">
        <v>1</v>
      </c>
      <c r="C1217" t="s">
        <v>18362</v>
      </c>
      <c r="D1217" t="s">
        <v>12500</v>
      </c>
      <c r="E1217" t="s">
        <v>17334</v>
      </c>
      <c r="F1217">
        <v>2</v>
      </c>
      <c r="N1217" t="s">
        <v>18362</v>
      </c>
    </row>
    <row r="1218" spans="1:14">
      <c r="A1218" t="s">
        <v>12991</v>
      </c>
      <c r="B1218">
        <v>1</v>
      </c>
      <c r="C1218" t="s">
        <v>18363</v>
      </c>
      <c r="D1218" t="s">
        <v>12500</v>
      </c>
      <c r="E1218" t="s">
        <v>17334</v>
      </c>
      <c r="F1218">
        <v>2</v>
      </c>
      <c r="N1218" t="s">
        <v>18363</v>
      </c>
    </row>
    <row r="1219" spans="1:14">
      <c r="A1219" t="s">
        <v>12993</v>
      </c>
      <c r="B1219">
        <v>1</v>
      </c>
      <c r="C1219" t="s">
        <v>18364</v>
      </c>
      <c r="D1219" t="s">
        <v>12500</v>
      </c>
      <c r="E1219" t="s">
        <v>17334</v>
      </c>
      <c r="F1219">
        <v>2</v>
      </c>
      <c r="N1219" t="s">
        <v>18364</v>
      </c>
    </row>
    <row r="1220" spans="1:14">
      <c r="A1220" t="s">
        <v>12995</v>
      </c>
      <c r="B1220">
        <v>1</v>
      </c>
      <c r="C1220" t="s">
        <v>18365</v>
      </c>
      <c r="D1220" t="s">
        <v>12500</v>
      </c>
      <c r="E1220" t="s">
        <v>17334</v>
      </c>
      <c r="F1220">
        <v>2</v>
      </c>
      <c r="N1220" t="s">
        <v>18365</v>
      </c>
    </row>
    <row r="1221" spans="1:14">
      <c r="A1221" t="s">
        <v>12997</v>
      </c>
      <c r="B1221">
        <v>1</v>
      </c>
      <c r="C1221" t="s">
        <v>18366</v>
      </c>
      <c r="D1221" t="s">
        <v>12500</v>
      </c>
      <c r="E1221" t="s">
        <v>17334</v>
      </c>
      <c r="F1221">
        <v>2</v>
      </c>
      <c r="N1221" t="s">
        <v>18366</v>
      </c>
    </row>
    <row r="1222" spans="1:14">
      <c r="A1222" t="s">
        <v>12999</v>
      </c>
      <c r="B1222">
        <v>1</v>
      </c>
      <c r="C1222" t="s">
        <v>18367</v>
      </c>
      <c r="D1222" t="s">
        <v>12500</v>
      </c>
      <c r="E1222" t="s">
        <v>17334</v>
      </c>
      <c r="F1222">
        <v>2</v>
      </c>
      <c r="N1222" t="s">
        <v>18367</v>
      </c>
    </row>
    <row r="1223" spans="1:14">
      <c r="A1223" t="s">
        <v>13002</v>
      </c>
      <c r="B1223">
        <v>1</v>
      </c>
      <c r="C1223" t="s">
        <v>18368</v>
      </c>
      <c r="D1223" t="s">
        <v>12500</v>
      </c>
      <c r="E1223" t="s">
        <v>17334</v>
      </c>
      <c r="F1223">
        <v>2</v>
      </c>
      <c r="N1223" t="s">
        <v>18368</v>
      </c>
    </row>
    <row r="1224" spans="1:14">
      <c r="A1224" t="s">
        <v>13004</v>
      </c>
      <c r="B1224">
        <v>1</v>
      </c>
      <c r="C1224" t="s">
        <v>18369</v>
      </c>
      <c r="D1224" t="s">
        <v>12500</v>
      </c>
      <c r="E1224" t="s">
        <v>17334</v>
      </c>
      <c r="F1224">
        <v>2</v>
      </c>
      <c r="N1224" t="s">
        <v>18369</v>
      </c>
    </row>
    <row r="1225" spans="1:14">
      <c r="A1225" t="s">
        <v>13006</v>
      </c>
      <c r="B1225">
        <v>1</v>
      </c>
      <c r="C1225" t="s">
        <v>18370</v>
      </c>
      <c r="D1225" t="s">
        <v>12500</v>
      </c>
      <c r="E1225" t="s">
        <v>17334</v>
      </c>
      <c r="F1225">
        <v>2</v>
      </c>
      <c r="N1225" t="s">
        <v>18370</v>
      </c>
    </row>
    <row r="1226" spans="1:14">
      <c r="A1226" t="s">
        <v>13008</v>
      </c>
      <c r="B1226">
        <v>1</v>
      </c>
      <c r="C1226" t="s">
        <v>18371</v>
      </c>
      <c r="D1226" t="s">
        <v>12500</v>
      </c>
      <c r="E1226" t="s">
        <v>17334</v>
      </c>
      <c r="F1226">
        <v>2</v>
      </c>
      <c r="N1226" t="s">
        <v>18371</v>
      </c>
    </row>
    <row r="1227" spans="1:14">
      <c r="A1227" t="s">
        <v>13010</v>
      </c>
      <c r="B1227">
        <v>1</v>
      </c>
      <c r="C1227" t="s">
        <v>18372</v>
      </c>
      <c r="D1227" t="s">
        <v>12500</v>
      </c>
      <c r="E1227" t="s">
        <v>17334</v>
      </c>
      <c r="F1227">
        <v>2</v>
      </c>
      <c r="N1227" t="s">
        <v>18372</v>
      </c>
    </row>
    <row r="1228" spans="1:14">
      <c r="A1228" t="s">
        <v>13012</v>
      </c>
      <c r="B1228">
        <v>1</v>
      </c>
      <c r="C1228" t="s">
        <v>18373</v>
      </c>
      <c r="D1228" t="s">
        <v>12500</v>
      </c>
      <c r="E1228" t="s">
        <v>17334</v>
      </c>
      <c r="F1228">
        <v>2</v>
      </c>
      <c r="N1228" t="s">
        <v>18373</v>
      </c>
    </row>
    <row r="1229" spans="1:14">
      <c r="A1229" t="s">
        <v>13014</v>
      </c>
      <c r="B1229">
        <v>1</v>
      </c>
      <c r="C1229" t="s">
        <v>18374</v>
      </c>
      <c r="D1229" t="s">
        <v>12500</v>
      </c>
      <c r="E1229" t="s">
        <v>17334</v>
      </c>
      <c r="F1229">
        <v>2</v>
      </c>
      <c r="N1229" t="s">
        <v>18374</v>
      </c>
    </row>
    <row r="1230" spans="1:14">
      <c r="A1230" t="s">
        <v>13016</v>
      </c>
      <c r="B1230">
        <v>1</v>
      </c>
      <c r="C1230" t="s">
        <v>18375</v>
      </c>
      <c r="D1230" t="s">
        <v>12500</v>
      </c>
      <c r="E1230" t="s">
        <v>17334</v>
      </c>
      <c r="F1230">
        <v>2</v>
      </c>
      <c r="N1230" t="s">
        <v>18375</v>
      </c>
    </row>
    <row r="1231" spans="1:14">
      <c r="A1231" t="s">
        <v>13018</v>
      </c>
      <c r="B1231">
        <v>1</v>
      </c>
      <c r="C1231" t="s">
        <v>18376</v>
      </c>
      <c r="D1231" t="s">
        <v>12500</v>
      </c>
      <c r="E1231" t="s">
        <v>17334</v>
      </c>
      <c r="F1231">
        <v>2</v>
      </c>
      <c r="N1231" t="s">
        <v>18376</v>
      </c>
    </row>
    <row r="1232" spans="1:14">
      <c r="A1232" t="s">
        <v>13044</v>
      </c>
      <c r="B1232">
        <v>1</v>
      </c>
      <c r="C1232" t="s">
        <v>18377</v>
      </c>
      <c r="D1232" t="s">
        <v>13021</v>
      </c>
      <c r="E1232" t="s">
        <v>17334</v>
      </c>
      <c r="F1232">
        <v>2</v>
      </c>
      <c r="N1232" t="s">
        <v>18377</v>
      </c>
    </row>
    <row r="1233" spans="1:14">
      <c r="A1233" t="s">
        <v>13047</v>
      </c>
      <c r="B1233">
        <v>1</v>
      </c>
      <c r="C1233" t="s">
        <v>18378</v>
      </c>
      <c r="D1233" t="s">
        <v>13021</v>
      </c>
      <c r="E1233" t="s">
        <v>17334</v>
      </c>
      <c r="F1233">
        <v>2</v>
      </c>
      <c r="N1233" t="s">
        <v>18378</v>
      </c>
    </row>
    <row r="1234" spans="1:14">
      <c r="A1234" t="s">
        <v>13050</v>
      </c>
      <c r="B1234">
        <v>1</v>
      </c>
      <c r="C1234" t="s">
        <v>18379</v>
      </c>
      <c r="D1234" t="s">
        <v>13021</v>
      </c>
      <c r="E1234" t="s">
        <v>17334</v>
      </c>
      <c r="F1234">
        <v>2</v>
      </c>
      <c r="N1234" t="s">
        <v>18379</v>
      </c>
    </row>
    <row r="1235" spans="1:14">
      <c r="A1235" t="s">
        <v>13053</v>
      </c>
      <c r="B1235">
        <v>1</v>
      </c>
      <c r="C1235" t="s">
        <v>18380</v>
      </c>
      <c r="D1235" t="s">
        <v>13021</v>
      </c>
      <c r="E1235" t="s">
        <v>17334</v>
      </c>
      <c r="F1235">
        <v>2</v>
      </c>
      <c r="N1235" t="s">
        <v>18380</v>
      </c>
    </row>
    <row r="1236" spans="1:14">
      <c r="A1236" t="s">
        <v>13069</v>
      </c>
      <c r="B1236">
        <v>1</v>
      </c>
      <c r="C1236" t="s">
        <v>18381</v>
      </c>
      <c r="D1236" t="s">
        <v>13021</v>
      </c>
      <c r="E1236" t="s">
        <v>17334</v>
      </c>
      <c r="F1236">
        <v>2</v>
      </c>
      <c r="N1236" t="s">
        <v>18381</v>
      </c>
    </row>
    <row r="1237" spans="1:14">
      <c r="A1237" t="s">
        <v>13071</v>
      </c>
      <c r="B1237">
        <v>1</v>
      </c>
      <c r="C1237" t="s">
        <v>18382</v>
      </c>
      <c r="D1237" t="s">
        <v>13021</v>
      </c>
      <c r="E1237" t="s">
        <v>17334</v>
      </c>
      <c r="F1237">
        <v>2</v>
      </c>
      <c r="N1237" t="s">
        <v>18382</v>
      </c>
    </row>
    <row r="1238" spans="1:14">
      <c r="A1238" t="s">
        <v>13073</v>
      </c>
      <c r="B1238">
        <v>1</v>
      </c>
      <c r="C1238" t="s">
        <v>18383</v>
      </c>
      <c r="D1238" t="s">
        <v>13021</v>
      </c>
      <c r="E1238" t="s">
        <v>17334</v>
      </c>
      <c r="F1238">
        <v>2</v>
      </c>
      <c r="N1238" t="s">
        <v>18383</v>
      </c>
    </row>
    <row r="1239" spans="1:14">
      <c r="A1239" t="s">
        <v>13075</v>
      </c>
      <c r="B1239">
        <v>1</v>
      </c>
      <c r="C1239" t="s">
        <v>18384</v>
      </c>
      <c r="D1239" t="s">
        <v>13021</v>
      </c>
      <c r="E1239" t="s">
        <v>17334</v>
      </c>
      <c r="F1239">
        <v>2</v>
      </c>
      <c r="N1239" t="s">
        <v>18384</v>
      </c>
    </row>
    <row r="1240" spans="1:14">
      <c r="A1240" t="s">
        <v>13090</v>
      </c>
      <c r="B1240">
        <v>1</v>
      </c>
      <c r="C1240" t="s">
        <v>18385</v>
      </c>
      <c r="D1240" t="s">
        <v>13021</v>
      </c>
      <c r="E1240" t="s">
        <v>17334</v>
      </c>
      <c r="F1240">
        <v>2</v>
      </c>
      <c r="N1240" t="s">
        <v>18385</v>
      </c>
    </row>
    <row r="1241" spans="1:14">
      <c r="A1241" t="s">
        <v>13092</v>
      </c>
      <c r="B1241">
        <v>1</v>
      </c>
      <c r="C1241" t="s">
        <v>18386</v>
      </c>
      <c r="D1241" t="s">
        <v>13021</v>
      </c>
      <c r="E1241" t="s">
        <v>17334</v>
      </c>
      <c r="F1241">
        <v>2</v>
      </c>
      <c r="N1241" t="s">
        <v>18386</v>
      </c>
    </row>
    <row r="1242" spans="1:14">
      <c r="A1242" t="s">
        <v>13094</v>
      </c>
      <c r="B1242">
        <v>1</v>
      </c>
      <c r="C1242" t="s">
        <v>18387</v>
      </c>
      <c r="D1242" t="s">
        <v>13021</v>
      </c>
      <c r="E1242" t="s">
        <v>17334</v>
      </c>
      <c r="F1242">
        <v>2</v>
      </c>
      <c r="N1242" t="s">
        <v>18387</v>
      </c>
    </row>
    <row r="1243" spans="1:14">
      <c r="A1243" t="s">
        <v>13096</v>
      </c>
      <c r="B1243">
        <v>1</v>
      </c>
      <c r="C1243" t="s">
        <v>18388</v>
      </c>
      <c r="D1243" t="s">
        <v>13021</v>
      </c>
      <c r="E1243" t="s">
        <v>17334</v>
      </c>
      <c r="F1243">
        <v>2</v>
      </c>
      <c r="N1243" t="s">
        <v>18388</v>
      </c>
    </row>
    <row r="1244" spans="1:14">
      <c r="A1244" t="s">
        <v>17702</v>
      </c>
      <c r="B1244">
        <v>1</v>
      </c>
      <c r="C1244" t="s">
        <v>18389</v>
      </c>
      <c r="D1244" t="s">
        <v>12566</v>
      </c>
      <c r="E1244" t="s">
        <v>17334</v>
      </c>
      <c r="F1244">
        <v>1</v>
      </c>
      <c r="N1244" t="s">
        <v>18389</v>
      </c>
    </row>
    <row r="1245" spans="1:14">
      <c r="A1245" t="s">
        <v>17703</v>
      </c>
      <c r="B1245">
        <v>1</v>
      </c>
      <c r="C1245" t="s">
        <v>18390</v>
      </c>
      <c r="D1245" t="s">
        <v>4843</v>
      </c>
      <c r="E1245" t="s">
        <v>17334</v>
      </c>
      <c r="F1245">
        <v>0</v>
      </c>
      <c r="N1245" t="s">
        <v>18390</v>
      </c>
    </row>
    <row r="1246" spans="1:14">
      <c r="A1246" t="s">
        <v>17704</v>
      </c>
      <c r="B1246">
        <v>1</v>
      </c>
      <c r="C1246" t="s">
        <v>18391</v>
      </c>
      <c r="D1246" t="s">
        <v>5981</v>
      </c>
      <c r="E1246" t="s">
        <v>17334</v>
      </c>
      <c r="F1246">
        <v>3</v>
      </c>
      <c r="N1246" t="s">
        <v>18391</v>
      </c>
    </row>
    <row r="1247" spans="1:14">
      <c r="A1247" t="s">
        <v>17705</v>
      </c>
      <c r="B1247">
        <v>1</v>
      </c>
      <c r="C1247" t="s">
        <v>18392</v>
      </c>
      <c r="D1247" t="s">
        <v>5981</v>
      </c>
      <c r="E1247" t="s">
        <v>17334</v>
      </c>
      <c r="F1247">
        <v>3</v>
      </c>
      <c r="N1247" t="s">
        <v>18392</v>
      </c>
    </row>
    <row r="1248" spans="1:14">
      <c r="A1248" t="s">
        <v>17706</v>
      </c>
      <c r="B1248">
        <v>1</v>
      </c>
      <c r="C1248" t="s">
        <v>18393</v>
      </c>
      <c r="D1248" t="s">
        <v>5981</v>
      </c>
      <c r="E1248" t="s">
        <v>17334</v>
      </c>
      <c r="F1248">
        <v>3</v>
      </c>
      <c r="N1248" t="s">
        <v>18393</v>
      </c>
    </row>
    <row r="1249" spans="1:14">
      <c r="A1249" t="s">
        <v>17707</v>
      </c>
      <c r="B1249">
        <v>1</v>
      </c>
      <c r="C1249" t="s">
        <v>18394</v>
      </c>
      <c r="D1249" t="s">
        <v>5981</v>
      </c>
      <c r="E1249" t="s">
        <v>17334</v>
      </c>
      <c r="F1249">
        <v>3</v>
      </c>
      <c r="N1249" t="s">
        <v>18394</v>
      </c>
    </row>
    <row r="1250" spans="1:14">
      <c r="A1250" t="s">
        <v>17708</v>
      </c>
      <c r="B1250">
        <v>1</v>
      </c>
      <c r="C1250" t="s">
        <v>18395</v>
      </c>
      <c r="D1250" t="s">
        <v>5981</v>
      </c>
      <c r="E1250" t="s">
        <v>17334</v>
      </c>
      <c r="F1250">
        <v>3</v>
      </c>
      <c r="N1250" t="s">
        <v>18395</v>
      </c>
    </row>
    <row r="1251" spans="1:14">
      <c r="A1251" t="s">
        <v>17709</v>
      </c>
      <c r="B1251">
        <v>1</v>
      </c>
      <c r="C1251" t="s">
        <v>18396</v>
      </c>
      <c r="D1251" t="s">
        <v>5981</v>
      </c>
      <c r="E1251" t="s">
        <v>17334</v>
      </c>
      <c r="F1251">
        <v>3</v>
      </c>
      <c r="N1251" t="s">
        <v>18396</v>
      </c>
    </row>
    <row r="1252" spans="1:14">
      <c r="A1252" t="s">
        <v>17710</v>
      </c>
      <c r="B1252">
        <v>1</v>
      </c>
      <c r="C1252" t="s">
        <v>18397</v>
      </c>
      <c r="D1252" t="s">
        <v>12500</v>
      </c>
      <c r="E1252" t="s">
        <v>17334</v>
      </c>
      <c r="F1252">
        <v>2</v>
      </c>
      <c r="N1252" t="s">
        <v>18397</v>
      </c>
    </row>
    <row r="1253" spans="1:14">
      <c r="A1253" t="s">
        <v>17711</v>
      </c>
      <c r="B1253">
        <v>1</v>
      </c>
      <c r="C1253" t="s">
        <v>18398</v>
      </c>
      <c r="D1253" t="s">
        <v>12500</v>
      </c>
      <c r="E1253" t="s">
        <v>17334</v>
      </c>
      <c r="F1253">
        <v>2</v>
      </c>
      <c r="N1253" t="s">
        <v>18398</v>
      </c>
    </row>
    <row r="1254" spans="1:14">
      <c r="A1254" t="s">
        <v>17712</v>
      </c>
      <c r="B1254">
        <v>1</v>
      </c>
      <c r="C1254" t="s">
        <v>18399</v>
      </c>
      <c r="D1254" t="s">
        <v>12500</v>
      </c>
      <c r="E1254" t="s">
        <v>17334</v>
      </c>
      <c r="F1254">
        <v>2</v>
      </c>
      <c r="N1254" t="s">
        <v>18399</v>
      </c>
    </row>
    <row r="1255" spans="1:14">
      <c r="A1255" t="s">
        <v>17713</v>
      </c>
      <c r="B1255">
        <v>1</v>
      </c>
      <c r="C1255" t="s">
        <v>18400</v>
      </c>
      <c r="D1255" t="s">
        <v>12500</v>
      </c>
      <c r="E1255" t="s">
        <v>17334</v>
      </c>
      <c r="F1255">
        <v>2</v>
      </c>
      <c r="N1255" t="s">
        <v>18400</v>
      </c>
    </row>
    <row r="1256" spans="1:14">
      <c r="A1256" t="s">
        <v>17714</v>
      </c>
      <c r="B1256">
        <v>1</v>
      </c>
      <c r="C1256" t="s">
        <v>18401</v>
      </c>
      <c r="D1256" t="s">
        <v>12500</v>
      </c>
      <c r="E1256" t="s">
        <v>17334</v>
      </c>
      <c r="F1256">
        <v>2</v>
      </c>
      <c r="N1256" t="s">
        <v>18401</v>
      </c>
    </row>
    <row r="1257" spans="1:14">
      <c r="A1257" t="s">
        <v>17715</v>
      </c>
      <c r="B1257">
        <v>1</v>
      </c>
      <c r="C1257" t="s">
        <v>18402</v>
      </c>
      <c r="D1257" t="s">
        <v>12500</v>
      </c>
      <c r="E1257" t="s">
        <v>17334</v>
      </c>
      <c r="F1257">
        <v>2</v>
      </c>
      <c r="N1257" t="s">
        <v>18402</v>
      </c>
    </row>
    <row r="1258" spans="1:14">
      <c r="A1258" t="s">
        <v>17716</v>
      </c>
      <c r="B1258">
        <v>1</v>
      </c>
      <c r="C1258" t="s">
        <v>18403</v>
      </c>
      <c r="D1258" t="s">
        <v>4843</v>
      </c>
      <c r="E1258" t="s">
        <v>17334</v>
      </c>
      <c r="F1258">
        <v>0</v>
      </c>
      <c r="N1258" t="s">
        <v>18403</v>
      </c>
    </row>
    <row r="1259" spans="1:14">
      <c r="A1259" t="s">
        <v>17717</v>
      </c>
      <c r="B1259">
        <v>1</v>
      </c>
      <c r="C1259" t="s">
        <v>18404</v>
      </c>
      <c r="D1259" t="s">
        <v>4843</v>
      </c>
      <c r="E1259" t="s">
        <v>17334</v>
      </c>
      <c r="F1259">
        <v>0</v>
      </c>
      <c r="N1259" t="s">
        <v>18404</v>
      </c>
    </row>
    <row r="1260" spans="1:14">
      <c r="A1260" t="s">
        <v>17719</v>
      </c>
      <c r="C1260" t="s">
        <v>18405</v>
      </c>
      <c r="D1260" t="s">
        <v>12574</v>
      </c>
      <c r="E1260" t="s">
        <v>17334</v>
      </c>
      <c r="F1260">
        <v>0</v>
      </c>
      <c r="N1260" t="s">
        <v>18405</v>
      </c>
    </row>
    <row r="1261" spans="1:14">
      <c r="A1261" t="s">
        <v>17718</v>
      </c>
      <c r="C1261" t="s">
        <v>18406</v>
      </c>
      <c r="D1261" t="s">
        <v>12574</v>
      </c>
      <c r="E1261" t="s">
        <v>17334</v>
      </c>
      <c r="F1261">
        <v>0</v>
      </c>
      <c r="N1261" t="s">
        <v>18406</v>
      </c>
    </row>
    <row r="1262" spans="1:14">
      <c r="A1262" t="s">
        <v>17720</v>
      </c>
      <c r="B1262">
        <v>1</v>
      </c>
      <c r="C1262" t="s">
        <v>18126</v>
      </c>
      <c r="D1262" t="s">
        <v>4215</v>
      </c>
      <c r="E1262" t="s">
        <v>17334</v>
      </c>
      <c r="F1262">
        <v>3</v>
      </c>
      <c r="N1262" t="s">
        <v>18126</v>
      </c>
    </row>
    <row r="1263" spans="1:14">
      <c r="A1263" t="s">
        <v>17721</v>
      </c>
      <c r="B1263">
        <v>1</v>
      </c>
      <c r="C1263" t="s">
        <v>18130</v>
      </c>
      <c r="D1263" t="s">
        <v>4215</v>
      </c>
      <c r="E1263" t="s">
        <v>17334</v>
      </c>
      <c r="F1263">
        <v>3</v>
      </c>
      <c r="N1263" t="s">
        <v>18130</v>
      </c>
    </row>
    <row r="1264" spans="1:14">
      <c r="A1264" t="s">
        <v>17722</v>
      </c>
      <c r="B1264">
        <v>1</v>
      </c>
      <c r="C1264" t="s">
        <v>17930</v>
      </c>
      <c r="D1264" t="s">
        <v>4215</v>
      </c>
      <c r="E1264" t="s">
        <v>17334</v>
      </c>
      <c r="F1264">
        <v>3</v>
      </c>
      <c r="N1264" t="s">
        <v>17930</v>
      </c>
    </row>
    <row r="1265" spans="1:14">
      <c r="A1265" t="s">
        <v>17723</v>
      </c>
      <c r="B1265">
        <v>1</v>
      </c>
      <c r="C1265" t="s">
        <v>17931</v>
      </c>
      <c r="D1265" t="s">
        <v>4215</v>
      </c>
      <c r="E1265" t="s">
        <v>17334</v>
      </c>
      <c r="F1265">
        <v>3</v>
      </c>
      <c r="N1265" t="s">
        <v>17931</v>
      </c>
    </row>
    <row r="1266" spans="1:14">
      <c r="A1266" t="s">
        <v>17724</v>
      </c>
      <c r="B1266">
        <v>1</v>
      </c>
      <c r="C1266" t="s">
        <v>17932</v>
      </c>
      <c r="D1266" t="s">
        <v>4215</v>
      </c>
      <c r="E1266" t="s">
        <v>17334</v>
      </c>
      <c r="F1266">
        <v>3</v>
      </c>
      <c r="N1266" t="s">
        <v>17932</v>
      </c>
    </row>
    <row r="1267" spans="1:14">
      <c r="A1267" t="s">
        <v>17725</v>
      </c>
      <c r="B1267">
        <v>1</v>
      </c>
      <c r="C1267" t="s">
        <v>17933</v>
      </c>
      <c r="D1267" t="s">
        <v>4215</v>
      </c>
      <c r="E1267" t="s">
        <v>17334</v>
      </c>
      <c r="F1267">
        <v>3</v>
      </c>
      <c r="N1267" t="s">
        <v>17933</v>
      </c>
    </row>
    <row r="1268" spans="1:14">
      <c r="A1268" t="s">
        <v>17726</v>
      </c>
      <c r="B1268">
        <v>1</v>
      </c>
      <c r="C1268" t="s">
        <v>18492</v>
      </c>
      <c r="D1268" t="s">
        <v>4215</v>
      </c>
      <c r="E1268" t="s">
        <v>17334</v>
      </c>
      <c r="F1268">
        <v>3</v>
      </c>
      <c r="N1268" t="s">
        <v>18492</v>
      </c>
    </row>
    <row r="1269" spans="1:14">
      <c r="A1269" t="s">
        <v>17727</v>
      </c>
      <c r="B1269">
        <v>1</v>
      </c>
      <c r="C1269" t="s">
        <v>17935</v>
      </c>
      <c r="D1269" t="s">
        <v>4215</v>
      </c>
      <c r="E1269" t="s">
        <v>17334</v>
      </c>
      <c r="F1269">
        <v>3</v>
      </c>
      <c r="N1269" t="s">
        <v>17935</v>
      </c>
    </row>
    <row r="1270" spans="1:14">
      <c r="A1270" t="s">
        <v>17728</v>
      </c>
      <c r="B1270">
        <v>1</v>
      </c>
      <c r="C1270" t="s">
        <v>17936</v>
      </c>
      <c r="D1270" t="s">
        <v>4215</v>
      </c>
      <c r="E1270" t="s">
        <v>17334</v>
      </c>
      <c r="F1270">
        <v>3</v>
      </c>
      <c r="N1270" t="s">
        <v>17936</v>
      </c>
    </row>
    <row r="1271" spans="1:14">
      <c r="A1271" t="s">
        <v>17729</v>
      </c>
      <c r="B1271">
        <v>1</v>
      </c>
      <c r="C1271" t="s">
        <v>18492</v>
      </c>
      <c r="D1271" t="s">
        <v>4215</v>
      </c>
      <c r="E1271" t="s">
        <v>17334</v>
      </c>
      <c r="F1271">
        <v>3</v>
      </c>
      <c r="N1271" t="s">
        <v>18492</v>
      </c>
    </row>
    <row r="1272" spans="1:14">
      <c r="A1272" t="s">
        <v>17730</v>
      </c>
      <c r="B1272">
        <v>1</v>
      </c>
      <c r="C1272" t="s">
        <v>17937</v>
      </c>
      <c r="D1272" t="s">
        <v>4215</v>
      </c>
      <c r="E1272" t="s">
        <v>17334</v>
      </c>
      <c r="F1272">
        <v>3</v>
      </c>
      <c r="N1272" t="s">
        <v>17937</v>
      </c>
    </row>
    <row r="1273" spans="1:14">
      <c r="A1273" t="s">
        <v>17731</v>
      </c>
      <c r="B1273">
        <v>1</v>
      </c>
      <c r="C1273" t="s">
        <v>17941</v>
      </c>
      <c r="D1273" t="s">
        <v>4215</v>
      </c>
      <c r="E1273" t="s">
        <v>17334</v>
      </c>
      <c r="F1273">
        <v>3</v>
      </c>
      <c r="N1273" t="s">
        <v>17941</v>
      </c>
    </row>
    <row r="1274" spans="1:14">
      <c r="A1274" t="s">
        <v>17898</v>
      </c>
      <c r="B1274">
        <v>1</v>
      </c>
      <c r="C1274" t="s">
        <v>17942</v>
      </c>
      <c r="D1274" t="s">
        <v>4215</v>
      </c>
      <c r="E1274" t="s">
        <v>17334</v>
      </c>
      <c r="F1274">
        <v>3</v>
      </c>
      <c r="N1274" t="s">
        <v>17942</v>
      </c>
    </row>
    <row r="1275" spans="1:14">
      <c r="A1275" t="s">
        <v>17732</v>
      </c>
      <c r="B1275">
        <v>1</v>
      </c>
      <c r="C1275" t="s">
        <v>17938</v>
      </c>
      <c r="D1275" t="s">
        <v>4215</v>
      </c>
      <c r="E1275" t="s">
        <v>17334</v>
      </c>
      <c r="F1275">
        <v>3</v>
      </c>
      <c r="N1275" t="s">
        <v>17938</v>
      </c>
    </row>
    <row r="1276" spans="1:14">
      <c r="A1276" t="s">
        <v>17914</v>
      </c>
      <c r="B1276">
        <v>1</v>
      </c>
      <c r="C1276" t="s">
        <v>17939</v>
      </c>
      <c r="D1276" t="s">
        <v>4215</v>
      </c>
      <c r="E1276" t="s">
        <v>17334</v>
      </c>
      <c r="F1276">
        <v>3</v>
      </c>
      <c r="N1276" t="s">
        <v>17939</v>
      </c>
    </row>
    <row r="1277" spans="1:14">
      <c r="A1277" t="s">
        <v>17733</v>
      </c>
      <c r="B1277">
        <v>1</v>
      </c>
      <c r="C1277" t="s">
        <v>17943</v>
      </c>
      <c r="D1277" t="s">
        <v>4215</v>
      </c>
      <c r="E1277" t="s">
        <v>17334</v>
      </c>
      <c r="F1277">
        <v>3</v>
      </c>
      <c r="N1277" t="s">
        <v>17943</v>
      </c>
    </row>
    <row r="1278" spans="1:14">
      <c r="A1278" t="s">
        <v>17734</v>
      </c>
      <c r="B1278">
        <v>1</v>
      </c>
      <c r="C1278" t="s">
        <v>17944</v>
      </c>
      <c r="D1278" t="s">
        <v>4215</v>
      </c>
      <c r="E1278" t="s">
        <v>17334</v>
      </c>
      <c r="F1278">
        <v>3</v>
      </c>
      <c r="N1278" t="s">
        <v>17944</v>
      </c>
    </row>
    <row r="1279" spans="1:14">
      <c r="A1279" t="s">
        <v>17735</v>
      </c>
      <c r="B1279">
        <v>1</v>
      </c>
      <c r="C1279" t="s">
        <v>17971</v>
      </c>
      <c r="D1279" t="s">
        <v>4215</v>
      </c>
      <c r="E1279" t="s">
        <v>17334</v>
      </c>
      <c r="F1279">
        <v>3</v>
      </c>
      <c r="N1279" t="s">
        <v>17971</v>
      </c>
    </row>
    <row r="1280" spans="1:14">
      <c r="A1280" t="s">
        <v>17736</v>
      </c>
      <c r="B1280">
        <v>1</v>
      </c>
      <c r="C1280" t="s">
        <v>17972</v>
      </c>
      <c r="D1280" t="s">
        <v>4215</v>
      </c>
      <c r="E1280" t="s">
        <v>17334</v>
      </c>
      <c r="F1280">
        <v>3</v>
      </c>
      <c r="N1280" t="s">
        <v>17972</v>
      </c>
    </row>
    <row r="1281" spans="1:14">
      <c r="A1281" t="s">
        <v>17737</v>
      </c>
      <c r="B1281">
        <v>1</v>
      </c>
      <c r="C1281" t="s">
        <v>18493</v>
      </c>
      <c r="D1281" t="s">
        <v>4215</v>
      </c>
      <c r="E1281" t="s">
        <v>17334</v>
      </c>
      <c r="F1281">
        <v>3</v>
      </c>
      <c r="N1281" t="s">
        <v>18493</v>
      </c>
    </row>
    <row r="1282" spans="1:14">
      <c r="A1282" t="s">
        <v>17738</v>
      </c>
      <c r="B1282">
        <v>1</v>
      </c>
      <c r="C1282" t="s">
        <v>17973</v>
      </c>
      <c r="D1282" t="s">
        <v>4215</v>
      </c>
      <c r="E1282" t="s">
        <v>17334</v>
      </c>
      <c r="F1282">
        <v>3</v>
      </c>
      <c r="N1282" t="s">
        <v>17973</v>
      </c>
    </row>
    <row r="1283" spans="1:14">
      <c r="A1283" t="s">
        <v>17739</v>
      </c>
      <c r="B1283">
        <v>1</v>
      </c>
      <c r="C1283" t="s">
        <v>17974</v>
      </c>
      <c r="D1283" t="s">
        <v>4215</v>
      </c>
      <c r="E1283" t="s">
        <v>17334</v>
      </c>
      <c r="F1283">
        <v>3</v>
      </c>
      <c r="N1283" t="s">
        <v>17974</v>
      </c>
    </row>
    <row r="1284" spans="1:14">
      <c r="A1284" t="s">
        <v>17740</v>
      </c>
      <c r="B1284">
        <v>1</v>
      </c>
      <c r="C1284" t="s">
        <v>18493</v>
      </c>
      <c r="D1284" t="s">
        <v>4215</v>
      </c>
      <c r="E1284" t="s">
        <v>17334</v>
      </c>
      <c r="F1284">
        <v>3</v>
      </c>
      <c r="N1284" t="s">
        <v>18493</v>
      </c>
    </row>
    <row r="1285" spans="1:14">
      <c r="A1285" t="s">
        <v>17741</v>
      </c>
      <c r="B1285">
        <v>1</v>
      </c>
      <c r="C1285" t="s">
        <v>17975</v>
      </c>
      <c r="D1285" t="s">
        <v>4215</v>
      </c>
      <c r="E1285" t="s">
        <v>17334</v>
      </c>
      <c r="F1285">
        <v>3</v>
      </c>
      <c r="N1285" t="s">
        <v>17975</v>
      </c>
    </row>
    <row r="1286" spans="1:14">
      <c r="A1286" t="s">
        <v>17742</v>
      </c>
      <c r="B1286">
        <v>1</v>
      </c>
      <c r="C1286" t="s">
        <v>17946</v>
      </c>
      <c r="D1286" t="s">
        <v>4215</v>
      </c>
      <c r="E1286" t="s">
        <v>17334</v>
      </c>
      <c r="F1286">
        <v>3</v>
      </c>
      <c r="N1286" t="s">
        <v>17946</v>
      </c>
    </row>
    <row r="1287" spans="1:14">
      <c r="A1287" t="s">
        <v>17899</v>
      </c>
      <c r="B1287">
        <v>1</v>
      </c>
      <c r="C1287" t="s">
        <v>17947</v>
      </c>
      <c r="D1287" t="s">
        <v>4215</v>
      </c>
      <c r="E1287" t="s">
        <v>17334</v>
      </c>
      <c r="F1287">
        <v>3</v>
      </c>
      <c r="N1287" t="s">
        <v>17947</v>
      </c>
    </row>
    <row r="1288" spans="1:14">
      <c r="A1288" t="s">
        <v>17743</v>
      </c>
      <c r="B1288">
        <v>1</v>
      </c>
      <c r="C1288" t="s">
        <v>17948</v>
      </c>
      <c r="D1288" t="s">
        <v>4215</v>
      </c>
      <c r="E1288" t="s">
        <v>17334</v>
      </c>
      <c r="F1288">
        <v>3</v>
      </c>
      <c r="N1288" t="s">
        <v>17948</v>
      </c>
    </row>
    <row r="1289" spans="1:14">
      <c r="A1289" t="s">
        <v>17915</v>
      </c>
      <c r="B1289">
        <v>1</v>
      </c>
      <c r="C1289" t="s">
        <v>17949</v>
      </c>
      <c r="D1289" t="s">
        <v>4215</v>
      </c>
      <c r="E1289" t="s">
        <v>17334</v>
      </c>
      <c r="F1289">
        <v>3</v>
      </c>
      <c r="N1289" t="s">
        <v>17949</v>
      </c>
    </row>
    <row r="1290" spans="1:14">
      <c r="A1290" t="s">
        <v>17744</v>
      </c>
      <c r="B1290">
        <v>1</v>
      </c>
      <c r="C1290" t="s">
        <v>17950</v>
      </c>
      <c r="D1290" t="s">
        <v>4215</v>
      </c>
      <c r="E1290" t="s">
        <v>17334</v>
      </c>
      <c r="F1290">
        <v>3</v>
      </c>
      <c r="N1290" t="s">
        <v>17950</v>
      </c>
    </row>
    <row r="1291" spans="1:14">
      <c r="A1291" t="s">
        <v>17745</v>
      </c>
      <c r="B1291">
        <v>1</v>
      </c>
      <c r="C1291" t="s">
        <v>17951</v>
      </c>
      <c r="D1291" t="s">
        <v>4215</v>
      </c>
      <c r="E1291" t="s">
        <v>17334</v>
      </c>
      <c r="F1291">
        <v>3</v>
      </c>
      <c r="N1291" t="s">
        <v>17951</v>
      </c>
    </row>
    <row r="1292" spans="1:14">
      <c r="A1292" t="s">
        <v>17746</v>
      </c>
      <c r="B1292">
        <v>1</v>
      </c>
      <c r="C1292" t="s">
        <v>17976</v>
      </c>
      <c r="D1292" t="s">
        <v>4215</v>
      </c>
      <c r="E1292" t="s">
        <v>17334</v>
      </c>
      <c r="F1292">
        <v>3</v>
      </c>
      <c r="N1292" t="s">
        <v>17976</v>
      </c>
    </row>
    <row r="1293" spans="1:14">
      <c r="A1293" t="s">
        <v>17747</v>
      </c>
      <c r="B1293">
        <v>1</v>
      </c>
      <c r="C1293" t="s">
        <v>17977</v>
      </c>
      <c r="D1293" t="s">
        <v>4215</v>
      </c>
      <c r="E1293" t="s">
        <v>17334</v>
      </c>
      <c r="F1293">
        <v>3</v>
      </c>
      <c r="N1293" t="s">
        <v>17977</v>
      </c>
    </row>
    <row r="1294" spans="1:14">
      <c r="A1294" t="s">
        <v>17748</v>
      </c>
      <c r="B1294">
        <v>1</v>
      </c>
      <c r="C1294" t="s">
        <v>18494</v>
      </c>
      <c r="D1294" t="s">
        <v>4215</v>
      </c>
      <c r="E1294" t="s">
        <v>17334</v>
      </c>
      <c r="F1294">
        <v>3</v>
      </c>
      <c r="N1294" t="s">
        <v>18494</v>
      </c>
    </row>
    <row r="1295" spans="1:14">
      <c r="A1295" t="s">
        <v>17749</v>
      </c>
      <c r="B1295">
        <v>1</v>
      </c>
      <c r="C1295" t="s">
        <v>17978</v>
      </c>
      <c r="D1295" t="s">
        <v>4215</v>
      </c>
      <c r="E1295" t="s">
        <v>17334</v>
      </c>
      <c r="F1295">
        <v>3</v>
      </c>
      <c r="N1295" t="s">
        <v>17978</v>
      </c>
    </row>
    <row r="1296" spans="1:14">
      <c r="A1296" t="s">
        <v>17750</v>
      </c>
      <c r="B1296">
        <v>1</v>
      </c>
      <c r="C1296" t="s">
        <v>17979</v>
      </c>
      <c r="D1296" t="s">
        <v>4215</v>
      </c>
      <c r="E1296" t="s">
        <v>17334</v>
      </c>
      <c r="F1296">
        <v>3</v>
      </c>
      <c r="N1296" t="s">
        <v>17979</v>
      </c>
    </row>
    <row r="1297" spans="1:14">
      <c r="A1297" t="s">
        <v>17751</v>
      </c>
      <c r="B1297">
        <v>1</v>
      </c>
      <c r="C1297" t="s">
        <v>18494</v>
      </c>
      <c r="D1297" t="s">
        <v>4215</v>
      </c>
      <c r="E1297" t="s">
        <v>17334</v>
      </c>
      <c r="F1297">
        <v>3</v>
      </c>
      <c r="N1297" t="s">
        <v>18494</v>
      </c>
    </row>
    <row r="1298" spans="1:14">
      <c r="A1298" t="s">
        <v>17752</v>
      </c>
      <c r="B1298">
        <v>1</v>
      </c>
      <c r="C1298" t="s">
        <v>17980</v>
      </c>
      <c r="D1298" t="s">
        <v>4215</v>
      </c>
      <c r="E1298" t="s">
        <v>17334</v>
      </c>
      <c r="F1298">
        <v>3</v>
      </c>
      <c r="N1298" t="s">
        <v>17980</v>
      </c>
    </row>
    <row r="1299" spans="1:14">
      <c r="A1299" t="s">
        <v>17753</v>
      </c>
      <c r="B1299">
        <v>1</v>
      </c>
      <c r="C1299" t="s">
        <v>17953</v>
      </c>
      <c r="D1299" t="s">
        <v>4215</v>
      </c>
      <c r="E1299" t="s">
        <v>17334</v>
      </c>
      <c r="F1299">
        <v>3</v>
      </c>
      <c r="N1299" t="s">
        <v>17953</v>
      </c>
    </row>
    <row r="1300" spans="1:14">
      <c r="A1300" t="s">
        <v>17900</v>
      </c>
      <c r="B1300">
        <v>1</v>
      </c>
      <c r="C1300" t="s">
        <v>17954</v>
      </c>
      <c r="D1300" t="s">
        <v>4215</v>
      </c>
      <c r="E1300" t="s">
        <v>17334</v>
      </c>
      <c r="F1300">
        <v>3</v>
      </c>
      <c r="N1300" t="s">
        <v>17954</v>
      </c>
    </row>
    <row r="1301" spans="1:14">
      <c r="A1301" t="s">
        <v>17754</v>
      </c>
      <c r="B1301">
        <v>1</v>
      </c>
      <c r="C1301" t="s">
        <v>17955</v>
      </c>
      <c r="D1301" t="s">
        <v>4215</v>
      </c>
      <c r="E1301" t="s">
        <v>17334</v>
      </c>
      <c r="F1301">
        <v>3</v>
      </c>
      <c r="N1301" t="s">
        <v>17955</v>
      </c>
    </row>
    <row r="1302" spans="1:14">
      <c r="A1302" t="s">
        <v>17916</v>
      </c>
      <c r="B1302">
        <v>1</v>
      </c>
      <c r="C1302" t="s">
        <v>17956</v>
      </c>
      <c r="D1302" t="s">
        <v>4215</v>
      </c>
      <c r="E1302" t="s">
        <v>17334</v>
      </c>
      <c r="F1302">
        <v>3</v>
      </c>
      <c r="N1302" t="s">
        <v>17956</v>
      </c>
    </row>
    <row r="1303" spans="1:14">
      <c r="A1303" t="s">
        <v>17755</v>
      </c>
      <c r="B1303">
        <v>1</v>
      </c>
      <c r="C1303" t="s">
        <v>17957</v>
      </c>
      <c r="D1303" t="s">
        <v>4215</v>
      </c>
      <c r="E1303" t="s">
        <v>17334</v>
      </c>
      <c r="F1303">
        <v>3</v>
      </c>
      <c r="N1303" t="s">
        <v>17957</v>
      </c>
    </row>
    <row r="1304" spans="1:14">
      <c r="A1304" t="s">
        <v>17756</v>
      </c>
      <c r="B1304">
        <v>1</v>
      </c>
      <c r="C1304" t="s">
        <v>17958</v>
      </c>
      <c r="D1304" t="s">
        <v>4215</v>
      </c>
      <c r="E1304" t="s">
        <v>17334</v>
      </c>
      <c r="F1304">
        <v>3</v>
      </c>
      <c r="N1304" t="s">
        <v>17958</v>
      </c>
    </row>
    <row r="1305" spans="1:14">
      <c r="A1305" t="s">
        <v>17757</v>
      </c>
      <c r="B1305">
        <v>1</v>
      </c>
      <c r="C1305" t="s">
        <v>17981</v>
      </c>
      <c r="D1305" t="s">
        <v>4215</v>
      </c>
      <c r="E1305" t="s">
        <v>17334</v>
      </c>
      <c r="F1305">
        <v>3</v>
      </c>
      <c r="N1305" t="s">
        <v>17981</v>
      </c>
    </row>
    <row r="1306" spans="1:14">
      <c r="A1306" t="s">
        <v>17758</v>
      </c>
      <c r="B1306">
        <v>1</v>
      </c>
      <c r="C1306" t="s">
        <v>17982</v>
      </c>
      <c r="D1306" t="s">
        <v>4215</v>
      </c>
      <c r="E1306" t="s">
        <v>17334</v>
      </c>
      <c r="F1306">
        <v>3</v>
      </c>
      <c r="N1306" t="s">
        <v>17982</v>
      </c>
    </row>
    <row r="1307" spans="1:14">
      <c r="A1307" t="s">
        <v>17759</v>
      </c>
      <c r="B1307">
        <v>1</v>
      </c>
      <c r="C1307" t="s">
        <v>18495</v>
      </c>
      <c r="D1307" t="s">
        <v>4215</v>
      </c>
      <c r="E1307" t="s">
        <v>17334</v>
      </c>
      <c r="F1307">
        <v>3</v>
      </c>
      <c r="N1307" t="s">
        <v>18495</v>
      </c>
    </row>
    <row r="1308" spans="1:14">
      <c r="A1308" t="s">
        <v>17760</v>
      </c>
      <c r="B1308">
        <v>1</v>
      </c>
      <c r="C1308" t="s">
        <v>17983</v>
      </c>
      <c r="D1308" t="s">
        <v>4215</v>
      </c>
      <c r="E1308" t="s">
        <v>17334</v>
      </c>
      <c r="F1308">
        <v>3</v>
      </c>
      <c r="N1308" t="s">
        <v>17983</v>
      </c>
    </row>
    <row r="1309" spans="1:14">
      <c r="A1309" t="s">
        <v>17761</v>
      </c>
      <c r="B1309">
        <v>1</v>
      </c>
      <c r="C1309" t="s">
        <v>17984</v>
      </c>
      <c r="D1309" t="s">
        <v>4215</v>
      </c>
      <c r="E1309" t="s">
        <v>17334</v>
      </c>
      <c r="F1309">
        <v>3</v>
      </c>
      <c r="N1309" t="s">
        <v>17984</v>
      </c>
    </row>
    <row r="1310" spans="1:14">
      <c r="A1310" t="s">
        <v>17762</v>
      </c>
      <c r="B1310">
        <v>1</v>
      </c>
      <c r="C1310" t="s">
        <v>18495</v>
      </c>
      <c r="D1310" t="s">
        <v>4215</v>
      </c>
      <c r="E1310" t="s">
        <v>17334</v>
      </c>
      <c r="F1310">
        <v>3</v>
      </c>
      <c r="N1310" t="s">
        <v>18495</v>
      </c>
    </row>
    <row r="1311" spans="1:14">
      <c r="A1311" t="s">
        <v>17763</v>
      </c>
      <c r="B1311">
        <v>1</v>
      </c>
      <c r="C1311" t="s">
        <v>17985</v>
      </c>
      <c r="D1311" t="s">
        <v>4215</v>
      </c>
      <c r="E1311" t="s">
        <v>17334</v>
      </c>
      <c r="F1311">
        <v>3</v>
      </c>
      <c r="N1311" t="s">
        <v>17985</v>
      </c>
    </row>
    <row r="1312" spans="1:14">
      <c r="A1312" t="s">
        <v>17764</v>
      </c>
      <c r="B1312">
        <v>1</v>
      </c>
      <c r="C1312" t="s">
        <v>17960</v>
      </c>
      <c r="D1312" t="s">
        <v>4215</v>
      </c>
      <c r="E1312" t="s">
        <v>17334</v>
      </c>
      <c r="F1312">
        <v>3</v>
      </c>
      <c r="N1312" t="s">
        <v>17960</v>
      </c>
    </row>
    <row r="1313" spans="1:14">
      <c r="A1313" t="s">
        <v>17901</v>
      </c>
      <c r="B1313">
        <v>1</v>
      </c>
      <c r="C1313" t="s">
        <v>17961</v>
      </c>
      <c r="D1313" t="s">
        <v>4215</v>
      </c>
      <c r="E1313" t="s">
        <v>17334</v>
      </c>
      <c r="F1313">
        <v>3</v>
      </c>
      <c r="N1313" t="s">
        <v>17961</v>
      </c>
    </row>
    <row r="1314" spans="1:14">
      <c r="A1314" t="s">
        <v>17765</v>
      </c>
      <c r="B1314">
        <v>1</v>
      </c>
      <c r="C1314" t="s">
        <v>17962</v>
      </c>
      <c r="D1314" t="s">
        <v>4215</v>
      </c>
      <c r="E1314" t="s">
        <v>17334</v>
      </c>
      <c r="F1314">
        <v>3</v>
      </c>
      <c r="N1314" t="s">
        <v>17962</v>
      </c>
    </row>
    <row r="1315" spans="1:14">
      <c r="A1315" t="s">
        <v>17917</v>
      </c>
      <c r="B1315">
        <v>1</v>
      </c>
      <c r="C1315" t="s">
        <v>17963</v>
      </c>
      <c r="D1315" t="s">
        <v>4215</v>
      </c>
      <c r="E1315" t="s">
        <v>17334</v>
      </c>
      <c r="F1315">
        <v>3</v>
      </c>
      <c r="N1315" t="s">
        <v>17963</v>
      </c>
    </row>
    <row r="1316" spans="1:14">
      <c r="A1316" t="s">
        <v>17766</v>
      </c>
      <c r="B1316">
        <v>1</v>
      </c>
      <c r="C1316" t="s">
        <v>17964</v>
      </c>
      <c r="D1316" t="s">
        <v>4215</v>
      </c>
      <c r="E1316" t="s">
        <v>17334</v>
      </c>
      <c r="F1316">
        <v>3</v>
      </c>
      <c r="N1316" t="s">
        <v>17964</v>
      </c>
    </row>
    <row r="1317" spans="1:14">
      <c r="A1317" t="s">
        <v>17767</v>
      </c>
      <c r="B1317">
        <v>1</v>
      </c>
      <c r="C1317" t="s">
        <v>17965</v>
      </c>
      <c r="D1317" t="s">
        <v>4215</v>
      </c>
      <c r="E1317" t="s">
        <v>17334</v>
      </c>
      <c r="F1317">
        <v>3</v>
      </c>
      <c r="N1317" t="s">
        <v>17965</v>
      </c>
    </row>
    <row r="1318" spans="1:14">
      <c r="A1318" t="s">
        <v>17768</v>
      </c>
      <c r="B1318">
        <v>1</v>
      </c>
      <c r="C1318" t="s">
        <v>17986</v>
      </c>
      <c r="D1318" t="s">
        <v>4215</v>
      </c>
      <c r="E1318" t="s">
        <v>17334</v>
      </c>
      <c r="F1318">
        <v>3</v>
      </c>
      <c r="N1318" t="s">
        <v>17986</v>
      </c>
    </row>
    <row r="1319" spans="1:14">
      <c r="A1319" t="s">
        <v>17769</v>
      </c>
      <c r="B1319">
        <v>1</v>
      </c>
      <c r="C1319" t="s">
        <v>17987</v>
      </c>
      <c r="D1319" t="s">
        <v>4215</v>
      </c>
      <c r="E1319" t="s">
        <v>17334</v>
      </c>
      <c r="F1319">
        <v>3</v>
      </c>
      <c r="N1319" t="s">
        <v>17987</v>
      </c>
    </row>
    <row r="1320" spans="1:14">
      <c r="A1320" t="s">
        <v>17770</v>
      </c>
      <c r="B1320">
        <v>1</v>
      </c>
      <c r="C1320" t="s">
        <v>18496</v>
      </c>
      <c r="D1320" t="s">
        <v>4215</v>
      </c>
      <c r="E1320" t="s">
        <v>17334</v>
      </c>
      <c r="F1320">
        <v>3</v>
      </c>
      <c r="N1320" t="s">
        <v>18496</v>
      </c>
    </row>
    <row r="1321" spans="1:14">
      <c r="A1321" t="s">
        <v>17771</v>
      </c>
      <c r="B1321">
        <v>1</v>
      </c>
      <c r="C1321" t="s">
        <v>17988</v>
      </c>
      <c r="D1321" t="s">
        <v>4215</v>
      </c>
      <c r="E1321" t="s">
        <v>17334</v>
      </c>
      <c r="F1321">
        <v>3</v>
      </c>
      <c r="N1321" t="s">
        <v>17988</v>
      </c>
    </row>
    <row r="1322" spans="1:14">
      <c r="A1322" t="s">
        <v>17772</v>
      </c>
      <c r="B1322">
        <v>1</v>
      </c>
      <c r="C1322" t="s">
        <v>17989</v>
      </c>
      <c r="D1322" t="s">
        <v>4215</v>
      </c>
      <c r="E1322" t="s">
        <v>17334</v>
      </c>
      <c r="F1322">
        <v>3</v>
      </c>
      <c r="N1322" t="s">
        <v>17989</v>
      </c>
    </row>
    <row r="1323" spans="1:14">
      <c r="A1323" t="s">
        <v>17773</v>
      </c>
      <c r="B1323">
        <v>1</v>
      </c>
      <c r="C1323" t="s">
        <v>18496</v>
      </c>
      <c r="D1323" t="s">
        <v>4215</v>
      </c>
      <c r="E1323" t="s">
        <v>17334</v>
      </c>
      <c r="F1323">
        <v>3</v>
      </c>
      <c r="N1323" t="s">
        <v>18496</v>
      </c>
    </row>
    <row r="1324" spans="1:14">
      <c r="A1324" t="s">
        <v>17774</v>
      </c>
      <c r="B1324">
        <v>1</v>
      </c>
      <c r="C1324" t="s">
        <v>17990</v>
      </c>
      <c r="D1324" t="s">
        <v>4215</v>
      </c>
      <c r="E1324" t="s">
        <v>17334</v>
      </c>
      <c r="F1324">
        <v>3</v>
      </c>
      <c r="N1324" t="s">
        <v>17990</v>
      </c>
    </row>
    <row r="1325" spans="1:14">
      <c r="A1325" t="s">
        <v>17775</v>
      </c>
      <c r="B1325">
        <v>1</v>
      </c>
      <c r="C1325" t="s">
        <v>17967</v>
      </c>
      <c r="D1325" t="s">
        <v>4215</v>
      </c>
      <c r="E1325" t="s">
        <v>17334</v>
      </c>
      <c r="F1325">
        <v>3</v>
      </c>
      <c r="N1325" t="s">
        <v>17967</v>
      </c>
    </row>
    <row r="1326" spans="1:14">
      <c r="A1326" t="s">
        <v>17902</v>
      </c>
      <c r="B1326">
        <v>1</v>
      </c>
      <c r="C1326" t="s">
        <v>17968</v>
      </c>
      <c r="D1326" t="s">
        <v>4215</v>
      </c>
      <c r="E1326" t="s">
        <v>17334</v>
      </c>
      <c r="F1326">
        <v>3</v>
      </c>
      <c r="N1326" t="s">
        <v>17968</v>
      </c>
    </row>
    <row r="1327" spans="1:14">
      <c r="A1327" t="s">
        <v>17776</v>
      </c>
      <c r="B1327">
        <v>1</v>
      </c>
      <c r="C1327" t="s">
        <v>17969</v>
      </c>
      <c r="D1327" t="s">
        <v>4215</v>
      </c>
      <c r="E1327" t="s">
        <v>17334</v>
      </c>
      <c r="F1327">
        <v>3</v>
      </c>
      <c r="N1327" t="s">
        <v>17969</v>
      </c>
    </row>
    <row r="1328" spans="1:14">
      <c r="A1328" t="s">
        <v>17918</v>
      </c>
      <c r="B1328">
        <v>1</v>
      </c>
      <c r="C1328" t="s">
        <v>17970</v>
      </c>
      <c r="D1328" t="s">
        <v>4215</v>
      </c>
      <c r="E1328" t="s">
        <v>17334</v>
      </c>
      <c r="F1328">
        <v>3</v>
      </c>
      <c r="N1328" t="s">
        <v>17970</v>
      </c>
    </row>
    <row r="1329" spans="1:14">
      <c r="A1329" t="s">
        <v>17777</v>
      </c>
      <c r="B1329">
        <v>1</v>
      </c>
      <c r="C1329" t="s">
        <v>17991</v>
      </c>
      <c r="D1329" t="s">
        <v>4215</v>
      </c>
      <c r="E1329" t="s">
        <v>17334</v>
      </c>
      <c r="F1329">
        <v>3</v>
      </c>
      <c r="N1329" t="s">
        <v>17991</v>
      </c>
    </row>
    <row r="1330" spans="1:14">
      <c r="A1330" t="s">
        <v>17778</v>
      </c>
      <c r="B1330">
        <v>1</v>
      </c>
      <c r="C1330" t="s">
        <v>17992</v>
      </c>
      <c r="D1330" t="s">
        <v>4215</v>
      </c>
      <c r="E1330" t="s">
        <v>17334</v>
      </c>
      <c r="F1330">
        <v>3</v>
      </c>
      <c r="N1330" t="s">
        <v>17992</v>
      </c>
    </row>
    <row r="1331" spans="1:14">
      <c r="A1331" t="s">
        <v>17779</v>
      </c>
      <c r="B1331">
        <v>1</v>
      </c>
      <c r="C1331" t="s">
        <v>17993</v>
      </c>
      <c r="D1331" t="s">
        <v>4215</v>
      </c>
      <c r="E1331" t="s">
        <v>17334</v>
      </c>
      <c r="F1331">
        <v>3</v>
      </c>
      <c r="N1331" t="s">
        <v>17993</v>
      </c>
    </row>
    <row r="1332" spans="1:14">
      <c r="A1332" t="s">
        <v>17780</v>
      </c>
      <c r="B1332">
        <v>1</v>
      </c>
      <c r="C1332" t="s">
        <v>17994</v>
      </c>
      <c r="D1332" t="s">
        <v>4215</v>
      </c>
      <c r="E1332" t="s">
        <v>17334</v>
      </c>
      <c r="F1332">
        <v>3</v>
      </c>
      <c r="N1332" t="s">
        <v>17994</v>
      </c>
    </row>
    <row r="1333" spans="1:14">
      <c r="A1333" t="s">
        <v>17781</v>
      </c>
      <c r="B1333">
        <v>1</v>
      </c>
      <c r="C1333" t="s">
        <v>18497</v>
      </c>
      <c r="D1333" t="s">
        <v>4215</v>
      </c>
      <c r="E1333" t="s">
        <v>17334</v>
      </c>
      <c r="F1333">
        <v>3</v>
      </c>
      <c r="N1333" t="s">
        <v>18497</v>
      </c>
    </row>
    <row r="1334" spans="1:14">
      <c r="A1334" t="s">
        <v>17782</v>
      </c>
      <c r="B1334">
        <v>1</v>
      </c>
      <c r="C1334" t="s">
        <v>17996</v>
      </c>
      <c r="D1334" t="s">
        <v>4215</v>
      </c>
      <c r="E1334" t="s">
        <v>17334</v>
      </c>
      <c r="F1334">
        <v>3</v>
      </c>
      <c r="N1334" t="s">
        <v>17996</v>
      </c>
    </row>
    <row r="1335" spans="1:14">
      <c r="A1335" t="s">
        <v>17783</v>
      </c>
      <c r="B1335">
        <v>1</v>
      </c>
      <c r="C1335" t="s">
        <v>17997</v>
      </c>
      <c r="D1335" t="s">
        <v>4215</v>
      </c>
      <c r="E1335" t="s">
        <v>17334</v>
      </c>
      <c r="F1335">
        <v>3</v>
      </c>
      <c r="N1335" t="s">
        <v>17997</v>
      </c>
    </row>
    <row r="1336" spans="1:14">
      <c r="A1336" t="s">
        <v>17784</v>
      </c>
      <c r="B1336">
        <v>1</v>
      </c>
      <c r="C1336" t="s">
        <v>18497</v>
      </c>
      <c r="D1336" t="s">
        <v>4215</v>
      </c>
      <c r="E1336" t="s">
        <v>17334</v>
      </c>
      <c r="F1336">
        <v>3</v>
      </c>
      <c r="N1336" t="s">
        <v>18497</v>
      </c>
    </row>
    <row r="1337" spans="1:14">
      <c r="A1337" t="s">
        <v>17785</v>
      </c>
      <c r="B1337">
        <v>1</v>
      </c>
      <c r="C1337" t="s">
        <v>17998</v>
      </c>
      <c r="D1337" t="s">
        <v>4215</v>
      </c>
      <c r="E1337" t="s">
        <v>17334</v>
      </c>
      <c r="F1337">
        <v>3</v>
      </c>
      <c r="N1337" t="s">
        <v>17998</v>
      </c>
    </row>
    <row r="1338" spans="1:14">
      <c r="A1338" t="s">
        <v>17786</v>
      </c>
      <c r="B1338">
        <v>1</v>
      </c>
      <c r="C1338" t="s">
        <v>17999</v>
      </c>
      <c r="D1338" t="s">
        <v>4215</v>
      </c>
      <c r="E1338" t="s">
        <v>17334</v>
      </c>
      <c r="F1338">
        <v>3</v>
      </c>
      <c r="N1338" t="s">
        <v>17999</v>
      </c>
    </row>
    <row r="1339" spans="1:14">
      <c r="A1339" t="s">
        <v>17903</v>
      </c>
      <c r="B1339">
        <v>1</v>
      </c>
      <c r="C1339" t="s">
        <v>18000</v>
      </c>
      <c r="D1339" t="s">
        <v>4215</v>
      </c>
      <c r="E1339" t="s">
        <v>17334</v>
      </c>
      <c r="F1339">
        <v>3</v>
      </c>
      <c r="N1339" t="s">
        <v>18000</v>
      </c>
    </row>
    <row r="1340" spans="1:14">
      <c r="A1340" t="s">
        <v>17787</v>
      </c>
      <c r="B1340">
        <v>1</v>
      </c>
      <c r="C1340" t="s">
        <v>18001</v>
      </c>
      <c r="D1340" t="s">
        <v>4215</v>
      </c>
      <c r="E1340" t="s">
        <v>17334</v>
      </c>
      <c r="F1340">
        <v>3</v>
      </c>
      <c r="N1340" t="s">
        <v>18001</v>
      </c>
    </row>
    <row r="1341" spans="1:14">
      <c r="A1341" t="s">
        <v>17919</v>
      </c>
      <c r="B1341">
        <v>1</v>
      </c>
      <c r="C1341" t="s">
        <v>18002</v>
      </c>
      <c r="D1341" t="s">
        <v>4215</v>
      </c>
      <c r="E1341" t="s">
        <v>17334</v>
      </c>
      <c r="F1341">
        <v>3</v>
      </c>
      <c r="N1341" t="s">
        <v>18002</v>
      </c>
    </row>
    <row r="1342" spans="1:14">
      <c r="A1342" t="s">
        <v>17788</v>
      </c>
      <c r="B1342">
        <v>1</v>
      </c>
      <c r="C1342" t="s">
        <v>18003</v>
      </c>
      <c r="D1342" t="s">
        <v>4215</v>
      </c>
      <c r="E1342" t="s">
        <v>17334</v>
      </c>
      <c r="F1342">
        <v>3</v>
      </c>
      <c r="N1342" t="s">
        <v>18003</v>
      </c>
    </row>
    <row r="1343" spans="1:14">
      <c r="A1343" t="s">
        <v>17789</v>
      </c>
      <c r="B1343">
        <v>1</v>
      </c>
      <c r="C1343" t="s">
        <v>18004</v>
      </c>
      <c r="D1343" t="s">
        <v>4215</v>
      </c>
      <c r="E1343" t="s">
        <v>17334</v>
      </c>
      <c r="F1343">
        <v>3</v>
      </c>
      <c r="N1343" t="s">
        <v>18004</v>
      </c>
    </row>
    <row r="1344" spans="1:14">
      <c r="A1344" t="s">
        <v>17790</v>
      </c>
      <c r="B1344">
        <v>1</v>
      </c>
      <c r="C1344" t="s">
        <v>18005</v>
      </c>
      <c r="D1344" t="s">
        <v>4215</v>
      </c>
      <c r="E1344" t="s">
        <v>17334</v>
      </c>
      <c r="F1344">
        <v>3</v>
      </c>
      <c r="N1344" t="s">
        <v>18005</v>
      </c>
    </row>
    <row r="1345" spans="1:14">
      <c r="A1345" t="s">
        <v>17791</v>
      </c>
      <c r="B1345">
        <v>1</v>
      </c>
      <c r="C1345" t="s">
        <v>18006</v>
      </c>
      <c r="D1345" t="s">
        <v>4215</v>
      </c>
      <c r="E1345" t="s">
        <v>17334</v>
      </c>
      <c r="F1345">
        <v>3</v>
      </c>
      <c r="N1345" t="s">
        <v>18006</v>
      </c>
    </row>
    <row r="1346" spans="1:14">
      <c r="A1346" t="s">
        <v>17792</v>
      </c>
      <c r="B1346">
        <v>1</v>
      </c>
      <c r="C1346" t="s">
        <v>18498</v>
      </c>
      <c r="D1346" t="s">
        <v>4215</v>
      </c>
      <c r="E1346" t="s">
        <v>17334</v>
      </c>
      <c r="F1346">
        <v>3</v>
      </c>
      <c r="N1346" t="s">
        <v>18498</v>
      </c>
    </row>
    <row r="1347" spans="1:14">
      <c r="A1347" t="s">
        <v>17793</v>
      </c>
      <c r="B1347">
        <v>1</v>
      </c>
      <c r="C1347" t="s">
        <v>18008</v>
      </c>
      <c r="D1347" t="s">
        <v>4215</v>
      </c>
      <c r="E1347" t="s">
        <v>17334</v>
      </c>
      <c r="F1347">
        <v>3</v>
      </c>
      <c r="N1347" t="s">
        <v>18008</v>
      </c>
    </row>
    <row r="1348" spans="1:14">
      <c r="A1348" t="s">
        <v>17794</v>
      </c>
      <c r="B1348">
        <v>1</v>
      </c>
      <c r="C1348" t="s">
        <v>18009</v>
      </c>
      <c r="D1348" t="s">
        <v>4215</v>
      </c>
      <c r="E1348" t="s">
        <v>17334</v>
      </c>
      <c r="F1348">
        <v>3</v>
      </c>
      <c r="N1348" t="s">
        <v>18009</v>
      </c>
    </row>
    <row r="1349" spans="1:14">
      <c r="A1349" t="s">
        <v>17795</v>
      </c>
      <c r="B1349">
        <v>1</v>
      </c>
      <c r="C1349" t="s">
        <v>18498</v>
      </c>
      <c r="D1349" t="s">
        <v>4215</v>
      </c>
      <c r="E1349" t="s">
        <v>17334</v>
      </c>
      <c r="F1349">
        <v>3</v>
      </c>
      <c r="N1349" t="s">
        <v>18498</v>
      </c>
    </row>
    <row r="1350" spans="1:14">
      <c r="A1350" t="s">
        <v>17796</v>
      </c>
      <c r="B1350">
        <v>1</v>
      </c>
      <c r="C1350" t="s">
        <v>18010</v>
      </c>
      <c r="D1350" t="s">
        <v>4215</v>
      </c>
      <c r="E1350" t="s">
        <v>17334</v>
      </c>
      <c r="F1350">
        <v>3</v>
      </c>
      <c r="N1350" t="s">
        <v>18010</v>
      </c>
    </row>
    <row r="1351" spans="1:14">
      <c r="A1351" t="s">
        <v>17797</v>
      </c>
      <c r="B1351">
        <v>1</v>
      </c>
      <c r="C1351" t="s">
        <v>18011</v>
      </c>
      <c r="D1351" t="s">
        <v>4215</v>
      </c>
      <c r="E1351" t="s">
        <v>17334</v>
      </c>
      <c r="F1351">
        <v>3</v>
      </c>
      <c r="N1351" t="s">
        <v>18011</v>
      </c>
    </row>
    <row r="1352" spans="1:14">
      <c r="A1352" t="s">
        <v>17904</v>
      </c>
      <c r="B1352">
        <v>1</v>
      </c>
      <c r="C1352" t="s">
        <v>18012</v>
      </c>
      <c r="D1352" t="s">
        <v>4215</v>
      </c>
      <c r="E1352" t="s">
        <v>17334</v>
      </c>
      <c r="F1352">
        <v>3</v>
      </c>
      <c r="N1352" t="s">
        <v>18012</v>
      </c>
    </row>
    <row r="1353" spans="1:14">
      <c r="A1353" t="s">
        <v>17798</v>
      </c>
      <c r="B1353">
        <v>1</v>
      </c>
      <c r="C1353" t="s">
        <v>18013</v>
      </c>
      <c r="D1353" t="s">
        <v>4215</v>
      </c>
      <c r="E1353" t="s">
        <v>17334</v>
      </c>
      <c r="F1353">
        <v>3</v>
      </c>
      <c r="N1353" t="s">
        <v>18013</v>
      </c>
    </row>
    <row r="1354" spans="1:14">
      <c r="A1354" t="s">
        <v>17920</v>
      </c>
      <c r="B1354">
        <v>1</v>
      </c>
      <c r="C1354" t="s">
        <v>18014</v>
      </c>
      <c r="D1354" t="s">
        <v>4215</v>
      </c>
      <c r="E1354" t="s">
        <v>17334</v>
      </c>
      <c r="F1354">
        <v>3</v>
      </c>
      <c r="N1354" t="s">
        <v>18014</v>
      </c>
    </row>
    <row r="1355" spans="1:14">
      <c r="A1355" t="s">
        <v>17799</v>
      </c>
      <c r="B1355">
        <v>1</v>
      </c>
      <c r="C1355" t="s">
        <v>18015</v>
      </c>
      <c r="D1355" t="s">
        <v>4215</v>
      </c>
      <c r="E1355" t="s">
        <v>17334</v>
      </c>
      <c r="F1355">
        <v>3</v>
      </c>
      <c r="N1355" t="s">
        <v>18015</v>
      </c>
    </row>
    <row r="1356" spans="1:14">
      <c r="A1356" t="s">
        <v>17800</v>
      </c>
      <c r="B1356">
        <v>1</v>
      </c>
      <c r="C1356" t="s">
        <v>18016</v>
      </c>
      <c r="D1356" t="s">
        <v>4215</v>
      </c>
      <c r="E1356" t="s">
        <v>17334</v>
      </c>
      <c r="F1356">
        <v>3</v>
      </c>
      <c r="N1356" t="s">
        <v>18016</v>
      </c>
    </row>
    <row r="1357" spans="1:14">
      <c r="A1357" t="s">
        <v>17801</v>
      </c>
      <c r="B1357">
        <v>1</v>
      </c>
      <c r="C1357" t="s">
        <v>18017</v>
      </c>
      <c r="D1357" t="s">
        <v>4215</v>
      </c>
      <c r="E1357" t="s">
        <v>17334</v>
      </c>
      <c r="F1357">
        <v>3</v>
      </c>
      <c r="N1357" t="s">
        <v>18017</v>
      </c>
    </row>
    <row r="1358" spans="1:14">
      <c r="A1358" t="s">
        <v>17802</v>
      </c>
      <c r="B1358">
        <v>1</v>
      </c>
      <c r="C1358" t="s">
        <v>18018</v>
      </c>
      <c r="D1358" t="s">
        <v>4215</v>
      </c>
      <c r="E1358" t="s">
        <v>17334</v>
      </c>
      <c r="F1358">
        <v>3</v>
      </c>
      <c r="N1358" t="s">
        <v>18018</v>
      </c>
    </row>
    <row r="1359" spans="1:14">
      <c r="A1359" t="s">
        <v>17803</v>
      </c>
      <c r="B1359">
        <v>1</v>
      </c>
      <c r="C1359" t="s">
        <v>18499</v>
      </c>
      <c r="D1359" t="s">
        <v>4215</v>
      </c>
      <c r="E1359" t="s">
        <v>17334</v>
      </c>
      <c r="F1359">
        <v>3</v>
      </c>
      <c r="N1359" t="s">
        <v>18499</v>
      </c>
    </row>
    <row r="1360" spans="1:14">
      <c r="A1360" t="s">
        <v>17804</v>
      </c>
      <c r="B1360">
        <v>1</v>
      </c>
      <c r="C1360" t="s">
        <v>18020</v>
      </c>
      <c r="D1360" t="s">
        <v>4215</v>
      </c>
      <c r="E1360" t="s">
        <v>17334</v>
      </c>
      <c r="F1360">
        <v>3</v>
      </c>
      <c r="N1360" t="s">
        <v>18020</v>
      </c>
    </row>
    <row r="1361" spans="1:14">
      <c r="A1361" t="s">
        <v>17805</v>
      </c>
      <c r="B1361">
        <v>1</v>
      </c>
      <c r="C1361" t="s">
        <v>18021</v>
      </c>
      <c r="D1361" t="s">
        <v>4215</v>
      </c>
      <c r="E1361" t="s">
        <v>17334</v>
      </c>
      <c r="F1361">
        <v>3</v>
      </c>
      <c r="N1361" t="s">
        <v>18021</v>
      </c>
    </row>
    <row r="1362" spans="1:14">
      <c r="A1362" t="s">
        <v>17806</v>
      </c>
      <c r="B1362">
        <v>1</v>
      </c>
      <c r="C1362" t="s">
        <v>18499</v>
      </c>
      <c r="D1362" t="s">
        <v>4215</v>
      </c>
      <c r="E1362" t="s">
        <v>17334</v>
      </c>
      <c r="F1362">
        <v>3</v>
      </c>
      <c r="N1362" t="s">
        <v>18499</v>
      </c>
    </row>
    <row r="1363" spans="1:14">
      <c r="A1363" t="s">
        <v>17807</v>
      </c>
      <c r="B1363">
        <v>1</v>
      </c>
      <c r="C1363" t="s">
        <v>18022</v>
      </c>
      <c r="D1363" t="s">
        <v>4215</v>
      </c>
      <c r="E1363" t="s">
        <v>17334</v>
      </c>
      <c r="F1363">
        <v>3</v>
      </c>
      <c r="N1363" t="s">
        <v>18022</v>
      </c>
    </row>
    <row r="1364" spans="1:14">
      <c r="A1364" t="s">
        <v>17808</v>
      </c>
      <c r="B1364">
        <v>1</v>
      </c>
      <c r="C1364" t="s">
        <v>18023</v>
      </c>
      <c r="D1364" t="s">
        <v>4215</v>
      </c>
      <c r="E1364" t="s">
        <v>17334</v>
      </c>
      <c r="F1364">
        <v>3</v>
      </c>
      <c r="N1364" t="s">
        <v>18023</v>
      </c>
    </row>
    <row r="1365" spans="1:14">
      <c r="A1365" t="s">
        <v>17905</v>
      </c>
      <c r="B1365">
        <v>1</v>
      </c>
      <c r="C1365" t="s">
        <v>18024</v>
      </c>
      <c r="D1365" t="s">
        <v>4215</v>
      </c>
      <c r="E1365" t="s">
        <v>17334</v>
      </c>
      <c r="F1365">
        <v>3</v>
      </c>
      <c r="N1365" t="s">
        <v>18024</v>
      </c>
    </row>
    <row r="1366" spans="1:14">
      <c r="A1366" t="s">
        <v>17809</v>
      </c>
      <c r="B1366">
        <v>1</v>
      </c>
      <c r="C1366" t="s">
        <v>18025</v>
      </c>
      <c r="D1366" t="s">
        <v>4215</v>
      </c>
      <c r="E1366" t="s">
        <v>17334</v>
      </c>
      <c r="F1366">
        <v>3</v>
      </c>
      <c r="N1366" t="s">
        <v>18025</v>
      </c>
    </row>
    <row r="1367" spans="1:14">
      <c r="A1367" t="s">
        <v>17921</v>
      </c>
      <c r="B1367">
        <v>1</v>
      </c>
      <c r="C1367" t="s">
        <v>18026</v>
      </c>
      <c r="D1367" t="s">
        <v>4215</v>
      </c>
      <c r="E1367" t="s">
        <v>17334</v>
      </c>
      <c r="F1367">
        <v>3</v>
      </c>
      <c r="N1367" t="s">
        <v>18026</v>
      </c>
    </row>
    <row r="1368" spans="1:14">
      <c r="A1368" t="s">
        <v>17810</v>
      </c>
      <c r="B1368">
        <v>1</v>
      </c>
      <c r="C1368" t="s">
        <v>18027</v>
      </c>
      <c r="D1368" t="s">
        <v>4215</v>
      </c>
      <c r="E1368" t="s">
        <v>17334</v>
      </c>
      <c r="F1368">
        <v>3</v>
      </c>
      <c r="N1368" t="s">
        <v>18027</v>
      </c>
    </row>
    <row r="1369" spans="1:14">
      <c r="A1369" t="s">
        <v>17811</v>
      </c>
      <c r="B1369">
        <v>1</v>
      </c>
      <c r="C1369" t="s">
        <v>18028</v>
      </c>
      <c r="D1369" t="s">
        <v>4215</v>
      </c>
      <c r="E1369" t="s">
        <v>17334</v>
      </c>
      <c r="F1369">
        <v>3</v>
      </c>
      <c r="N1369" t="s">
        <v>18028</v>
      </c>
    </row>
    <row r="1370" spans="1:14">
      <c r="A1370" t="s">
        <v>17812</v>
      </c>
      <c r="B1370">
        <v>1</v>
      </c>
      <c r="C1370" t="s">
        <v>18029</v>
      </c>
      <c r="D1370" t="s">
        <v>4215</v>
      </c>
      <c r="E1370" t="s">
        <v>17334</v>
      </c>
      <c r="F1370">
        <v>3</v>
      </c>
      <c r="N1370" t="s">
        <v>18029</v>
      </c>
    </row>
    <row r="1371" spans="1:14">
      <c r="A1371" t="s">
        <v>17813</v>
      </c>
      <c r="B1371">
        <v>1</v>
      </c>
      <c r="C1371" t="s">
        <v>18030</v>
      </c>
      <c r="D1371" t="s">
        <v>4215</v>
      </c>
      <c r="E1371" t="s">
        <v>17334</v>
      </c>
      <c r="F1371">
        <v>3</v>
      </c>
      <c r="N1371" t="s">
        <v>18030</v>
      </c>
    </row>
    <row r="1372" spans="1:14">
      <c r="A1372" t="s">
        <v>17814</v>
      </c>
      <c r="B1372">
        <v>1</v>
      </c>
      <c r="C1372" t="s">
        <v>18500</v>
      </c>
      <c r="D1372" t="s">
        <v>4215</v>
      </c>
      <c r="E1372" t="s">
        <v>17334</v>
      </c>
      <c r="F1372">
        <v>3</v>
      </c>
      <c r="N1372" t="s">
        <v>18500</v>
      </c>
    </row>
    <row r="1373" spans="1:14">
      <c r="A1373" t="s">
        <v>17815</v>
      </c>
      <c r="B1373">
        <v>1</v>
      </c>
      <c r="C1373" t="s">
        <v>18032</v>
      </c>
      <c r="D1373" t="s">
        <v>4215</v>
      </c>
      <c r="E1373" t="s">
        <v>17334</v>
      </c>
      <c r="F1373">
        <v>3</v>
      </c>
      <c r="N1373" t="s">
        <v>18032</v>
      </c>
    </row>
    <row r="1374" spans="1:14">
      <c r="A1374" t="s">
        <v>17816</v>
      </c>
      <c r="B1374">
        <v>1</v>
      </c>
      <c r="C1374" t="s">
        <v>18033</v>
      </c>
      <c r="D1374" t="s">
        <v>4215</v>
      </c>
      <c r="E1374" t="s">
        <v>17334</v>
      </c>
      <c r="F1374">
        <v>3</v>
      </c>
      <c r="N1374" t="s">
        <v>18033</v>
      </c>
    </row>
    <row r="1375" spans="1:14">
      <c r="A1375" t="s">
        <v>17817</v>
      </c>
      <c r="B1375">
        <v>1</v>
      </c>
      <c r="C1375" t="s">
        <v>18500</v>
      </c>
      <c r="D1375" t="s">
        <v>4215</v>
      </c>
      <c r="E1375" t="s">
        <v>17334</v>
      </c>
      <c r="F1375">
        <v>3</v>
      </c>
      <c r="N1375" t="s">
        <v>18500</v>
      </c>
    </row>
    <row r="1376" spans="1:14">
      <c r="A1376" t="s">
        <v>17818</v>
      </c>
      <c r="B1376">
        <v>1</v>
      </c>
      <c r="C1376" t="s">
        <v>18034</v>
      </c>
      <c r="D1376" t="s">
        <v>4215</v>
      </c>
      <c r="E1376" t="s">
        <v>17334</v>
      </c>
      <c r="F1376">
        <v>3</v>
      </c>
      <c r="N1376" t="s">
        <v>18034</v>
      </c>
    </row>
    <row r="1377" spans="1:14">
      <c r="A1377" t="s">
        <v>17819</v>
      </c>
      <c r="B1377">
        <v>1</v>
      </c>
      <c r="C1377" t="s">
        <v>18035</v>
      </c>
      <c r="D1377" t="s">
        <v>4215</v>
      </c>
      <c r="E1377" t="s">
        <v>17334</v>
      </c>
      <c r="F1377">
        <v>3</v>
      </c>
      <c r="N1377" t="s">
        <v>18035</v>
      </c>
    </row>
    <row r="1378" spans="1:14">
      <c r="A1378" t="s">
        <v>17906</v>
      </c>
      <c r="B1378">
        <v>1</v>
      </c>
      <c r="C1378" t="s">
        <v>18036</v>
      </c>
      <c r="D1378" t="s">
        <v>4215</v>
      </c>
      <c r="E1378" t="s">
        <v>17334</v>
      </c>
      <c r="F1378">
        <v>3</v>
      </c>
      <c r="N1378" t="s">
        <v>18036</v>
      </c>
    </row>
    <row r="1379" spans="1:14">
      <c r="A1379" t="s">
        <v>17820</v>
      </c>
      <c r="B1379">
        <v>1</v>
      </c>
      <c r="C1379" t="s">
        <v>18037</v>
      </c>
      <c r="D1379" t="s">
        <v>4215</v>
      </c>
      <c r="E1379" t="s">
        <v>17334</v>
      </c>
      <c r="F1379">
        <v>3</v>
      </c>
      <c r="N1379" t="s">
        <v>18037</v>
      </c>
    </row>
    <row r="1380" spans="1:14">
      <c r="A1380" t="s">
        <v>17922</v>
      </c>
      <c r="B1380">
        <v>1</v>
      </c>
      <c r="C1380" t="s">
        <v>18038</v>
      </c>
      <c r="D1380" t="s">
        <v>4215</v>
      </c>
      <c r="E1380" t="s">
        <v>17334</v>
      </c>
      <c r="F1380">
        <v>3</v>
      </c>
      <c r="N1380" t="s">
        <v>18038</v>
      </c>
    </row>
    <row r="1381" spans="1:14">
      <c r="A1381" t="s">
        <v>17821</v>
      </c>
      <c r="B1381">
        <v>1</v>
      </c>
      <c r="C1381" t="s">
        <v>18039</v>
      </c>
      <c r="D1381" t="s">
        <v>4215</v>
      </c>
      <c r="E1381" t="s">
        <v>17334</v>
      </c>
      <c r="F1381">
        <v>3</v>
      </c>
      <c r="N1381" t="s">
        <v>18039</v>
      </c>
    </row>
    <row r="1382" spans="1:14">
      <c r="A1382" t="s">
        <v>17822</v>
      </c>
      <c r="B1382">
        <v>1</v>
      </c>
      <c r="C1382" t="s">
        <v>18040</v>
      </c>
      <c r="D1382" t="s">
        <v>4215</v>
      </c>
      <c r="E1382" t="s">
        <v>17334</v>
      </c>
      <c r="F1382">
        <v>3</v>
      </c>
      <c r="N1382" t="s">
        <v>18040</v>
      </c>
    </row>
    <row r="1383" spans="1:14">
      <c r="A1383" t="s">
        <v>17823</v>
      </c>
      <c r="B1383">
        <v>1</v>
      </c>
      <c r="C1383" t="s">
        <v>18041</v>
      </c>
      <c r="D1383" t="s">
        <v>4215</v>
      </c>
      <c r="E1383" t="s">
        <v>17334</v>
      </c>
      <c r="F1383">
        <v>3</v>
      </c>
      <c r="N1383" t="s">
        <v>18041</v>
      </c>
    </row>
    <row r="1384" spans="1:14">
      <c r="A1384" t="s">
        <v>17824</v>
      </c>
      <c r="B1384">
        <v>1</v>
      </c>
      <c r="C1384" t="s">
        <v>18042</v>
      </c>
      <c r="D1384" t="s">
        <v>4215</v>
      </c>
      <c r="E1384" t="s">
        <v>17334</v>
      </c>
      <c r="F1384">
        <v>3</v>
      </c>
      <c r="N1384" t="s">
        <v>18042</v>
      </c>
    </row>
    <row r="1385" spans="1:14">
      <c r="A1385" t="s">
        <v>17825</v>
      </c>
      <c r="B1385">
        <v>1</v>
      </c>
      <c r="C1385" t="s">
        <v>18501</v>
      </c>
      <c r="D1385" t="s">
        <v>4215</v>
      </c>
      <c r="E1385" t="s">
        <v>17334</v>
      </c>
      <c r="F1385">
        <v>3</v>
      </c>
      <c r="N1385" t="s">
        <v>18501</v>
      </c>
    </row>
    <row r="1386" spans="1:14">
      <c r="A1386" t="s">
        <v>17826</v>
      </c>
      <c r="B1386">
        <v>1</v>
      </c>
      <c r="C1386" t="s">
        <v>18044</v>
      </c>
      <c r="D1386" t="s">
        <v>4215</v>
      </c>
      <c r="E1386" t="s">
        <v>17334</v>
      </c>
      <c r="F1386">
        <v>3</v>
      </c>
      <c r="N1386" t="s">
        <v>18044</v>
      </c>
    </row>
    <row r="1387" spans="1:14">
      <c r="A1387" t="s">
        <v>17827</v>
      </c>
      <c r="B1387">
        <v>1</v>
      </c>
      <c r="C1387" t="s">
        <v>18045</v>
      </c>
      <c r="D1387" t="s">
        <v>4215</v>
      </c>
      <c r="E1387" t="s">
        <v>17334</v>
      </c>
      <c r="F1387">
        <v>3</v>
      </c>
      <c r="N1387" t="s">
        <v>18045</v>
      </c>
    </row>
    <row r="1388" spans="1:14">
      <c r="A1388" t="s">
        <v>17828</v>
      </c>
      <c r="B1388">
        <v>1</v>
      </c>
      <c r="C1388" t="s">
        <v>18501</v>
      </c>
      <c r="D1388" t="s">
        <v>4215</v>
      </c>
      <c r="E1388" t="s">
        <v>17334</v>
      </c>
      <c r="F1388">
        <v>3</v>
      </c>
      <c r="N1388" t="s">
        <v>18501</v>
      </c>
    </row>
    <row r="1389" spans="1:14">
      <c r="A1389" t="s">
        <v>17829</v>
      </c>
      <c r="B1389">
        <v>1</v>
      </c>
      <c r="C1389" t="s">
        <v>18046</v>
      </c>
      <c r="D1389" t="s">
        <v>4215</v>
      </c>
      <c r="E1389" t="s">
        <v>17334</v>
      </c>
      <c r="F1389">
        <v>3</v>
      </c>
      <c r="N1389" t="s">
        <v>18046</v>
      </c>
    </row>
    <row r="1390" spans="1:14">
      <c r="A1390" t="s">
        <v>17830</v>
      </c>
      <c r="B1390">
        <v>1</v>
      </c>
      <c r="C1390" t="s">
        <v>18047</v>
      </c>
      <c r="D1390" t="s">
        <v>4215</v>
      </c>
      <c r="E1390" t="s">
        <v>17334</v>
      </c>
      <c r="F1390">
        <v>3</v>
      </c>
      <c r="N1390" t="s">
        <v>18047</v>
      </c>
    </row>
    <row r="1391" spans="1:14">
      <c r="A1391" t="s">
        <v>17907</v>
      </c>
      <c r="B1391">
        <v>1</v>
      </c>
      <c r="C1391" t="s">
        <v>18048</v>
      </c>
      <c r="D1391" t="s">
        <v>4215</v>
      </c>
      <c r="E1391" t="s">
        <v>17334</v>
      </c>
      <c r="F1391">
        <v>3</v>
      </c>
      <c r="N1391" t="s">
        <v>18048</v>
      </c>
    </row>
    <row r="1392" spans="1:14">
      <c r="A1392" t="s">
        <v>17831</v>
      </c>
      <c r="B1392">
        <v>1</v>
      </c>
      <c r="C1392" t="s">
        <v>18049</v>
      </c>
      <c r="D1392" t="s">
        <v>4215</v>
      </c>
      <c r="E1392" t="s">
        <v>17334</v>
      </c>
      <c r="F1392">
        <v>3</v>
      </c>
      <c r="N1392" t="s">
        <v>18049</v>
      </c>
    </row>
    <row r="1393" spans="1:14">
      <c r="A1393" t="s">
        <v>17923</v>
      </c>
      <c r="B1393">
        <v>1</v>
      </c>
      <c r="C1393" t="s">
        <v>18050</v>
      </c>
      <c r="D1393" t="s">
        <v>4215</v>
      </c>
      <c r="E1393" t="s">
        <v>17334</v>
      </c>
      <c r="F1393">
        <v>3</v>
      </c>
      <c r="N1393" t="s">
        <v>18050</v>
      </c>
    </row>
    <row r="1394" spans="1:14">
      <c r="A1394" t="s">
        <v>17832</v>
      </c>
      <c r="B1394">
        <v>1</v>
      </c>
      <c r="C1394" t="s">
        <v>18051</v>
      </c>
      <c r="D1394" t="s">
        <v>4215</v>
      </c>
      <c r="E1394" t="s">
        <v>17334</v>
      </c>
      <c r="F1394">
        <v>3</v>
      </c>
      <c r="N1394" t="s">
        <v>18051</v>
      </c>
    </row>
    <row r="1395" spans="1:14">
      <c r="A1395" t="s">
        <v>17833</v>
      </c>
      <c r="B1395">
        <v>1</v>
      </c>
      <c r="C1395" t="s">
        <v>18052</v>
      </c>
      <c r="D1395" t="s">
        <v>4215</v>
      </c>
      <c r="E1395" t="s">
        <v>17334</v>
      </c>
      <c r="F1395">
        <v>3</v>
      </c>
      <c r="N1395" t="s">
        <v>18052</v>
      </c>
    </row>
    <row r="1396" spans="1:14">
      <c r="A1396" t="s">
        <v>17834</v>
      </c>
      <c r="B1396">
        <v>1</v>
      </c>
      <c r="C1396" t="s">
        <v>18053</v>
      </c>
      <c r="D1396" t="s">
        <v>4215</v>
      </c>
      <c r="E1396" t="s">
        <v>17334</v>
      </c>
      <c r="F1396">
        <v>3</v>
      </c>
      <c r="N1396" t="s">
        <v>18053</v>
      </c>
    </row>
    <row r="1397" spans="1:14">
      <c r="A1397" t="s">
        <v>17835</v>
      </c>
      <c r="B1397">
        <v>1</v>
      </c>
      <c r="C1397" t="s">
        <v>18054</v>
      </c>
      <c r="D1397" t="s">
        <v>4215</v>
      </c>
      <c r="E1397" t="s">
        <v>17334</v>
      </c>
      <c r="F1397">
        <v>3</v>
      </c>
      <c r="N1397" t="s">
        <v>18054</v>
      </c>
    </row>
    <row r="1398" spans="1:14">
      <c r="A1398" t="s">
        <v>17836</v>
      </c>
      <c r="B1398">
        <v>1</v>
      </c>
      <c r="C1398" t="s">
        <v>18502</v>
      </c>
      <c r="D1398" t="s">
        <v>4215</v>
      </c>
      <c r="E1398" t="s">
        <v>17334</v>
      </c>
      <c r="F1398">
        <v>3</v>
      </c>
      <c r="N1398" t="s">
        <v>18502</v>
      </c>
    </row>
    <row r="1399" spans="1:14">
      <c r="A1399" t="s">
        <v>17837</v>
      </c>
      <c r="B1399">
        <v>1</v>
      </c>
      <c r="C1399" t="s">
        <v>18056</v>
      </c>
      <c r="D1399" t="s">
        <v>4215</v>
      </c>
      <c r="E1399" t="s">
        <v>17334</v>
      </c>
      <c r="F1399">
        <v>3</v>
      </c>
      <c r="N1399" t="s">
        <v>18056</v>
      </c>
    </row>
    <row r="1400" spans="1:14">
      <c r="A1400" t="s">
        <v>17838</v>
      </c>
      <c r="B1400">
        <v>1</v>
      </c>
      <c r="C1400" t="s">
        <v>18057</v>
      </c>
      <c r="D1400" t="s">
        <v>4215</v>
      </c>
      <c r="E1400" t="s">
        <v>17334</v>
      </c>
      <c r="F1400">
        <v>3</v>
      </c>
      <c r="N1400" t="s">
        <v>18057</v>
      </c>
    </row>
    <row r="1401" spans="1:14">
      <c r="A1401" t="s">
        <v>17839</v>
      </c>
      <c r="B1401">
        <v>1</v>
      </c>
      <c r="C1401" t="s">
        <v>18502</v>
      </c>
      <c r="D1401" t="s">
        <v>4215</v>
      </c>
      <c r="E1401" t="s">
        <v>17334</v>
      </c>
      <c r="F1401">
        <v>3</v>
      </c>
      <c r="N1401" t="s">
        <v>18502</v>
      </c>
    </row>
    <row r="1402" spans="1:14">
      <c r="A1402" t="s">
        <v>17840</v>
      </c>
      <c r="B1402">
        <v>1</v>
      </c>
      <c r="C1402" t="s">
        <v>18058</v>
      </c>
      <c r="D1402" t="s">
        <v>4215</v>
      </c>
      <c r="E1402" t="s">
        <v>17334</v>
      </c>
      <c r="F1402">
        <v>3</v>
      </c>
      <c r="N1402" t="s">
        <v>18058</v>
      </c>
    </row>
    <row r="1403" spans="1:14">
      <c r="A1403" t="s">
        <v>17841</v>
      </c>
      <c r="B1403">
        <v>1</v>
      </c>
      <c r="C1403" t="s">
        <v>18059</v>
      </c>
      <c r="D1403" t="s">
        <v>4215</v>
      </c>
      <c r="E1403" t="s">
        <v>17334</v>
      </c>
      <c r="F1403">
        <v>3</v>
      </c>
      <c r="N1403" t="s">
        <v>18059</v>
      </c>
    </row>
    <row r="1404" spans="1:14">
      <c r="A1404" t="s">
        <v>17908</v>
      </c>
      <c r="B1404">
        <v>1</v>
      </c>
      <c r="C1404" t="s">
        <v>18060</v>
      </c>
      <c r="D1404" t="s">
        <v>4215</v>
      </c>
      <c r="E1404" t="s">
        <v>17334</v>
      </c>
      <c r="F1404">
        <v>3</v>
      </c>
      <c r="N1404" t="s">
        <v>18060</v>
      </c>
    </row>
    <row r="1405" spans="1:14">
      <c r="A1405" t="s">
        <v>17842</v>
      </c>
      <c r="B1405">
        <v>1</v>
      </c>
      <c r="C1405" t="s">
        <v>18061</v>
      </c>
      <c r="D1405" t="s">
        <v>4215</v>
      </c>
      <c r="E1405" t="s">
        <v>17334</v>
      </c>
      <c r="F1405">
        <v>3</v>
      </c>
      <c r="N1405" t="s">
        <v>18061</v>
      </c>
    </row>
    <row r="1406" spans="1:14">
      <c r="A1406" t="s">
        <v>17924</v>
      </c>
      <c r="B1406">
        <v>1</v>
      </c>
      <c r="C1406" t="s">
        <v>18062</v>
      </c>
      <c r="D1406" t="s">
        <v>4215</v>
      </c>
      <c r="E1406" t="s">
        <v>17334</v>
      </c>
      <c r="F1406">
        <v>3</v>
      </c>
      <c r="N1406" t="s">
        <v>18062</v>
      </c>
    </row>
    <row r="1407" spans="1:14">
      <c r="A1407" t="s">
        <v>17843</v>
      </c>
      <c r="B1407">
        <v>1</v>
      </c>
      <c r="C1407" t="s">
        <v>18063</v>
      </c>
      <c r="D1407" t="s">
        <v>4215</v>
      </c>
      <c r="E1407" t="s">
        <v>17334</v>
      </c>
      <c r="F1407">
        <v>3</v>
      </c>
      <c r="N1407" t="s">
        <v>18063</v>
      </c>
    </row>
    <row r="1408" spans="1:14">
      <c r="A1408" t="s">
        <v>17844</v>
      </c>
      <c r="B1408">
        <v>1</v>
      </c>
      <c r="C1408" t="s">
        <v>18064</v>
      </c>
      <c r="D1408" t="s">
        <v>4215</v>
      </c>
      <c r="E1408" t="s">
        <v>17334</v>
      </c>
      <c r="F1408">
        <v>3</v>
      </c>
      <c r="N1408" t="s">
        <v>18064</v>
      </c>
    </row>
    <row r="1409" spans="1:14">
      <c r="A1409" t="s">
        <v>17845</v>
      </c>
      <c r="B1409">
        <v>1</v>
      </c>
      <c r="C1409" t="s">
        <v>18065</v>
      </c>
      <c r="D1409" t="s">
        <v>4215</v>
      </c>
      <c r="E1409" t="s">
        <v>17334</v>
      </c>
      <c r="F1409">
        <v>3</v>
      </c>
      <c r="N1409" t="s">
        <v>18065</v>
      </c>
    </row>
    <row r="1410" spans="1:14">
      <c r="A1410" t="s">
        <v>17846</v>
      </c>
      <c r="B1410">
        <v>1</v>
      </c>
      <c r="C1410" t="s">
        <v>18066</v>
      </c>
      <c r="D1410" t="s">
        <v>4215</v>
      </c>
      <c r="E1410" t="s">
        <v>17334</v>
      </c>
      <c r="F1410">
        <v>3</v>
      </c>
      <c r="N1410" t="s">
        <v>18066</v>
      </c>
    </row>
    <row r="1411" spans="1:14">
      <c r="A1411" t="s">
        <v>17847</v>
      </c>
      <c r="B1411">
        <v>1</v>
      </c>
      <c r="C1411" t="s">
        <v>18503</v>
      </c>
      <c r="D1411" t="s">
        <v>4215</v>
      </c>
      <c r="E1411" t="s">
        <v>17334</v>
      </c>
      <c r="F1411">
        <v>3</v>
      </c>
      <c r="N1411" t="s">
        <v>18503</v>
      </c>
    </row>
    <row r="1412" spans="1:14">
      <c r="A1412" t="s">
        <v>17848</v>
      </c>
      <c r="B1412">
        <v>1</v>
      </c>
      <c r="C1412" t="s">
        <v>18068</v>
      </c>
      <c r="D1412" t="s">
        <v>4215</v>
      </c>
      <c r="E1412" t="s">
        <v>17334</v>
      </c>
      <c r="F1412">
        <v>3</v>
      </c>
      <c r="N1412" t="s">
        <v>18068</v>
      </c>
    </row>
    <row r="1413" spans="1:14">
      <c r="A1413" t="s">
        <v>17849</v>
      </c>
      <c r="B1413">
        <v>1</v>
      </c>
      <c r="C1413" t="s">
        <v>18069</v>
      </c>
      <c r="D1413" t="s">
        <v>4215</v>
      </c>
      <c r="E1413" t="s">
        <v>17334</v>
      </c>
      <c r="F1413">
        <v>3</v>
      </c>
      <c r="N1413" t="s">
        <v>18069</v>
      </c>
    </row>
    <row r="1414" spans="1:14">
      <c r="A1414" t="s">
        <v>17850</v>
      </c>
      <c r="B1414">
        <v>1</v>
      </c>
      <c r="C1414" t="s">
        <v>18503</v>
      </c>
      <c r="D1414" t="s">
        <v>4215</v>
      </c>
      <c r="E1414" t="s">
        <v>17334</v>
      </c>
      <c r="F1414">
        <v>3</v>
      </c>
      <c r="N1414" t="s">
        <v>18503</v>
      </c>
    </row>
    <row r="1415" spans="1:14">
      <c r="A1415" t="s">
        <v>17851</v>
      </c>
      <c r="B1415">
        <v>1</v>
      </c>
      <c r="C1415" t="s">
        <v>18070</v>
      </c>
      <c r="D1415" t="s">
        <v>4215</v>
      </c>
      <c r="E1415" t="s">
        <v>17334</v>
      </c>
      <c r="F1415">
        <v>3</v>
      </c>
      <c r="N1415" t="s">
        <v>18070</v>
      </c>
    </row>
    <row r="1416" spans="1:14">
      <c r="A1416" t="s">
        <v>17852</v>
      </c>
      <c r="B1416">
        <v>1</v>
      </c>
      <c r="C1416" t="s">
        <v>18071</v>
      </c>
      <c r="D1416" t="s">
        <v>4215</v>
      </c>
      <c r="E1416" t="s">
        <v>17334</v>
      </c>
      <c r="F1416">
        <v>3</v>
      </c>
      <c r="N1416" t="s">
        <v>18071</v>
      </c>
    </row>
    <row r="1417" spans="1:14">
      <c r="A1417" t="s">
        <v>17909</v>
      </c>
      <c r="B1417">
        <v>1</v>
      </c>
      <c r="C1417" t="s">
        <v>18072</v>
      </c>
      <c r="D1417" t="s">
        <v>4215</v>
      </c>
      <c r="E1417" t="s">
        <v>17334</v>
      </c>
      <c r="F1417">
        <v>3</v>
      </c>
      <c r="N1417" t="s">
        <v>18072</v>
      </c>
    </row>
    <row r="1418" spans="1:14">
      <c r="A1418" t="s">
        <v>17853</v>
      </c>
      <c r="B1418">
        <v>1</v>
      </c>
      <c r="C1418" t="s">
        <v>18073</v>
      </c>
      <c r="D1418" t="s">
        <v>4215</v>
      </c>
      <c r="E1418" t="s">
        <v>17334</v>
      </c>
      <c r="F1418">
        <v>3</v>
      </c>
      <c r="N1418" t="s">
        <v>18073</v>
      </c>
    </row>
    <row r="1419" spans="1:14">
      <c r="A1419" t="s">
        <v>17925</v>
      </c>
      <c r="B1419">
        <v>1</v>
      </c>
      <c r="C1419" t="s">
        <v>18074</v>
      </c>
      <c r="D1419" t="s">
        <v>4215</v>
      </c>
      <c r="E1419" t="s">
        <v>17334</v>
      </c>
      <c r="F1419">
        <v>3</v>
      </c>
      <c r="N1419" t="s">
        <v>18074</v>
      </c>
    </row>
    <row r="1420" spans="1:14">
      <c r="A1420" t="s">
        <v>17854</v>
      </c>
      <c r="B1420">
        <v>1</v>
      </c>
      <c r="C1420" t="s">
        <v>18075</v>
      </c>
      <c r="D1420" t="s">
        <v>4215</v>
      </c>
      <c r="E1420" t="s">
        <v>17334</v>
      </c>
      <c r="F1420">
        <v>3</v>
      </c>
      <c r="N1420" t="s">
        <v>18075</v>
      </c>
    </row>
    <row r="1421" spans="1:14">
      <c r="A1421" t="s">
        <v>17855</v>
      </c>
      <c r="B1421">
        <v>1</v>
      </c>
      <c r="C1421" t="s">
        <v>18076</v>
      </c>
      <c r="D1421" t="s">
        <v>4215</v>
      </c>
      <c r="E1421" t="s">
        <v>17334</v>
      </c>
      <c r="F1421">
        <v>3</v>
      </c>
      <c r="N1421" t="s">
        <v>18076</v>
      </c>
    </row>
    <row r="1422" spans="1:14">
      <c r="A1422" t="s">
        <v>17856</v>
      </c>
      <c r="B1422">
        <v>1</v>
      </c>
      <c r="C1422" t="s">
        <v>18077</v>
      </c>
      <c r="D1422" t="s">
        <v>4215</v>
      </c>
      <c r="E1422" t="s">
        <v>17334</v>
      </c>
      <c r="F1422">
        <v>3</v>
      </c>
      <c r="N1422" t="s">
        <v>18077</v>
      </c>
    </row>
    <row r="1423" spans="1:14">
      <c r="A1423" t="s">
        <v>17857</v>
      </c>
      <c r="B1423">
        <v>1</v>
      </c>
      <c r="C1423" t="s">
        <v>18078</v>
      </c>
      <c r="D1423" t="s">
        <v>4215</v>
      </c>
      <c r="E1423" t="s">
        <v>17334</v>
      </c>
      <c r="F1423">
        <v>3</v>
      </c>
      <c r="N1423" t="s">
        <v>18078</v>
      </c>
    </row>
    <row r="1424" spans="1:14">
      <c r="A1424" t="s">
        <v>17858</v>
      </c>
      <c r="B1424">
        <v>1</v>
      </c>
      <c r="C1424" t="s">
        <v>18504</v>
      </c>
      <c r="D1424" t="s">
        <v>4215</v>
      </c>
      <c r="E1424" t="s">
        <v>17334</v>
      </c>
      <c r="F1424">
        <v>3</v>
      </c>
      <c r="N1424" t="s">
        <v>18504</v>
      </c>
    </row>
    <row r="1425" spans="1:14">
      <c r="A1425" t="s">
        <v>17859</v>
      </c>
      <c r="B1425">
        <v>1</v>
      </c>
      <c r="C1425" t="s">
        <v>18080</v>
      </c>
      <c r="D1425" t="s">
        <v>4215</v>
      </c>
      <c r="E1425" t="s">
        <v>17334</v>
      </c>
      <c r="F1425">
        <v>3</v>
      </c>
      <c r="N1425" t="s">
        <v>18080</v>
      </c>
    </row>
    <row r="1426" spans="1:14">
      <c r="A1426" t="s">
        <v>17860</v>
      </c>
      <c r="B1426">
        <v>1</v>
      </c>
      <c r="C1426" t="s">
        <v>18081</v>
      </c>
      <c r="D1426" t="s">
        <v>4215</v>
      </c>
      <c r="E1426" t="s">
        <v>17334</v>
      </c>
      <c r="F1426">
        <v>3</v>
      </c>
      <c r="N1426" t="s">
        <v>18081</v>
      </c>
    </row>
    <row r="1427" spans="1:14">
      <c r="A1427" t="s">
        <v>17861</v>
      </c>
      <c r="B1427">
        <v>1</v>
      </c>
      <c r="C1427" t="s">
        <v>18504</v>
      </c>
      <c r="D1427" t="s">
        <v>4215</v>
      </c>
      <c r="E1427" t="s">
        <v>17334</v>
      </c>
      <c r="F1427">
        <v>3</v>
      </c>
      <c r="N1427" t="s">
        <v>18504</v>
      </c>
    </row>
    <row r="1428" spans="1:14">
      <c r="A1428" t="s">
        <v>17862</v>
      </c>
      <c r="B1428">
        <v>1</v>
      </c>
      <c r="C1428" t="s">
        <v>18082</v>
      </c>
      <c r="D1428" t="s">
        <v>4215</v>
      </c>
      <c r="E1428" t="s">
        <v>17334</v>
      </c>
      <c r="F1428">
        <v>3</v>
      </c>
      <c r="N1428" t="s">
        <v>18082</v>
      </c>
    </row>
    <row r="1429" spans="1:14">
      <c r="A1429" t="s">
        <v>17863</v>
      </c>
      <c r="B1429">
        <v>1</v>
      </c>
      <c r="C1429" t="s">
        <v>18083</v>
      </c>
      <c r="D1429" t="s">
        <v>4215</v>
      </c>
      <c r="E1429" t="s">
        <v>17334</v>
      </c>
      <c r="F1429">
        <v>3</v>
      </c>
      <c r="N1429" t="s">
        <v>18083</v>
      </c>
    </row>
    <row r="1430" spans="1:14">
      <c r="A1430" t="s">
        <v>17910</v>
      </c>
      <c r="B1430">
        <v>1</v>
      </c>
      <c r="C1430" t="s">
        <v>18084</v>
      </c>
      <c r="D1430" t="s">
        <v>4215</v>
      </c>
      <c r="E1430" t="s">
        <v>17334</v>
      </c>
      <c r="F1430">
        <v>3</v>
      </c>
      <c r="N1430" t="s">
        <v>18084</v>
      </c>
    </row>
    <row r="1431" spans="1:14">
      <c r="A1431" t="s">
        <v>17864</v>
      </c>
      <c r="B1431">
        <v>1</v>
      </c>
      <c r="C1431" t="s">
        <v>18085</v>
      </c>
      <c r="D1431" t="s">
        <v>4215</v>
      </c>
      <c r="E1431" t="s">
        <v>17334</v>
      </c>
      <c r="F1431">
        <v>3</v>
      </c>
      <c r="N1431" t="s">
        <v>18085</v>
      </c>
    </row>
    <row r="1432" spans="1:14">
      <c r="A1432" t="s">
        <v>17926</v>
      </c>
      <c r="B1432">
        <v>1</v>
      </c>
      <c r="C1432" t="s">
        <v>18086</v>
      </c>
      <c r="D1432" t="s">
        <v>4215</v>
      </c>
      <c r="E1432" t="s">
        <v>17334</v>
      </c>
      <c r="F1432">
        <v>3</v>
      </c>
      <c r="N1432" t="s">
        <v>18086</v>
      </c>
    </row>
    <row r="1433" spans="1:14">
      <c r="A1433" t="s">
        <v>17865</v>
      </c>
      <c r="B1433">
        <v>1</v>
      </c>
      <c r="C1433" t="s">
        <v>18087</v>
      </c>
      <c r="D1433" t="s">
        <v>4215</v>
      </c>
      <c r="E1433" t="s">
        <v>17334</v>
      </c>
      <c r="F1433">
        <v>3</v>
      </c>
      <c r="N1433" t="s">
        <v>18087</v>
      </c>
    </row>
    <row r="1434" spans="1:14">
      <c r="A1434" t="s">
        <v>17866</v>
      </c>
      <c r="B1434">
        <v>1</v>
      </c>
      <c r="C1434" t="s">
        <v>18088</v>
      </c>
      <c r="D1434" t="s">
        <v>4215</v>
      </c>
      <c r="E1434" t="s">
        <v>17334</v>
      </c>
      <c r="F1434">
        <v>3</v>
      </c>
      <c r="N1434" t="s">
        <v>18088</v>
      </c>
    </row>
    <row r="1435" spans="1:14">
      <c r="A1435" t="s">
        <v>17867</v>
      </c>
      <c r="B1435">
        <v>1</v>
      </c>
      <c r="C1435" t="s">
        <v>18089</v>
      </c>
      <c r="D1435" t="s">
        <v>4215</v>
      </c>
      <c r="E1435" t="s">
        <v>17334</v>
      </c>
      <c r="F1435">
        <v>3</v>
      </c>
      <c r="N1435" t="s">
        <v>18089</v>
      </c>
    </row>
    <row r="1436" spans="1:14">
      <c r="A1436" t="s">
        <v>17868</v>
      </c>
      <c r="B1436">
        <v>1</v>
      </c>
      <c r="C1436" t="s">
        <v>18090</v>
      </c>
      <c r="D1436" t="s">
        <v>4215</v>
      </c>
      <c r="E1436" t="s">
        <v>17334</v>
      </c>
      <c r="F1436">
        <v>3</v>
      </c>
      <c r="N1436" t="s">
        <v>18090</v>
      </c>
    </row>
    <row r="1437" spans="1:14">
      <c r="A1437" t="s">
        <v>17869</v>
      </c>
      <c r="B1437">
        <v>1</v>
      </c>
      <c r="C1437" t="s">
        <v>18505</v>
      </c>
      <c r="D1437" t="s">
        <v>4215</v>
      </c>
      <c r="E1437" t="s">
        <v>17334</v>
      </c>
      <c r="F1437">
        <v>3</v>
      </c>
      <c r="N1437" t="s">
        <v>18505</v>
      </c>
    </row>
    <row r="1438" spans="1:14">
      <c r="A1438" t="s">
        <v>17870</v>
      </c>
      <c r="B1438">
        <v>1</v>
      </c>
      <c r="C1438" t="s">
        <v>18092</v>
      </c>
      <c r="D1438" t="s">
        <v>4215</v>
      </c>
      <c r="E1438" t="s">
        <v>17334</v>
      </c>
      <c r="F1438">
        <v>3</v>
      </c>
      <c r="N1438" t="s">
        <v>18092</v>
      </c>
    </row>
    <row r="1439" spans="1:14">
      <c r="A1439" t="s">
        <v>17871</v>
      </c>
      <c r="B1439">
        <v>1</v>
      </c>
      <c r="C1439" t="s">
        <v>18093</v>
      </c>
      <c r="D1439" t="s">
        <v>4215</v>
      </c>
      <c r="E1439" t="s">
        <v>17334</v>
      </c>
      <c r="F1439">
        <v>3</v>
      </c>
      <c r="N1439" t="s">
        <v>18093</v>
      </c>
    </row>
    <row r="1440" spans="1:14">
      <c r="A1440" t="s">
        <v>17872</v>
      </c>
      <c r="B1440">
        <v>1</v>
      </c>
      <c r="C1440" t="s">
        <v>18505</v>
      </c>
      <c r="D1440" t="s">
        <v>4215</v>
      </c>
      <c r="E1440" t="s">
        <v>17334</v>
      </c>
      <c r="F1440">
        <v>3</v>
      </c>
      <c r="N1440" t="s">
        <v>18505</v>
      </c>
    </row>
    <row r="1441" spans="1:14">
      <c r="A1441" t="s">
        <v>17873</v>
      </c>
      <c r="B1441">
        <v>1</v>
      </c>
      <c r="C1441" t="s">
        <v>18094</v>
      </c>
      <c r="D1441" t="s">
        <v>4215</v>
      </c>
      <c r="E1441" t="s">
        <v>17334</v>
      </c>
      <c r="F1441">
        <v>3</v>
      </c>
      <c r="N1441" t="s">
        <v>18094</v>
      </c>
    </row>
    <row r="1442" spans="1:14">
      <c r="A1442" t="s">
        <v>17874</v>
      </c>
      <c r="B1442">
        <v>1</v>
      </c>
      <c r="C1442" t="s">
        <v>18095</v>
      </c>
      <c r="D1442" t="s">
        <v>4215</v>
      </c>
      <c r="E1442" t="s">
        <v>17334</v>
      </c>
      <c r="F1442">
        <v>3</v>
      </c>
      <c r="N1442" t="s">
        <v>18095</v>
      </c>
    </row>
    <row r="1443" spans="1:14">
      <c r="A1443" t="s">
        <v>17911</v>
      </c>
      <c r="B1443">
        <v>1</v>
      </c>
      <c r="C1443" t="s">
        <v>18096</v>
      </c>
      <c r="D1443" t="s">
        <v>4215</v>
      </c>
      <c r="E1443" t="s">
        <v>17334</v>
      </c>
      <c r="F1443">
        <v>3</v>
      </c>
      <c r="N1443" t="s">
        <v>18096</v>
      </c>
    </row>
    <row r="1444" spans="1:14">
      <c r="A1444" t="s">
        <v>17875</v>
      </c>
      <c r="B1444">
        <v>1</v>
      </c>
      <c r="C1444" t="s">
        <v>18097</v>
      </c>
      <c r="D1444" t="s">
        <v>4215</v>
      </c>
      <c r="E1444" t="s">
        <v>17334</v>
      </c>
      <c r="F1444">
        <v>3</v>
      </c>
      <c r="N1444" t="s">
        <v>18097</v>
      </c>
    </row>
    <row r="1445" spans="1:14">
      <c r="A1445" t="s">
        <v>17927</v>
      </c>
      <c r="B1445">
        <v>1</v>
      </c>
      <c r="C1445" t="s">
        <v>18098</v>
      </c>
      <c r="D1445" t="s">
        <v>4215</v>
      </c>
      <c r="E1445" t="s">
        <v>17334</v>
      </c>
      <c r="F1445">
        <v>3</v>
      </c>
      <c r="N1445" t="s">
        <v>18098</v>
      </c>
    </row>
    <row r="1446" spans="1:14">
      <c r="A1446" t="s">
        <v>17876</v>
      </c>
      <c r="B1446">
        <v>1</v>
      </c>
      <c r="C1446" t="s">
        <v>18099</v>
      </c>
      <c r="D1446" t="s">
        <v>4215</v>
      </c>
      <c r="E1446" t="s">
        <v>17334</v>
      </c>
      <c r="F1446">
        <v>3</v>
      </c>
      <c r="N1446" t="s">
        <v>18099</v>
      </c>
    </row>
    <row r="1447" spans="1:14">
      <c r="A1447" t="s">
        <v>17877</v>
      </c>
      <c r="B1447">
        <v>1</v>
      </c>
      <c r="C1447" t="s">
        <v>18100</v>
      </c>
      <c r="D1447" t="s">
        <v>4215</v>
      </c>
      <c r="E1447" t="s">
        <v>17334</v>
      </c>
      <c r="F1447">
        <v>3</v>
      </c>
      <c r="N1447" t="s">
        <v>18100</v>
      </c>
    </row>
    <row r="1448" spans="1:14">
      <c r="A1448" t="s">
        <v>17878</v>
      </c>
      <c r="B1448">
        <v>1</v>
      </c>
      <c r="C1448" t="s">
        <v>18101</v>
      </c>
      <c r="D1448" t="s">
        <v>4215</v>
      </c>
      <c r="E1448" t="s">
        <v>17334</v>
      </c>
      <c r="F1448">
        <v>3</v>
      </c>
      <c r="N1448" t="s">
        <v>18101</v>
      </c>
    </row>
    <row r="1449" spans="1:14">
      <c r="A1449" t="s">
        <v>17879</v>
      </c>
      <c r="B1449">
        <v>1</v>
      </c>
      <c r="C1449" t="s">
        <v>18102</v>
      </c>
      <c r="D1449" t="s">
        <v>4215</v>
      </c>
      <c r="E1449" t="s">
        <v>17334</v>
      </c>
      <c r="F1449">
        <v>3</v>
      </c>
      <c r="N1449" t="s">
        <v>18102</v>
      </c>
    </row>
    <row r="1450" spans="1:14">
      <c r="A1450" t="s">
        <v>17880</v>
      </c>
      <c r="B1450">
        <v>1</v>
      </c>
      <c r="C1450" t="s">
        <v>18506</v>
      </c>
      <c r="D1450" t="s">
        <v>4215</v>
      </c>
      <c r="E1450" t="s">
        <v>17334</v>
      </c>
      <c r="F1450">
        <v>3</v>
      </c>
      <c r="N1450" t="s">
        <v>18506</v>
      </c>
    </row>
    <row r="1451" spans="1:14">
      <c r="A1451" t="s">
        <v>17881</v>
      </c>
      <c r="B1451">
        <v>1</v>
      </c>
      <c r="C1451" t="s">
        <v>18104</v>
      </c>
      <c r="D1451" t="s">
        <v>4215</v>
      </c>
      <c r="E1451" t="s">
        <v>17334</v>
      </c>
      <c r="F1451">
        <v>3</v>
      </c>
      <c r="N1451" t="s">
        <v>18104</v>
      </c>
    </row>
    <row r="1452" spans="1:14">
      <c r="A1452" t="s">
        <v>17882</v>
      </c>
      <c r="B1452">
        <v>1</v>
      </c>
      <c r="C1452" t="s">
        <v>18105</v>
      </c>
      <c r="D1452" t="s">
        <v>4215</v>
      </c>
      <c r="E1452" t="s">
        <v>17334</v>
      </c>
      <c r="F1452">
        <v>3</v>
      </c>
      <c r="N1452" t="s">
        <v>18105</v>
      </c>
    </row>
    <row r="1453" spans="1:14">
      <c r="A1453" t="s">
        <v>17883</v>
      </c>
      <c r="B1453">
        <v>1</v>
      </c>
      <c r="C1453" t="s">
        <v>18506</v>
      </c>
      <c r="D1453" t="s">
        <v>4215</v>
      </c>
      <c r="E1453" t="s">
        <v>17334</v>
      </c>
      <c r="F1453">
        <v>3</v>
      </c>
      <c r="N1453" t="s">
        <v>18506</v>
      </c>
    </row>
    <row r="1454" spans="1:14">
      <c r="A1454" t="s">
        <v>17884</v>
      </c>
      <c r="B1454">
        <v>1</v>
      </c>
      <c r="C1454" t="s">
        <v>18106</v>
      </c>
      <c r="D1454" t="s">
        <v>4215</v>
      </c>
      <c r="E1454" t="s">
        <v>17334</v>
      </c>
      <c r="F1454">
        <v>3</v>
      </c>
      <c r="N1454" t="s">
        <v>18106</v>
      </c>
    </row>
    <row r="1455" spans="1:14">
      <c r="A1455" t="s">
        <v>17885</v>
      </c>
      <c r="B1455">
        <v>1</v>
      </c>
      <c r="C1455" t="s">
        <v>18107</v>
      </c>
      <c r="D1455" t="s">
        <v>4215</v>
      </c>
      <c r="E1455" t="s">
        <v>17334</v>
      </c>
      <c r="F1455">
        <v>3</v>
      </c>
      <c r="N1455" t="s">
        <v>18107</v>
      </c>
    </row>
    <row r="1456" spans="1:14">
      <c r="A1456" t="s">
        <v>17912</v>
      </c>
      <c r="B1456">
        <v>1</v>
      </c>
      <c r="C1456" t="s">
        <v>18108</v>
      </c>
      <c r="D1456" t="s">
        <v>4215</v>
      </c>
      <c r="E1456" t="s">
        <v>17334</v>
      </c>
      <c r="F1456">
        <v>3</v>
      </c>
      <c r="N1456" t="s">
        <v>18108</v>
      </c>
    </row>
    <row r="1457" spans="1:14">
      <c r="A1457" t="s">
        <v>17886</v>
      </c>
      <c r="B1457">
        <v>1</v>
      </c>
      <c r="C1457" t="s">
        <v>18109</v>
      </c>
      <c r="D1457" t="s">
        <v>4215</v>
      </c>
      <c r="E1457" t="s">
        <v>17334</v>
      </c>
      <c r="F1457">
        <v>3</v>
      </c>
      <c r="N1457" t="s">
        <v>18109</v>
      </c>
    </row>
    <row r="1458" spans="1:14">
      <c r="A1458" t="s">
        <v>17928</v>
      </c>
      <c r="B1458">
        <v>1</v>
      </c>
      <c r="C1458" t="s">
        <v>18110</v>
      </c>
      <c r="D1458" t="s">
        <v>4215</v>
      </c>
      <c r="E1458" t="s">
        <v>17334</v>
      </c>
      <c r="F1458">
        <v>3</v>
      </c>
      <c r="N1458" t="s">
        <v>18110</v>
      </c>
    </row>
    <row r="1459" spans="1:14">
      <c r="A1459" t="s">
        <v>17887</v>
      </c>
      <c r="B1459">
        <v>1</v>
      </c>
      <c r="C1459" t="s">
        <v>18111</v>
      </c>
      <c r="D1459" t="s">
        <v>4215</v>
      </c>
      <c r="E1459" t="s">
        <v>17334</v>
      </c>
      <c r="F1459">
        <v>3</v>
      </c>
      <c r="N1459" t="s">
        <v>18111</v>
      </c>
    </row>
    <row r="1460" spans="1:14">
      <c r="A1460" t="s">
        <v>17888</v>
      </c>
      <c r="B1460">
        <v>1</v>
      </c>
      <c r="C1460" t="s">
        <v>18112</v>
      </c>
      <c r="D1460" t="s">
        <v>4215</v>
      </c>
      <c r="E1460" t="s">
        <v>17334</v>
      </c>
      <c r="F1460">
        <v>3</v>
      </c>
      <c r="N1460" t="s">
        <v>18112</v>
      </c>
    </row>
    <row r="1461" spans="1:14">
      <c r="A1461" t="s">
        <v>17889</v>
      </c>
      <c r="B1461">
        <v>1</v>
      </c>
      <c r="C1461" t="s">
        <v>18113</v>
      </c>
      <c r="D1461" t="s">
        <v>4215</v>
      </c>
      <c r="E1461" t="s">
        <v>17334</v>
      </c>
      <c r="F1461">
        <v>3</v>
      </c>
      <c r="N1461" t="s">
        <v>18113</v>
      </c>
    </row>
    <row r="1462" spans="1:14">
      <c r="A1462" t="s">
        <v>17890</v>
      </c>
      <c r="B1462">
        <v>1</v>
      </c>
      <c r="C1462" t="s">
        <v>18114</v>
      </c>
      <c r="D1462" t="s">
        <v>4215</v>
      </c>
      <c r="E1462" t="s">
        <v>17334</v>
      </c>
      <c r="F1462">
        <v>3</v>
      </c>
      <c r="N1462" t="s">
        <v>18114</v>
      </c>
    </row>
    <row r="1463" spans="1:14">
      <c r="A1463" t="s">
        <v>17891</v>
      </c>
      <c r="B1463">
        <v>1</v>
      </c>
      <c r="C1463" t="s">
        <v>18507</v>
      </c>
      <c r="D1463" t="s">
        <v>4215</v>
      </c>
      <c r="E1463" t="s">
        <v>17334</v>
      </c>
      <c r="F1463">
        <v>3</v>
      </c>
      <c r="N1463" t="s">
        <v>18507</v>
      </c>
    </row>
    <row r="1464" spans="1:14">
      <c r="A1464" t="s">
        <v>17892</v>
      </c>
      <c r="B1464">
        <v>1</v>
      </c>
      <c r="C1464" t="s">
        <v>18116</v>
      </c>
      <c r="D1464" t="s">
        <v>4215</v>
      </c>
      <c r="E1464" t="s">
        <v>17334</v>
      </c>
      <c r="F1464">
        <v>3</v>
      </c>
      <c r="N1464" t="s">
        <v>18116</v>
      </c>
    </row>
    <row r="1465" spans="1:14">
      <c r="A1465" t="s">
        <v>17893</v>
      </c>
      <c r="B1465">
        <v>1</v>
      </c>
      <c r="C1465" t="s">
        <v>18117</v>
      </c>
      <c r="D1465" t="s">
        <v>4215</v>
      </c>
      <c r="E1465" t="s">
        <v>17334</v>
      </c>
      <c r="F1465">
        <v>3</v>
      </c>
      <c r="N1465" t="s">
        <v>18117</v>
      </c>
    </row>
    <row r="1466" spans="1:14">
      <c r="A1466" t="s">
        <v>17894</v>
      </c>
      <c r="B1466">
        <v>1</v>
      </c>
      <c r="C1466" t="s">
        <v>18507</v>
      </c>
      <c r="D1466" t="s">
        <v>4215</v>
      </c>
      <c r="E1466" t="s">
        <v>17334</v>
      </c>
      <c r="F1466">
        <v>3</v>
      </c>
      <c r="N1466" t="s">
        <v>18507</v>
      </c>
    </row>
    <row r="1467" spans="1:14">
      <c r="A1467" t="s">
        <v>17895</v>
      </c>
      <c r="B1467">
        <v>1</v>
      </c>
      <c r="C1467" t="s">
        <v>18118</v>
      </c>
      <c r="D1467" t="s">
        <v>4215</v>
      </c>
      <c r="E1467" t="s">
        <v>17334</v>
      </c>
      <c r="F1467">
        <v>3</v>
      </c>
      <c r="N1467" t="s">
        <v>18118</v>
      </c>
    </row>
    <row r="1468" spans="1:14">
      <c r="A1468" t="s">
        <v>17896</v>
      </c>
      <c r="B1468">
        <v>1</v>
      </c>
      <c r="C1468" t="s">
        <v>18119</v>
      </c>
      <c r="D1468" t="s">
        <v>4215</v>
      </c>
      <c r="E1468" t="s">
        <v>17334</v>
      </c>
      <c r="F1468">
        <v>3</v>
      </c>
      <c r="N1468" t="s">
        <v>18119</v>
      </c>
    </row>
    <row r="1469" spans="1:14">
      <c r="A1469" t="s">
        <v>17913</v>
      </c>
      <c r="B1469">
        <v>1</v>
      </c>
      <c r="C1469" t="s">
        <v>18120</v>
      </c>
      <c r="D1469" t="s">
        <v>4215</v>
      </c>
      <c r="E1469" t="s">
        <v>17334</v>
      </c>
      <c r="F1469">
        <v>3</v>
      </c>
      <c r="N1469" t="s">
        <v>18120</v>
      </c>
    </row>
    <row r="1470" spans="1:14">
      <c r="A1470" t="s">
        <v>17897</v>
      </c>
      <c r="B1470">
        <v>1</v>
      </c>
      <c r="C1470" t="s">
        <v>18121</v>
      </c>
      <c r="D1470" t="s">
        <v>4215</v>
      </c>
      <c r="E1470" t="s">
        <v>17334</v>
      </c>
      <c r="F1470">
        <v>3</v>
      </c>
      <c r="N1470" t="s">
        <v>18121</v>
      </c>
    </row>
    <row r="1471" spans="1:14">
      <c r="A1471" t="s">
        <v>17929</v>
      </c>
      <c r="B1471">
        <v>1</v>
      </c>
      <c r="C1471" t="s">
        <v>18122</v>
      </c>
      <c r="D1471" t="s">
        <v>4215</v>
      </c>
      <c r="E1471" t="s">
        <v>17334</v>
      </c>
      <c r="F1471">
        <v>3</v>
      </c>
      <c r="N1471" t="s">
        <v>18122</v>
      </c>
    </row>
    <row r="1472" spans="1:14">
      <c r="A1472" t="s">
        <v>17590</v>
      </c>
      <c r="B1472">
        <v>1</v>
      </c>
      <c r="C1472" t="s">
        <v>18407</v>
      </c>
      <c r="D1472" t="s">
        <v>18467</v>
      </c>
      <c r="E1472" t="s">
        <v>17334</v>
      </c>
      <c r="F1472">
        <v>3</v>
      </c>
      <c r="N1472" t="s">
        <v>18407</v>
      </c>
    </row>
    <row r="1473" spans="1:14">
      <c r="A1473" t="s">
        <v>17591</v>
      </c>
      <c r="B1473">
        <v>1</v>
      </c>
      <c r="C1473" t="s">
        <v>18408</v>
      </c>
      <c r="D1473" t="s">
        <v>18467</v>
      </c>
      <c r="E1473" t="s">
        <v>17334</v>
      </c>
      <c r="F1473">
        <v>3</v>
      </c>
      <c r="N1473" t="s">
        <v>18408</v>
      </c>
    </row>
    <row r="1474" spans="1:14">
      <c r="A1474" t="s">
        <v>17592</v>
      </c>
      <c r="B1474">
        <v>1</v>
      </c>
      <c r="C1474" t="s">
        <v>18409</v>
      </c>
      <c r="D1474" t="s">
        <v>18467</v>
      </c>
      <c r="E1474" t="s">
        <v>17334</v>
      </c>
      <c r="F1474">
        <v>3</v>
      </c>
      <c r="N1474" t="s">
        <v>18409</v>
      </c>
    </row>
    <row r="1475" spans="1:14">
      <c r="A1475" t="s">
        <v>17593</v>
      </c>
      <c r="B1475">
        <v>1</v>
      </c>
      <c r="C1475" t="s">
        <v>18410</v>
      </c>
      <c r="D1475" t="s">
        <v>18467</v>
      </c>
      <c r="E1475" t="s">
        <v>17334</v>
      </c>
      <c r="F1475">
        <v>3</v>
      </c>
      <c r="N1475" t="s">
        <v>18410</v>
      </c>
    </row>
    <row r="1476" spans="1:14">
      <c r="A1476" t="s">
        <v>17594</v>
      </c>
      <c r="B1476">
        <v>1</v>
      </c>
      <c r="C1476" t="s">
        <v>18411</v>
      </c>
      <c r="D1476" t="s">
        <v>18467</v>
      </c>
      <c r="E1476" t="s">
        <v>17334</v>
      </c>
      <c r="F1476">
        <v>3</v>
      </c>
      <c r="N1476" t="s">
        <v>18411</v>
      </c>
    </row>
    <row r="1477" spans="1:14">
      <c r="A1477" t="s">
        <v>17595</v>
      </c>
      <c r="B1477">
        <v>1</v>
      </c>
      <c r="C1477" t="s">
        <v>18412</v>
      </c>
      <c r="D1477" t="s">
        <v>18467</v>
      </c>
      <c r="E1477" t="s">
        <v>17334</v>
      </c>
      <c r="F1477">
        <v>3</v>
      </c>
      <c r="N1477" t="s">
        <v>18412</v>
      </c>
    </row>
    <row r="1478" spans="1:14">
      <c r="A1478" t="s">
        <v>17596</v>
      </c>
      <c r="B1478">
        <v>1</v>
      </c>
      <c r="C1478" t="s">
        <v>18413</v>
      </c>
      <c r="D1478" t="s">
        <v>18467</v>
      </c>
      <c r="E1478" t="s">
        <v>17334</v>
      </c>
      <c r="F1478">
        <v>3</v>
      </c>
      <c r="N1478" t="s">
        <v>18413</v>
      </c>
    </row>
    <row r="1479" spans="1:14">
      <c r="A1479" t="s">
        <v>17597</v>
      </c>
      <c r="B1479">
        <v>1</v>
      </c>
      <c r="C1479" t="s">
        <v>18414</v>
      </c>
      <c r="D1479" t="s">
        <v>18467</v>
      </c>
      <c r="E1479" t="s">
        <v>17334</v>
      </c>
      <c r="F1479">
        <v>3</v>
      </c>
      <c r="N1479" t="s">
        <v>18414</v>
      </c>
    </row>
    <row r="1480" spans="1:14">
      <c r="A1480" t="s">
        <v>17598</v>
      </c>
      <c r="B1480">
        <v>1</v>
      </c>
      <c r="C1480" t="s">
        <v>18415</v>
      </c>
      <c r="D1480" t="s">
        <v>18467</v>
      </c>
      <c r="E1480" t="s">
        <v>17334</v>
      </c>
      <c r="F1480">
        <v>3</v>
      </c>
      <c r="N1480" t="s">
        <v>18415</v>
      </c>
    </row>
    <row r="1481" spans="1:14">
      <c r="A1481" t="s">
        <v>17599</v>
      </c>
      <c r="B1481">
        <v>1</v>
      </c>
      <c r="C1481" t="s">
        <v>18416</v>
      </c>
      <c r="D1481" t="s">
        <v>18467</v>
      </c>
      <c r="E1481" t="s">
        <v>17334</v>
      </c>
      <c r="F1481">
        <v>3</v>
      </c>
      <c r="N1481" t="s">
        <v>18416</v>
      </c>
    </row>
    <row r="1482" spans="1:14">
      <c r="A1482" t="s">
        <v>17600</v>
      </c>
      <c r="B1482">
        <v>1</v>
      </c>
      <c r="C1482" t="s">
        <v>18417</v>
      </c>
      <c r="D1482" t="s">
        <v>18467</v>
      </c>
      <c r="E1482" t="s">
        <v>17334</v>
      </c>
      <c r="F1482">
        <v>3</v>
      </c>
      <c r="N1482" t="s">
        <v>18417</v>
      </c>
    </row>
    <row r="1483" spans="1:14">
      <c r="A1483" t="s">
        <v>17601</v>
      </c>
      <c r="B1483">
        <v>1</v>
      </c>
      <c r="C1483" t="s">
        <v>18418</v>
      </c>
      <c r="D1483" t="s">
        <v>18467</v>
      </c>
      <c r="E1483" t="s">
        <v>17334</v>
      </c>
      <c r="F1483">
        <v>3</v>
      </c>
      <c r="N1483" t="s">
        <v>18418</v>
      </c>
    </row>
    <row r="1484" spans="1:14">
      <c r="A1484" t="s">
        <v>17602</v>
      </c>
      <c r="B1484">
        <v>1</v>
      </c>
      <c r="C1484" t="s">
        <v>18419</v>
      </c>
      <c r="D1484" t="s">
        <v>18467</v>
      </c>
      <c r="E1484" t="s">
        <v>17334</v>
      </c>
      <c r="F1484">
        <v>3</v>
      </c>
      <c r="N1484" t="s">
        <v>18419</v>
      </c>
    </row>
    <row r="1485" spans="1:14">
      <c r="A1485" t="s">
        <v>17603</v>
      </c>
      <c r="B1485">
        <v>1</v>
      </c>
      <c r="C1485" t="s">
        <v>18420</v>
      </c>
      <c r="D1485" t="s">
        <v>18467</v>
      </c>
      <c r="E1485" t="s">
        <v>17334</v>
      </c>
      <c r="F1485">
        <v>3</v>
      </c>
      <c r="N1485" t="s">
        <v>18420</v>
      </c>
    </row>
    <row r="1486" spans="1:14">
      <c r="A1486" t="s">
        <v>17604</v>
      </c>
      <c r="B1486">
        <v>1</v>
      </c>
      <c r="C1486" t="s">
        <v>18421</v>
      </c>
      <c r="D1486" t="s">
        <v>18467</v>
      </c>
      <c r="E1486" t="s">
        <v>17334</v>
      </c>
      <c r="F1486">
        <v>3</v>
      </c>
      <c r="N1486" t="s">
        <v>18421</v>
      </c>
    </row>
    <row r="1487" spans="1:14">
      <c r="A1487" t="s">
        <v>17605</v>
      </c>
      <c r="B1487">
        <v>1</v>
      </c>
      <c r="C1487" t="s">
        <v>18422</v>
      </c>
      <c r="D1487" t="s">
        <v>18467</v>
      </c>
      <c r="E1487" t="s">
        <v>17334</v>
      </c>
      <c r="F1487">
        <v>3</v>
      </c>
      <c r="N1487" t="s">
        <v>18422</v>
      </c>
    </row>
    <row r="1488" spans="1:14">
      <c r="A1488" t="s">
        <v>17606</v>
      </c>
      <c r="B1488">
        <v>1</v>
      </c>
      <c r="C1488" t="s">
        <v>18423</v>
      </c>
      <c r="D1488" t="s">
        <v>18467</v>
      </c>
      <c r="E1488" t="s">
        <v>17334</v>
      </c>
      <c r="F1488">
        <v>3</v>
      </c>
      <c r="N1488" t="s">
        <v>18423</v>
      </c>
    </row>
    <row r="1489" spans="1:14">
      <c r="A1489" t="s">
        <v>17607</v>
      </c>
      <c r="B1489">
        <v>1</v>
      </c>
      <c r="C1489" t="s">
        <v>18424</v>
      </c>
      <c r="D1489" t="s">
        <v>18467</v>
      </c>
      <c r="E1489" t="s">
        <v>17334</v>
      </c>
      <c r="F1489">
        <v>3</v>
      </c>
      <c r="N1489" t="s">
        <v>18424</v>
      </c>
    </row>
    <row r="1490" spans="1:14">
      <c r="A1490" t="s">
        <v>17608</v>
      </c>
      <c r="B1490">
        <v>1</v>
      </c>
      <c r="C1490" t="s">
        <v>18425</v>
      </c>
      <c r="D1490" t="s">
        <v>18467</v>
      </c>
      <c r="E1490" t="s">
        <v>17334</v>
      </c>
      <c r="F1490">
        <v>3</v>
      </c>
      <c r="N1490" t="s">
        <v>18425</v>
      </c>
    </row>
    <row r="1491" spans="1:14">
      <c r="A1491" t="s">
        <v>17609</v>
      </c>
      <c r="B1491">
        <v>1</v>
      </c>
      <c r="C1491" t="s">
        <v>18426</v>
      </c>
      <c r="D1491" t="s">
        <v>18467</v>
      </c>
      <c r="E1491" t="s">
        <v>17334</v>
      </c>
      <c r="F1491">
        <v>3</v>
      </c>
      <c r="N1491" t="s">
        <v>18426</v>
      </c>
    </row>
    <row r="1492" spans="1:14">
      <c r="A1492" t="s">
        <v>17610</v>
      </c>
      <c r="B1492">
        <v>1</v>
      </c>
      <c r="C1492" t="s">
        <v>18427</v>
      </c>
      <c r="D1492" t="s">
        <v>18467</v>
      </c>
      <c r="E1492" t="s">
        <v>17334</v>
      </c>
      <c r="F1492">
        <v>3</v>
      </c>
      <c r="N1492" t="s">
        <v>18427</v>
      </c>
    </row>
    <row r="1493" spans="1:14">
      <c r="A1493" t="s">
        <v>17611</v>
      </c>
      <c r="B1493">
        <v>1</v>
      </c>
      <c r="C1493" t="s">
        <v>18428</v>
      </c>
      <c r="D1493" t="s">
        <v>18467</v>
      </c>
      <c r="E1493" t="s">
        <v>17334</v>
      </c>
      <c r="F1493">
        <v>3</v>
      </c>
      <c r="N1493" t="s">
        <v>18428</v>
      </c>
    </row>
    <row r="1494" spans="1:14">
      <c r="A1494" t="s">
        <v>17612</v>
      </c>
      <c r="B1494">
        <v>1</v>
      </c>
      <c r="C1494" t="s">
        <v>18429</v>
      </c>
      <c r="D1494" t="s">
        <v>18467</v>
      </c>
      <c r="E1494" t="s">
        <v>17334</v>
      </c>
      <c r="F1494">
        <v>3</v>
      </c>
      <c r="N1494" t="s">
        <v>18429</v>
      </c>
    </row>
    <row r="1495" spans="1:14">
      <c r="A1495" t="s">
        <v>17613</v>
      </c>
      <c r="B1495">
        <v>1</v>
      </c>
      <c r="C1495" t="s">
        <v>18430</v>
      </c>
      <c r="D1495" t="s">
        <v>18467</v>
      </c>
      <c r="E1495" t="s">
        <v>17334</v>
      </c>
      <c r="F1495">
        <v>3</v>
      </c>
      <c r="N1495" t="s">
        <v>18430</v>
      </c>
    </row>
    <row r="1496" spans="1:14">
      <c r="A1496" t="s">
        <v>17614</v>
      </c>
      <c r="B1496">
        <v>1</v>
      </c>
      <c r="C1496" t="s">
        <v>18431</v>
      </c>
      <c r="D1496" t="s">
        <v>18467</v>
      </c>
      <c r="E1496" t="s">
        <v>17334</v>
      </c>
      <c r="F1496">
        <v>3</v>
      </c>
      <c r="N1496" t="s">
        <v>18431</v>
      </c>
    </row>
    <row r="1497" spans="1:14">
      <c r="A1497" t="s">
        <v>17615</v>
      </c>
      <c r="B1497">
        <v>1</v>
      </c>
      <c r="C1497" t="s">
        <v>18432</v>
      </c>
      <c r="D1497" t="s">
        <v>18467</v>
      </c>
      <c r="E1497" t="s">
        <v>17334</v>
      </c>
      <c r="F1497">
        <v>3</v>
      </c>
      <c r="N1497" t="s">
        <v>18432</v>
      </c>
    </row>
    <row r="1498" spans="1:14">
      <c r="A1498" t="s">
        <v>17616</v>
      </c>
      <c r="B1498">
        <v>1</v>
      </c>
      <c r="C1498" t="s">
        <v>18433</v>
      </c>
      <c r="D1498" t="s">
        <v>18467</v>
      </c>
      <c r="E1498" t="s">
        <v>17334</v>
      </c>
      <c r="F1498">
        <v>3</v>
      </c>
      <c r="N1498" t="s">
        <v>18433</v>
      </c>
    </row>
    <row r="1499" spans="1:14">
      <c r="A1499" t="s">
        <v>17617</v>
      </c>
      <c r="B1499">
        <v>1</v>
      </c>
      <c r="C1499" t="s">
        <v>18434</v>
      </c>
      <c r="D1499" t="s">
        <v>18467</v>
      </c>
      <c r="E1499" t="s">
        <v>17334</v>
      </c>
      <c r="F1499">
        <v>3</v>
      </c>
      <c r="N1499" t="s">
        <v>18434</v>
      </c>
    </row>
    <row r="1500" spans="1:14">
      <c r="A1500" t="s">
        <v>17618</v>
      </c>
      <c r="B1500">
        <v>1</v>
      </c>
      <c r="C1500" t="s">
        <v>18435</v>
      </c>
      <c r="D1500" t="s">
        <v>18467</v>
      </c>
      <c r="E1500" t="s">
        <v>17334</v>
      </c>
      <c r="F1500">
        <v>3</v>
      </c>
      <c r="N1500" t="s">
        <v>18435</v>
      </c>
    </row>
    <row r="1501" spans="1:14">
      <c r="A1501" t="s">
        <v>17619</v>
      </c>
      <c r="B1501">
        <v>1</v>
      </c>
      <c r="C1501" t="s">
        <v>18436</v>
      </c>
      <c r="D1501" t="s">
        <v>18467</v>
      </c>
      <c r="E1501" t="s">
        <v>17334</v>
      </c>
      <c r="F1501">
        <v>3</v>
      </c>
      <c r="N1501" t="s">
        <v>18436</v>
      </c>
    </row>
    <row r="1502" spans="1:14">
      <c r="A1502" t="s">
        <v>17620</v>
      </c>
      <c r="B1502">
        <v>1</v>
      </c>
      <c r="C1502" t="s">
        <v>18437</v>
      </c>
      <c r="D1502" t="s">
        <v>18467</v>
      </c>
      <c r="E1502" t="s">
        <v>17334</v>
      </c>
      <c r="F1502">
        <v>3</v>
      </c>
      <c r="N1502" t="s">
        <v>18437</v>
      </c>
    </row>
    <row r="1503" spans="1:14">
      <c r="A1503" t="s">
        <v>17621</v>
      </c>
      <c r="B1503">
        <v>1</v>
      </c>
      <c r="C1503" t="s">
        <v>18438</v>
      </c>
      <c r="D1503" t="s">
        <v>18467</v>
      </c>
      <c r="E1503" t="s">
        <v>17334</v>
      </c>
      <c r="F1503">
        <v>3</v>
      </c>
      <c r="N1503" t="s">
        <v>18438</v>
      </c>
    </row>
    <row r="1504" spans="1:14">
      <c r="A1504" t="s">
        <v>17622</v>
      </c>
      <c r="B1504">
        <v>1</v>
      </c>
      <c r="C1504" t="s">
        <v>18439</v>
      </c>
      <c r="D1504" t="s">
        <v>18467</v>
      </c>
      <c r="E1504" t="s">
        <v>17334</v>
      </c>
      <c r="F1504">
        <v>3</v>
      </c>
      <c r="N1504" t="s">
        <v>18439</v>
      </c>
    </row>
    <row r="1505" spans="1:14">
      <c r="A1505" t="s">
        <v>17623</v>
      </c>
      <c r="B1505">
        <v>1</v>
      </c>
      <c r="C1505" t="s">
        <v>18440</v>
      </c>
      <c r="D1505" t="s">
        <v>18467</v>
      </c>
      <c r="E1505" t="s">
        <v>17334</v>
      </c>
      <c r="F1505">
        <v>3</v>
      </c>
      <c r="N1505" t="s">
        <v>18440</v>
      </c>
    </row>
    <row r="1506" spans="1:14">
      <c r="A1506" t="s">
        <v>17624</v>
      </c>
      <c r="B1506">
        <v>1</v>
      </c>
      <c r="C1506" t="s">
        <v>18441</v>
      </c>
      <c r="D1506" t="s">
        <v>18467</v>
      </c>
      <c r="E1506" t="s">
        <v>17334</v>
      </c>
      <c r="F1506">
        <v>3</v>
      </c>
      <c r="N1506" t="s">
        <v>18441</v>
      </c>
    </row>
    <row r="1507" spans="1:14">
      <c r="A1507" t="s">
        <v>17625</v>
      </c>
      <c r="B1507">
        <v>1</v>
      </c>
      <c r="C1507" t="s">
        <v>18442</v>
      </c>
      <c r="D1507" t="s">
        <v>18467</v>
      </c>
      <c r="E1507" t="s">
        <v>17334</v>
      </c>
      <c r="F1507">
        <v>3</v>
      </c>
      <c r="N1507" t="s">
        <v>18442</v>
      </c>
    </row>
    <row r="1508" spans="1:14">
      <c r="A1508" t="s">
        <v>17626</v>
      </c>
      <c r="B1508">
        <v>1</v>
      </c>
      <c r="C1508" t="s">
        <v>18443</v>
      </c>
      <c r="D1508" t="s">
        <v>18467</v>
      </c>
      <c r="E1508" t="s">
        <v>17334</v>
      </c>
      <c r="F1508">
        <v>3</v>
      </c>
      <c r="N1508" t="s">
        <v>18443</v>
      </c>
    </row>
    <row r="1509" spans="1:14">
      <c r="A1509" t="s">
        <v>17627</v>
      </c>
      <c r="B1509">
        <v>1</v>
      </c>
      <c r="C1509" t="s">
        <v>18444</v>
      </c>
      <c r="D1509" t="s">
        <v>18467</v>
      </c>
      <c r="E1509" t="s">
        <v>17334</v>
      </c>
      <c r="F1509">
        <v>3</v>
      </c>
      <c r="N1509" t="s">
        <v>18444</v>
      </c>
    </row>
    <row r="1510" spans="1:14">
      <c r="A1510" t="s">
        <v>17628</v>
      </c>
      <c r="B1510">
        <v>1</v>
      </c>
      <c r="C1510" t="s">
        <v>18445</v>
      </c>
      <c r="D1510" t="s">
        <v>18467</v>
      </c>
      <c r="E1510" t="s">
        <v>17334</v>
      </c>
      <c r="F1510">
        <v>3</v>
      </c>
      <c r="N1510" t="s">
        <v>18445</v>
      </c>
    </row>
    <row r="1511" spans="1:14">
      <c r="A1511" t="s">
        <v>17629</v>
      </c>
      <c r="B1511">
        <v>1</v>
      </c>
      <c r="C1511" t="s">
        <v>18446</v>
      </c>
      <c r="D1511" t="s">
        <v>18467</v>
      </c>
      <c r="E1511" t="s">
        <v>17334</v>
      </c>
      <c r="F1511">
        <v>3</v>
      </c>
      <c r="N1511" t="s">
        <v>18446</v>
      </c>
    </row>
    <row r="1512" spans="1:14">
      <c r="A1512" t="s">
        <v>17630</v>
      </c>
      <c r="B1512">
        <v>1</v>
      </c>
      <c r="C1512" t="s">
        <v>18447</v>
      </c>
      <c r="D1512" t="s">
        <v>18467</v>
      </c>
      <c r="E1512" t="s">
        <v>17334</v>
      </c>
      <c r="F1512">
        <v>3</v>
      </c>
      <c r="N1512" t="s">
        <v>18447</v>
      </c>
    </row>
    <row r="1513" spans="1:14">
      <c r="A1513" t="s">
        <v>17631</v>
      </c>
      <c r="B1513">
        <v>1</v>
      </c>
      <c r="C1513" t="s">
        <v>18448</v>
      </c>
      <c r="D1513" t="s">
        <v>18467</v>
      </c>
      <c r="E1513" t="s">
        <v>17334</v>
      </c>
      <c r="F1513">
        <v>3</v>
      </c>
      <c r="N1513" t="s">
        <v>18448</v>
      </c>
    </row>
    <row r="1514" spans="1:14">
      <c r="A1514" t="s">
        <v>17632</v>
      </c>
      <c r="B1514">
        <v>1</v>
      </c>
      <c r="C1514" t="s">
        <v>18449</v>
      </c>
      <c r="D1514" t="s">
        <v>18467</v>
      </c>
      <c r="E1514" t="s">
        <v>17334</v>
      </c>
      <c r="F1514">
        <v>3</v>
      </c>
      <c r="N1514" t="s">
        <v>18449</v>
      </c>
    </row>
    <row r="1515" spans="1:14">
      <c r="A1515" t="s">
        <v>17633</v>
      </c>
      <c r="B1515">
        <v>1</v>
      </c>
      <c r="C1515" t="s">
        <v>18450</v>
      </c>
      <c r="D1515" t="s">
        <v>18467</v>
      </c>
      <c r="E1515" t="s">
        <v>17334</v>
      </c>
      <c r="F1515">
        <v>3</v>
      </c>
      <c r="N1515" t="s">
        <v>18450</v>
      </c>
    </row>
    <row r="1516" spans="1:14">
      <c r="A1516" t="s">
        <v>17634</v>
      </c>
      <c r="B1516">
        <v>1</v>
      </c>
      <c r="C1516" t="s">
        <v>18451</v>
      </c>
      <c r="D1516" t="s">
        <v>18467</v>
      </c>
      <c r="E1516" t="s">
        <v>17334</v>
      </c>
      <c r="F1516">
        <v>3</v>
      </c>
      <c r="N1516" t="s">
        <v>18451</v>
      </c>
    </row>
    <row r="1517" spans="1:14">
      <c r="A1517" t="s">
        <v>17635</v>
      </c>
      <c r="B1517">
        <v>1</v>
      </c>
      <c r="C1517" t="s">
        <v>18452</v>
      </c>
      <c r="D1517" t="s">
        <v>18467</v>
      </c>
      <c r="E1517" t="s">
        <v>17334</v>
      </c>
      <c r="F1517">
        <v>3</v>
      </c>
      <c r="N1517" t="s">
        <v>18452</v>
      </c>
    </row>
    <row r="1518" spans="1:14">
      <c r="A1518" t="s">
        <v>17636</v>
      </c>
      <c r="B1518">
        <v>1</v>
      </c>
      <c r="C1518" t="s">
        <v>18453</v>
      </c>
      <c r="D1518" t="s">
        <v>18467</v>
      </c>
      <c r="E1518" t="s">
        <v>17334</v>
      </c>
      <c r="F1518">
        <v>3</v>
      </c>
      <c r="N1518" t="s">
        <v>18453</v>
      </c>
    </row>
    <row r="1519" spans="1:14">
      <c r="A1519" t="s">
        <v>17637</v>
      </c>
      <c r="B1519">
        <v>1</v>
      </c>
      <c r="C1519" t="s">
        <v>18454</v>
      </c>
      <c r="D1519" t="s">
        <v>18467</v>
      </c>
      <c r="E1519" t="s">
        <v>17334</v>
      </c>
      <c r="F1519">
        <v>3</v>
      </c>
      <c r="N1519" t="s">
        <v>18454</v>
      </c>
    </row>
    <row r="1520" spans="1:14">
      <c r="A1520" t="s">
        <v>17638</v>
      </c>
      <c r="B1520">
        <v>1</v>
      </c>
      <c r="C1520" t="s">
        <v>18455</v>
      </c>
      <c r="D1520" t="s">
        <v>18467</v>
      </c>
      <c r="E1520" t="s">
        <v>17334</v>
      </c>
      <c r="F1520">
        <v>3</v>
      </c>
      <c r="N1520" t="s">
        <v>18455</v>
      </c>
    </row>
    <row r="1521" spans="1:14">
      <c r="A1521" t="s">
        <v>17639</v>
      </c>
      <c r="B1521">
        <v>1</v>
      </c>
      <c r="C1521" t="s">
        <v>18456</v>
      </c>
      <c r="D1521" t="s">
        <v>18467</v>
      </c>
      <c r="E1521" t="s">
        <v>17334</v>
      </c>
      <c r="F1521">
        <v>3</v>
      </c>
      <c r="N1521" t="s">
        <v>18456</v>
      </c>
    </row>
    <row r="1522" spans="1:14">
      <c r="A1522" t="s">
        <v>17640</v>
      </c>
      <c r="B1522">
        <v>1</v>
      </c>
      <c r="C1522" t="s">
        <v>18457</v>
      </c>
      <c r="D1522" t="s">
        <v>18467</v>
      </c>
      <c r="E1522" t="s">
        <v>17334</v>
      </c>
      <c r="F1522">
        <v>3</v>
      </c>
      <c r="N1522" t="s">
        <v>18457</v>
      </c>
    </row>
    <row r="1523" spans="1:14">
      <c r="A1523" t="s">
        <v>17641</v>
      </c>
      <c r="B1523">
        <v>1</v>
      </c>
      <c r="C1523" t="s">
        <v>18458</v>
      </c>
      <c r="D1523" t="s">
        <v>18467</v>
      </c>
      <c r="E1523" t="s">
        <v>17334</v>
      </c>
      <c r="F1523">
        <v>3</v>
      </c>
      <c r="N1523" t="s">
        <v>18458</v>
      </c>
    </row>
    <row r="1524" spans="1:14">
      <c r="A1524" t="s">
        <v>17642</v>
      </c>
      <c r="B1524">
        <v>1</v>
      </c>
      <c r="C1524" t="s">
        <v>18459</v>
      </c>
      <c r="D1524" t="s">
        <v>18467</v>
      </c>
      <c r="E1524" t="s">
        <v>17334</v>
      </c>
      <c r="F1524">
        <v>3</v>
      </c>
      <c r="N1524" t="s">
        <v>18459</v>
      </c>
    </row>
    <row r="1525" spans="1:14">
      <c r="A1525" t="s">
        <v>17643</v>
      </c>
      <c r="B1525">
        <v>1</v>
      </c>
      <c r="C1525" t="s">
        <v>18460</v>
      </c>
      <c r="D1525" t="s">
        <v>18467</v>
      </c>
      <c r="E1525" t="s">
        <v>17334</v>
      </c>
      <c r="F1525">
        <v>3</v>
      </c>
      <c r="N1525" t="s">
        <v>18460</v>
      </c>
    </row>
    <row r="1526" spans="1:14">
      <c r="A1526" t="s">
        <v>18461</v>
      </c>
      <c r="B1526">
        <v>1</v>
      </c>
      <c r="C1526" t="s">
        <v>18468</v>
      </c>
      <c r="D1526" t="s">
        <v>18467</v>
      </c>
      <c r="E1526" t="s">
        <v>17334</v>
      </c>
      <c r="F1526">
        <v>3</v>
      </c>
      <c r="N1526" t="s">
        <v>18468</v>
      </c>
    </row>
    <row r="1527" spans="1:14">
      <c r="A1527" t="s">
        <v>18462</v>
      </c>
      <c r="B1527">
        <v>1</v>
      </c>
      <c r="C1527" t="s">
        <v>18469</v>
      </c>
      <c r="D1527" t="s">
        <v>18467</v>
      </c>
      <c r="E1527" t="s">
        <v>17334</v>
      </c>
      <c r="F1527">
        <v>3</v>
      </c>
      <c r="N1527" t="s">
        <v>18469</v>
      </c>
    </row>
    <row r="1528" spans="1:14">
      <c r="A1528" t="s">
        <v>18463</v>
      </c>
      <c r="B1528">
        <v>1</v>
      </c>
      <c r="C1528" t="s">
        <v>18470</v>
      </c>
      <c r="D1528" t="s">
        <v>18467</v>
      </c>
      <c r="E1528" t="s">
        <v>17334</v>
      </c>
      <c r="F1528">
        <v>3</v>
      </c>
      <c r="N1528" t="s">
        <v>18470</v>
      </c>
    </row>
    <row r="1529" spans="1:14">
      <c r="A1529" t="s">
        <v>18475</v>
      </c>
      <c r="B1529">
        <v>1</v>
      </c>
      <c r="C1529" t="s">
        <v>18508</v>
      </c>
      <c r="D1529" t="s">
        <v>5981</v>
      </c>
      <c r="E1529" t="s">
        <v>17334</v>
      </c>
      <c r="F1529">
        <v>3</v>
      </c>
      <c r="N1529" t="s">
        <v>18508</v>
      </c>
    </row>
    <row r="1530" spans="1:14">
      <c r="A1530" t="s">
        <v>18478</v>
      </c>
      <c r="B1530">
        <v>1</v>
      </c>
      <c r="C1530" t="s">
        <v>18509</v>
      </c>
      <c r="D1530" t="s">
        <v>5981</v>
      </c>
      <c r="E1530" t="s">
        <v>17334</v>
      </c>
      <c r="F1530">
        <v>3</v>
      </c>
      <c r="N1530" t="s">
        <v>18509</v>
      </c>
    </row>
    <row r="1531" spans="1:14">
      <c r="A1531" t="s">
        <v>18479</v>
      </c>
      <c r="B1531">
        <v>1</v>
      </c>
      <c r="C1531" t="s">
        <v>18510</v>
      </c>
      <c r="D1531" t="s">
        <v>5981</v>
      </c>
      <c r="E1531" t="s">
        <v>17334</v>
      </c>
      <c r="F1531">
        <v>3</v>
      </c>
      <c r="N1531" t="s">
        <v>18510</v>
      </c>
    </row>
    <row r="1532" spans="1:14">
      <c r="A1532" t="s">
        <v>18476</v>
      </c>
      <c r="B1532">
        <v>1</v>
      </c>
      <c r="C1532" t="s">
        <v>18511</v>
      </c>
      <c r="D1532" t="s">
        <v>5981</v>
      </c>
      <c r="E1532" t="s">
        <v>17334</v>
      </c>
      <c r="F1532">
        <v>3</v>
      </c>
      <c r="N1532" t="s">
        <v>18511</v>
      </c>
    </row>
    <row r="1533" spans="1:14">
      <c r="A1533" t="s">
        <v>18480</v>
      </c>
      <c r="B1533">
        <v>1</v>
      </c>
      <c r="C1533" t="s">
        <v>18512</v>
      </c>
      <c r="D1533" t="s">
        <v>5981</v>
      </c>
      <c r="E1533" t="s">
        <v>17334</v>
      </c>
      <c r="F1533">
        <v>3</v>
      </c>
      <c r="N1533" t="s">
        <v>18512</v>
      </c>
    </row>
    <row r="1534" spans="1:14">
      <c r="A1534" t="s">
        <v>18481</v>
      </c>
      <c r="B1534">
        <v>1</v>
      </c>
      <c r="C1534" t="s">
        <v>18513</v>
      </c>
      <c r="D1534" t="s">
        <v>5981</v>
      </c>
      <c r="E1534" t="s">
        <v>17334</v>
      </c>
      <c r="F1534">
        <v>3</v>
      </c>
      <c r="N1534" t="s">
        <v>18513</v>
      </c>
    </row>
    <row r="1535" spans="1:14">
      <c r="A1535" t="s">
        <v>18477</v>
      </c>
      <c r="B1535">
        <v>1</v>
      </c>
      <c r="C1535" t="s">
        <v>18514</v>
      </c>
      <c r="D1535" t="s">
        <v>12500</v>
      </c>
      <c r="E1535" t="s">
        <v>17334</v>
      </c>
      <c r="F1535">
        <v>2</v>
      </c>
      <c r="N1535" t="s">
        <v>18514</v>
      </c>
    </row>
    <row r="1536" spans="1:14">
      <c r="A1536" t="s">
        <v>18482</v>
      </c>
      <c r="B1536">
        <v>1</v>
      </c>
      <c r="C1536" t="s">
        <v>18515</v>
      </c>
      <c r="D1536" t="s">
        <v>12500</v>
      </c>
      <c r="E1536" t="s">
        <v>17334</v>
      </c>
      <c r="F1536">
        <v>2</v>
      </c>
      <c r="N1536" t="s">
        <v>18515</v>
      </c>
    </row>
    <row r="1537" spans="1:14">
      <c r="A1537" t="s">
        <v>18483</v>
      </c>
      <c r="B1537">
        <v>1</v>
      </c>
      <c r="C1537" t="s">
        <v>18516</v>
      </c>
      <c r="D1537" t="s">
        <v>12500</v>
      </c>
      <c r="E1537" t="s">
        <v>17334</v>
      </c>
      <c r="F1537">
        <v>2</v>
      </c>
      <c r="N1537" t="s">
        <v>18516</v>
      </c>
    </row>
    <row r="1538" spans="1:14">
      <c r="A1538" t="s">
        <v>18484</v>
      </c>
      <c r="B1538">
        <v>1</v>
      </c>
      <c r="C1538" t="s">
        <v>18517</v>
      </c>
      <c r="D1538" t="s">
        <v>12500</v>
      </c>
      <c r="E1538" t="s">
        <v>17334</v>
      </c>
      <c r="F1538">
        <v>2</v>
      </c>
      <c r="N1538" t="s">
        <v>18517</v>
      </c>
    </row>
    <row r="1539" spans="1:14">
      <c r="A1539" t="s">
        <v>18485</v>
      </c>
      <c r="B1539">
        <v>1</v>
      </c>
      <c r="C1539" t="s">
        <v>18518</v>
      </c>
      <c r="D1539" t="s">
        <v>12500</v>
      </c>
      <c r="E1539" t="s">
        <v>17334</v>
      </c>
      <c r="F1539">
        <v>2</v>
      </c>
      <c r="N1539" t="s">
        <v>18518</v>
      </c>
    </row>
    <row r="1540" spans="1:14">
      <c r="A1540" t="s">
        <v>18486</v>
      </c>
      <c r="B1540">
        <v>1</v>
      </c>
      <c r="C1540" t="s">
        <v>18519</v>
      </c>
      <c r="D1540" t="s">
        <v>12500</v>
      </c>
      <c r="E1540" t="s">
        <v>17334</v>
      </c>
      <c r="F1540">
        <v>2</v>
      </c>
      <c r="N1540" t="s">
        <v>18519</v>
      </c>
    </row>
    <row r="1541" spans="1:14">
      <c r="A1541" t="s">
        <v>18487</v>
      </c>
      <c r="B1541">
        <v>1</v>
      </c>
      <c r="C1541" t="s">
        <v>14043</v>
      </c>
      <c r="D1541" t="s">
        <v>13312</v>
      </c>
      <c r="E1541" t="s">
        <v>17334</v>
      </c>
      <c r="F1541">
        <v>3</v>
      </c>
      <c r="N1541" t="s">
        <v>14043</v>
      </c>
    </row>
    <row r="1542" spans="1:14">
      <c r="A1542" t="s">
        <v>18488</v>
      </c>
      <c r="B1542">
        <v>1</v>
      </c>
      <c r="C1542" t="s">
        <v>14046</v>
      </c>
      <c r="D1542" t="s">
        <v>13312</v>
      </c>
      <c r="E1542" t="s">
        <v>17334</v>
      </c>
      <c r="F1542">
        <v>3</v>
      </c>
      <c r="N1542" t="s">
        <v>14046</v>
      </c>
    </row>
    <row r="1543" spans="1:14">
      <c r="A1543" t="s">
        <v>18489</v>
      </c>
      <c r="B1543">
        <v>1</v>
      </c>
      <c r="C1543" t="s">
        <v>15101</v>
      </c>
      <c r="D1543" t="s">
        <v>13312</v>
      </c>
      <c r="E1543" t="s">
        <v>17334</v>
      </c>
      <c r="F1543">
        <v>3</v>
      </c>
      <c r="N1543" t="s">
        <v>15101</v>
      </c>
    </row>
    <row r="1544" spans="1:14">
      <c r="A1544" t="s">
        <v>18490</v>
      </c>
      <c r="B1544">
        <v>1</v>
      </c>
      <c r="C1544" t="s">
        <v>14051</v>
      </c>
      <c r="D1544" t="s">
        <v>13312</v>
      </c>
      <c r="E1544" t="s">
        <v>17334</v>
      </c>
      <c r="F1544">
        <v>3</v>
      </c>
      <c r="N1544" t="s">
        <v>14051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27" zoomScaleNormal="100" zoomScaleSheetLayoutView="100" workbookViewId="0">
      <selection activeCell="G37" sqref="G37"/>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19921875" style="16" customWidth="1"/>
    <col min="9" max="9" width="8.6992187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19"/>
      <c r="B1" s="2721" t="s">
        <v>6519</v>
      </c>
      <c r="C1" s="2721"/>
      <c r="D1" s="2721"/>
      <c r="E1" s="2721"/>
      <c r="F1" s="2721"/>
      <c r="G1" s="2721"/>
      <c r="H1" s="2721"/>
      <c r="I1" s="2721"/>
      <c r="J1" s="219"/>
      <c r="K1" s="219"/>
      <c r="L1" s="340"/>
      <c r="M1" s="284"/>
      <c r="N1" s="262"/>
      <c r="O1" s="263"/>
      <c r="P1" s="263"/>
      <c r="Q1" s="263"/>
      <c r="R1" s="262"/>
      <c r="S1" s="219"/>
      <c r="T1" s="2721" t="s">
        <v>4198</v>
      </c>
      <c r="U1" s="2721"/>
      <c r="V1" s="2721"/>
      <c r="W1" s="2721"/>
      <c r="X1" s="424"/>
      <c r="Y1" s="424"/>
      <c r="Z1" s="2826"/>
      <c r="AA1" s="2826"/>
      <c r="AB1" s="2826"/>
      <c r="AC1" s="2826"/>
      <c r="AD1" s="219"/>
      <c r="AE1" s="219"/>
    </row>
    <row r="2" spans="1:31" ht="30" customHeight="1">
      <c r="A2" s="219"/>
      <c r="B2" s="2721" t="str">
        <f>SelectCompany!B4</f>
        <v>Dŵr Cymru</v>
      </c>
      <c r="C2" s="2721"/>
      <c r="D2" s="529"/>
      <c r="E2" s="529"/>
      <c r="F2" s="529"/>
      <c r="G2" s="529"/>
      <c r="H2" s="529"/>
      <c r="I2" s="529"/>
      <c r="J2" s="219"/>
      <c r="K2" s="219"/>
      <c r="L2" s="340"/>
      <c r="M2" s="284"/>
      <c r="N2" s="262"/>
      <c r="O2" s="263"/>
      <c r="P2" s="263"/>
      <c r="Q2" s="263"/>
      <c r="R2" s="262"/>
      <c r="S2" s="219"/>
      <c r="T2" s="2721"/>
      <c r="U2" s="2721"/>
      <c r="V2" s="529"/>
      <c r="W2" s="529"/>
      <c r="X2" s="529"/>
      <c r="Y2" s="529"/>
      <c r="Z2" s="736"/>
      <c r="AA2" s="736"/>
      <c r="AB2" s="736"/>
      <c r="AC2" s="736"/>
      <c r="AD2" s="219"/>
      <c r="AE2" s="219"/>
    </row>
    <row r="3" spans="1:31" ht="30.75" customHeight="1">
      <c r="A3" s="219"/>
      <c r="B3" s="2736" t="s">
        <v>6520</v>
      </c>
      <c r="C3" s="2737"/>
      <c r="D3" s="2737"/>
      <c r="E3" s="2737"/>
      <c r="F3" s="2737"/>
      <c r="G3" s="2737"/>
      <c r="H3" s="2737"/>
      <c r="I3" s="2737"/>
      <c r="J3" s="2737"/>
      <c r="K3" s="219"/>
      <c r="L3" s="342"/>
      <c r="M3" s="265" t="s">
        <v>4200</v>
      </c>
      <c r="N3" s="262"/>
      <c r="O3" s="263"/>
      <c r="P3" s="263"/>
      <c r="Q3" s="263"/>
      <c r="R3" s="262"/>
      <c r="S3" s="219"/>
      <c r="T3" s="2827" t="s">
        <v>6520</v>
      </c>
      <c r="U3" s="2828"/>
      <c r="V3" s="2828"/>
      <c r="W3" s="2828"/>
      <c r="X3" s="2828"/>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34" t="s">
        <v>4202</v>
      </c>
      <c r="C5" s="2715"/>
      <c r="D5" s="670" t="s">
        <v>4214</v>
      </c>
      <c r="E5" s="670" t="s">
        <v>5979</v>
      </c>
      <c r="F5" s="671" t="s">
        <v>6521</v>
      </c>
      <c r="G5" s="482"/>
      <c r="H5" s="2811" t="s">
        <v>4208</v>
      </c>
      <c r="I5" s="242"/>
      <c r="J5" s="2811" t="s">
        <v>4209</v>
      </c>
      <c r="K5" s="242"/>
      <c r="L5" s="345"/>
      <c r="M5" s="284"/>
      <c r="N5" s="262"/>
      <c r="O5" s="269" t="s">
        <v>4210</v>
      </c>
      <c r="P5" s="269"/>
      <c r="Q5" s="269"/>
      <c r="R5" s="262"/>
      <c r="S5" s="219"/>
      <c r="T5" s="2734" t="s">
        <v>4202</v>
      </c>
      <c r="U5" s="2715"/>
      <c r="V5" s="670" t="s">
        <v>4214</v>
      </c>
      <c r="W5" s="670" t="s">
        <v>5979</v>
      </c>
      <c r="X5" s="671" t="s">
        <v>6521</v>
      </c>
      <c r="Y5" s="219"/>
      <c r="Z5" s="219"/>
      <c r="AA5" s="219"/>
      <c r="AB5" s="219"/>
      <c r="AC5" s="219"/>
      <c r="AD5" s="219"/>
      <c r="AE5" s="219"/>
    </row>
    <row r="6" spans="1:31" ht="15" customHeight="1">
      <c r="A6" s="242"/>
      <c r="B6" s="2817" t="s">
        <v>4203</v>
      </c>
      <c r="C6" s="2818"/>
      <c r="D6" s="427" t="s">
        <v>4215</v>
      </c>
      <c r="E6" s="427" t="s">
        <v>5981</v>
      </c>
      <c r="F6" s="428" t="s">
        <v>5982</v>
      </c>
      <c r="G6" s="482"/>
      <c r="H6" s="2812"/>
      <c r="I6" s="242"/>
      <c r="J6" s="2812"/>
      <c r="K6" s="242"/>
      <c r="L6" s="345"/>
      <c r="M6" s="284"/>
      <c r="N6" s="262"/>
      <c r="O6" s="269"/>
      <c r="P6" s="269"/>
      <c r="Q6" s="269"/>
      <c r="R6" s="262"/>
      <c r="S6" s="219"/>
      <c r="T6" s="2817" t="s">
        <v>4203</v>
      </c>
      <c r="U6" s="2818"/>
      <c r="V6" s="427" t="s">
        <v>4215</v>
      </c>
      <c r="W6" s="427" t="s">
        <v>5981</v>
      </c>
      <c r="X6" s="428" t="s">
        <v>5982</v>
      </c>
      <c r="Y6" s="219"/>
      <c r="Z6" s="219"/>
      <c r="AA6" s="219"/>
      <c r="AB6" s="219"/>
      <c r="AC6" s="219"/>
      <c r="AD6" s="219"/>
      <c r="AE6" s="219"/>
    </row>
    <row r="7" spans="1:31" ht="15" customHeight="1" thickBot="1">
      <c r="A7" s="242"/>
      <c r="B7" s="2735" t="s">
        <v>4204</v>
      </c>
      <c r="C7" s="2716"/>
      <c r="D7" s="271">
        <v>3</v>
      </c>
      <c r="E7" s="271">
        <v>3</v>
      </c>
      <c r="F7" s="672">
        <v>3</v>
      </c>
      <c r="G7" s="482"/>
      <c r="H7" s="2813"/>
      <c r="I7" s="242"/>
      <c r="J7" s="2813"/>
      <c r="K7" s="242"/>
      <c r="L7" s="345"/>
      <c r="M7" s="284"/>
      <c r="N7" s="262"/>
      <c r="O7" s="224"/>
      <c r="P7" s="224"/>
      <c r="Q7" s="224"/>
      <c r="R7" s="262"/>
      <c r="S7" s="219"/>
      <c r="T7" s="2735" t="s">
        <v>4204</v>
      </c>
      <c r="U7" s="2716"/>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83" t="s">
        <v>6522</v>
      </c>
      <c r="C9" s="2684"/>
      <c r="D9" s="741"/>
      <c r="E9" s="741"/>
      <c r="F9" s="741"/>
      <c r="G9" s="242"/>
      <c r="H9" s="482"/>
      <c r="I9" s="197"/>
      <c r="J9" s="242"/>
      <c r="K9" s="242"/>
      <c r="L9" s="345"/>
      <c r="M9" s="284"/>
      <c r="N9" s="262"/>
      <c r="O9" s="270"/>
      <c r="P9" s="270"/>
      <c r="Q9" s="270"/>
      <c r="R9" s="262"/>
      <c r="S9" s="219"/>
      <c r="T9" s="2683" t="s">
        <v>6522</v>
      </c>
      <c r="U9" s="2684"/>
      <c r="V9" s="741"/>
      <c r="W9" s="741"/>
      <c r="X9" s="741"/>
      <c r="Y9" s="224"/>
      <c r="Z9" s="219"/>
      <c r="AA9" s="219"/>
      <c r="AB9" s="219"/>
      <c r="AC9" s="219"/>
      <c r="AD9" s="219"/>
      <c r="AE9" s="219"/>
    </row>
    <row r="10" spans="1:31" ht="15.75" customHeight="1" thickTop="1">
      <c r="A10" s="242"/>
      <c r="B10" s="2822" t="s">
        <v>6523</v>
      </c>
      <c r="C10" s="2823"/>
      <c r="D10" s="667"/>
      <c r="E10" s="278">
        <v>1.266</v>
      </c>
      <c r="F10" s="743"/>
      <c r="G10" s="83"/>
      <c r="H10" s="281" t="s">
        <v>6524</v>
      </c>
      <c r="I10" s="242"/>
      <c r="J10" s="283"/>
      <c r="K10" s="242"/>
      <c r="L10" s="345"/>
      <c r="M10" s="284">
        <f>IF( SUM( O10:Q10 ) = 0, 0, $O$5 )</f>
        <v>0</v>
      </c>
      <c r="N10" s="262"/>
      <c r="O10" s="270"/>
      <c r="P10" s="285">
        <f xml:space="preserve"> IF( ISNUMBER(E10 ), 0, 1 )</f>
        <v>0</v>
      </c>
      <c r="Q10" s="270"/>
      <c r="R10" s="262"/>
      <c r="S10" s="219"/>
      <c r="T10" s="2822" t="s">
        <v>6525</v>
      </c>
      <c r="U10" s="2823"/>
      <c r="V10" s="667"/>
      <c r="W10" s="278" t="s">
        <v>6526</v>
      </c>
      <c r="X10" s="743"/>
      <c r="Y10" s="219"/>
      <c r="Z10" s="219"/>
      <c r="AA10" s="219"/>
      <c r="AB10" s="219"/>
      <c r="AC10" s="219"/>
      <c r="AD10" s="219"/>
      <c r="AE10" s="219"/>
    </row>
    <row r="11" spans="1:31" ht="15.75" customHeight="1">
      <c r="A11" s="242"/>
      <c r="B11" s="2824" t="s">
        <v>6527</v>
      </c>
      <c r="C11" s="2825"/>
      <c r="D11" s="744"/>
      <c r="E11" s="287">
        <v>3.931</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24" t="s">
        <v>6529</v>
      </c>
      <c r="U11" s="2825"/>
      <c r="V11" s="744"/>
      <c r="W11" s="287" t="s">
        <v>6530</v>
      </c>
      <c r="X11" s="745"/>
      <c r="Y11" s="219"/>
      <c r="Z11" s="219"/>
      <c r="AA11" s="219"/>
      <c r="AB11" s="219"/>
      <c r="AC11" s="219"/>
      <c r="AD11" s="219"/>
      <c r="AE11" s="219"/>
    </row>
    <row r="12" spans="1:31" ht="15.75" customHeight="1" thickBot="1">
      <c r="A12" s="242"/>
      <c r="B12" s="2820" t="s">
        <v>6531</v>
      </c>
      <c r="C12" s="2821"/>
      <c r="D12" s="668"/>
      <c r="E12" s="297">
        <v>119.099</v>
      </c>
      <c r="F12" s="746"/>
      <c r="G12" s="83"/>
      <c r="H12" s="356" t="s">
        <v>6532</v>
      </c>
      <c r="I12" s="242"/>
      <c r="J12" s="302"/>
      <c r="K12" s="242"/>
      <c r="L12" s="345"/>
      <c r="M12" s="284">
        <f t="shared" si="0"/>
        <v>0</v>
      </c>
      <c r="N12" s="262"/>
      <c r="O12" s="270"/>
      <c r="P12" s="285">
        <f t="shared" si="1"/>
        <v>0</v>
      </c>
      <c r="Q12" s="270"/>
      <c r="R12" s="262"/>
      <c r="S12" s="219"/>
      <c r="T12" s="2820" t="s">
        <v>6533</v>
      </c>
      <c r="U12" s="2821"/>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83" t="s">
        <v>6535</v>
      </c>
      <c r="C14" s="2684"/>
      <c r="D14" s="741"/>
      <c r="E14" s="741"/>
      <c r="F14" s="741"/>
      <c r="G14" s="242"/>
      <c r="H14" s="482"/>
      <c r="I14" s="197"/>
      <c r="J14" s="242"/>
      <c r="K14" s="242"/>
      <c r="L14" s="345"/>
      <c r="M14" s="284"/>
      <c r="N14" s="262"/>
      <c r="O14" s="270"/>
      <c r="P14" s="270"/>
      <c r="Q14" s="270"/>
      <c r="R14" s="262"/>
      <c r="S14" s="219"/>
      <c r="T14" s="2683" t="s">
        <v>6535</v>
      </c>
      <c r="U14" s="2684"/>
      <c r="V14" s="741"/>
      <c r="W14" s="741"/>
      <c r="X14" s="741"/>
      <c r="Y14" s="224"/>
      <c r="Z14" s="219"/>
      <c r="AA14" s="219"/>
      <c r="AB14" s="219"/>
      <c r="AC14" s="219"/>
      <c r="AD14" s="219"/>
      <c r="AE14" s="219"/>
    </row>
    <row r="15" spans="1:31" ht="15.75" customHeight="1" thickTop="1">
      <c r="A15" s="242"/>
      <c r="B15" s="2822" t="s">
        <v>6536</v>
      </c>
      <c r="C15" s="2823"/>
      <c r="D15" s="667"/>
      <c r="E15" s="278">
        <v>84.055000000000007</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22" t="s">
        <v>6538</v>
      </c>
      <c r="U15" s="2823"/>
      <c r="V15" s="667"/>
      <c r="W15" s="278" t="s">
        <v>6539</v>
      </c>
      <c r="X15" s="743"/>
      <c r="Y15" s="219"/>
      <c r="Z15" s="219"/>
      <c r="AA15" s="219"/>
      <c r="AB15" s="219"/>
      <c r="AC15" s="219"/>
      <c r="AD15" s="219"/>
      <c r="AE15" s="219"/>
    </row>
    <row r="16" spans="1:31" ht="15.75" customHeight="1">
      <c r="A16" s="242"/>
      <c r="B16" s="2824" t="s">
        <v>6540</v>
      </c>
      <c r="C16" s="2825"/>
      <c r="D16" s="744"/>
      <c r="E16" s="287">
        <v>126.679</v>
      </c>
      <c r="F16" s="745"/>
      <c r="G16" s="83"/>
      <c r="H16" s="290" t="s">
        <v>6541</v>
      </c>
      <c r="I16" s="242"/>
      <c r="J16" s="291"/>
      <c r="K16" s="242"/>
      <c r="L16" s="345"/>
      <c r="M16" s="284">
        <f t="shared" si="2"/>
        <v>0</v>
      </c>
      <c r="N16" s="262"/>
      <c r="O16" s="270"/>
      <c r="P16" s="285">
        <f t="shared" si="3"/>
        <v>0</v>
      </c>
      <c r="Q16" s="270"/>
      <c r="R16" s="262"/>
      <c r="S16" s="219"/>
      <c r="T16" s="2824" t="s">
        <v>6542</v>
      </c>
      <c r="U16" s="2825"/>
      <c r="V16" s="744"/>
      <c r="W16" s="287" t="s">
        <v>6543</v>
      </c>
      <c r="X16" s="745"/>
      <c r="Y16" s="219"/>
      <c r="Z16" s="219"/>
      <c r="AA16" s="219"/>
      <c r="AB16" s="219"/>
      <c r="AC16" s="219"/>
      <c r="AD16" s="219"/>
      <c r="AE16" s="219"/>
    </row>
    <row r="17" spans="1:31" ht="15.75" customHeight="1" thickBot="1">
      <c r="A17" s="242"/>
      <c r="B17" s="2820" t="s">
        <v>6544</v>
      </c>
      <c r="C17" s="2821"/>
      <c r="D17" s="668"/>
      <c r="E17" s="297">
        <v>1109.345</v>
      </c>
      <c r="F17" s="746"/>
      <c r="G17" s="83"/>
      <c r="H17" s="356" t="s">
        <v>6545</v>
      </c>
      <c r="I17" s="242"/>
      <c r="J17" s="302"/>
      <c r="K17" s="242"/>
      <c r="L17" s="345"/>
      <c r="M17" s="284">
        <f t="shared" si="2"/>
        <v>0</v>
      </c>
      <c r="N17" s="262"/>
      <c r="O17" s="270"/>
      <c r="P17" s="285">
        <f t="shared" si="3"/>
        <v>0</v>
      </c>
      <c r="Q17" s="270"/>
      <c r="R17" s="262"/>
      <c r="S17" s="219"/>
      <c r="T17" s="2820" t="s">
        <v>6546</v>
      </c>
      <c r="U17" s="2821"/>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83" t="s">
        <v>6548</v>
      </c>
      <c r="C19" s="2684"/>
      <c r="D19" s="741"/>
      <c r="E19" s="741"/>
      <c r="F19" s="741"/>
      <c r="G19" s="242"/>
      <c r="H19" s="482"/>
      <c r="I19" s="197"/>
      <c r="J19" s="242"/>
      <c r="K19" s="242"/>
      <c r="L19" s="345"/>
      <c r="M19" s="284"/>
      <c r="N19" s="262"/>
      <c r="O19" s="270"/>
      <c r="P19" s="270"/>
      <c r="Q19" s="270"/>
      <c r="R19" s="262"/>
      <c r="S19" s="219"/>
      <c r="T19" s="2683" t="s">
        <v>6548</v>
      </c>
      <c r="U19" s="2684"/>
      <c r="V19" s="741"/>
      <c r="W19" s="741"/>
      <c r="X19" s="741"/>
      <c r="Y19" s="224"/>
      <c r="Z19" s="219"/>
      <c r="AA19" s="219"/>
      <c r="AB19" s="219"/>
      <c r="AC19" s="219"/>
      <c r="AD19" s="219"/>
      <c r="AE19" s="219"/>
    </row>
    <row r="20" spans="1:31" ht="15.75" customHeight="1" thickTop="1">
      <c r="A20" s="242"/>
      <c r="B20" s="2822" t="s">
        <v>6549</v>
      </c>
      <c r="C20" s="2823"/>
      <c r="D20" s="667"/>
      <c r="E20" s="667"/>
      <c r="F20" s="280">
        <f>IFERROR(((D25+D33)/E10)*1000,0)</f>
        <v>140.60031595576621</v>
      </c>
      <c r="G20" s="83"/>
      <c r="H20" s="281" t="s">
        <v>6550</v>
      </c>
      <c r="I20" s="242"/>
      <c r="J20" s="283"/>
      <c r="K20" s="242"/>
      <c r="L20" s="345"/>
      <c r="M20" s="284"/>
      <c r="N20" s="262"/>
      <c r="O20" s="270"/>
      <c r="P20" s="270"/>
      <c r="Q20" s="270"/>
      <c r="R20" s="262"/>
      <c r="S20" s="219"/>
      <c r="T20" s="2822" t="s">
        <v>6549</v>
      </c>
      <c r="U20" s="2823"/>
      <c r="V20" s="667"/>
      <c r="W20" s="667"/>
      <c r="X20" s="280" t="s">
        <v>6551</v>
      </c>
      <c r="Y20" s="219"/>
      <c r="Z20" s="219"/>
      <c r="AA20" s="219"/>
      <c r="AB20" s="219"/>
      <c r="AC20" s="219"/>
      <c r="AD20" s="219"/>
      <c r="AE20" s="219"/>
    </row>
    <row r="21" spans="1:31" ht="15.75" customHeight="1">
      <c r="A21" s="242"/>
      <c r="B21" s="2824" t="s">
        <v>6552</v>
      </c>
      <c r="C21" s="2825"/>
      <c r="D21" s="744"/>
      <c r="E21" s="744"/>
      <c r="F21" s="289">
        <f>IFERROR(((D26+D34)/E11)*1000,0)</f>
        <v>34.342406512337831</v>
      </c>
      <c r="G21" s="83"/>
      <c r="H21" s="290" t="s">
        <v>6553</v>
      </c>
      <c r="I21" s="242"/>
      <c r="J21" s="291"/>
      <c r="K21" s="242"/>
      <c r="L21" s="345"/>
      <c r="M21" s="284"/>
      <c r="N21" s="262"/>
      <c r="O21" s="270"/>
      <c r="P21" s="270"/>
      <c r="Q21" s="270"/>
      <c r="R21" s="262"/>
      <c r="S21" s="219"/>
      <c r="T21" s="2824" t="s">
        <v>6552</v>
      </c>
      <c r="U21" s="2825"/>
      <c r="V21" s="744"/>
      <c r="W21" s="744"/>
      <c r="X21" s="289" t="s">
        <v>6554</v>
      </c>
      <c r="Y21" s="219"/>
      <c r="Z21" s="219"/>
      <c r="AA21" s="219"/>
      <c r="AB21" s="219"/>
      <c r="AC21" s="219"/>
      <c r="AD21" s="219"/>
      <c r="AE21" s="219"/>
    </row>
    <row r="22" spans="1:31" ht="15.75" customHeight="1" thickBot="1">
      <c r="A22" s="242"/>
      <c r="B22" s="2820" t="s">
        <v>6555</v>
      </c>
      <c r="C22" s="2821"/>
      <c r="D22" s="668"/>
      <c r="E22" s="668"/>
      <c r="F22" s="299">
        <f>IFERROR(((D27+D35)/E12)*1000,0)</f>
        <v>240.82485999042814</v>
      </c>
      <c r="G22" s="83"/>
      <c r="H22" s="356" t="s">
        <v>6556</v>
      </c>
      <c r="I22" s="242"/>
      <c r="J22" s="302"/>
      <c r="K22" s="242"/>
      <c r="L22" s="345"/>
      <c r="M22" s="284"/>
      <c r="N22" s="262"/>
      <c r="O22" s="270"/>
      <c r="P22" s="270"/>
      <c r="Q22" s="270"/>
      <c r="R22" s="262"/>
      <c r="S22" s="219"/>
      <c r="T22" s="2820" t="s">
        <v>6555</v>
      </c>
      <c r="U22" s="2821"/>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83" t="s">
        <v>6558</v>
      </c>
      <c r="C24" s="2684"/>
      <c r="D24" s="741"/>
      <c r="E24" s="741"/>
      <c r="F24" s="741"/>
      <c r="G24" s="242"/>
      <c r="H24" s="482"/>
      <c r="I24" s="197"/>
      <c r="J24" s="242"/>
      <c r="K24" s="242"/>
      <c r="L24" s="345"/>
      <c r="M24" s="284"/>
      <c r="N24" s="262"/>
      <c r="O24" s="270"/>
      <c r="P24" s="270"/>
      <c r="Q24" s="270"/>
      <c r="R24" s="262"/>
      <c r="S24" s="219"/>
      <c r="T24" s="2683" t="s">
        <v>6558</v>
      </c>
      <c r="U24" s="2684"/>
      <c r="V24" s="741"/>
      <c r="W24" s="741"/>
      <c r="X24" s="741"/>
      <c r="Y24" s="224"/>
      <c r="Z24" s="219"/>
      <c r="AA24" s="219"/>
      <c r="AB24" s="219"/>
      <c r="AC24" s="219"/>
      <c r="AD24" s="219"/>
      <c r="AE24" s="219"/>
    </row>
    <row r="25" spans="1:31" ht="15.75" customHeight="1" thickTop="1">
      <c r="A25" s="242"/>
      <c r="B25" s="2822" t="s">
        <v>6559</v>
      </c>
      <c r="C25" s="2823"/>
      <c r="D25" s="748">
        <v>0.104</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22" t="s">
        <v>6559</v>
      </c>
      <c r="U25" s="2823"/>
      <c r="V25" s="748" t="s">
        <v>6561</v>
      </c>
      <c r="W25" s="749"/>
      <c r="X25" s="750"/>
      <c r="Y25" s="219"/>
      <c r="Z25" s="219"/>
      <c r="AA25" s="219"/>
      <c r="AB25" s="219"/>
      <c r="AC25" s="219"/>
      <c r="AD25" s="219"/>
      <c r="AE25" s="219"/>
    </row>
    <row r="26" spans="1:31" ht="15.75" customHeight="1">
      <c r="A26" s="242"/>
      <c r="B26" s="2824" t="s">
        <v>6562</v>
      </c>
      <c r="C26" s="2825"/>
      <c r="D26" s="751">
        <v>7.9000000000000001E-2</v>
      </c>
      <c r="E26" s="752"/>
      <c r="F26" s="753"/>
      <c r="G26" s="83"/>
      <c r="H26" s="290" t="s">
        <v>6563</v>
      </c>
      <c r="I26" s="242"/>
      <c r="J26" s="291"/>
      <c r="K26" s="242"/>
      <c r="L26" s="345"/>
      <c r="M26" s="284">
        <f t="shared" si="4"/>
        <v>0</v>
      </c>
      <c r="N26" s="262"/>
      <c r="O26" s="285">
        <f t="shared" si="5"/>
        <v>0</v>
      </c>
      <c r="P26" s="270"/>
      <c r="Q26" s="270"/>
      <c r="R26" s="262"/>
      <c r="S26" s="219"/>
      <c r="T26" s="2824" t="s">
        <v>6562</v>
      </c>
      <c r="U26" s="2825"/>
      <c r="V26" s="751" t="s">
        <v>6564</v>
      </c>
      <c r="W26" s="752"/>
      <c r="X26" s="753"/>
      <c r="Y26" s="219"/>
      <c r="Z26" s="219"/>
      <c r="AA26" s="219"/>
      <c r="AB26" s="219"/>
      <c r="AC26" s="219"/>
      <c r="AD26" s="219"/>
      <c r="AE26" s="219"/>
    </row>
    <row r="27" spans="1:31" ht="15.75" customHeight="1">
      <c r="A27" s="242"/>
      <c r="B27" s="2824" t="s">
        <v>6565</v>
      </c>
      <c r="C27" s="2825"/>
      <c r="D27" s="751">
        <v>16.483000000000001</v>
      </c>
      <c r="E27" s="752"/>
      <c r="F27" s="753"/>
      <c r="G27" s="83"/>
      <c r="H27" s="290" t="s">
        <v>6566</v>
      </c>
      <c r="I27" s="242"/>
      <c r="J27" s="291"/>
      <c r="K27" s="242"/>
      <c r="L27" s="345"/>
      <c r="M27" s="284">
        <f t="shared" si="4"/>
        <v>0</v>
      </c>
      <c r="N27" s="262"/>
      <c r="O27" s="285">
        <f t="shared" si="5"/>
        <v>0</v>
      </c>
      <c r="P27" s="270"/>
      <c r="Q27" s="270"/>
      <c r="R27" s="262"/>
      <c r="S27" s="219"/>
      <c r="T27" s="2824" t="s">
        <v>6565</v>
      </c>
      <c r="U27" s="2825"/>
      <c r="V27" s="751" t="s">
        <v>6567</v>
      </c>
      <c r="W27" s="752"/>
      <c r="X27" s="753"/>
      <c r="Y27" s="219"/>
      <c r="Z27" s="219"/>
      <c r="AA27" s="219"/>
      <c r="AB27" s="219"/>
      <c r="AC27" s="219"/>
      <c r="AD27" s="219"/>
      <c r="AE27" s="219"/>
    </row>
    <row r="28" spans="1:31" ht="15.75" customHeight="1">
      <c r="A28" s="242"/>
      <c r="B28" s="2824" t="s">
        <v>6568</v>
      </c>
      <c r="C28" s="2825"/>
      <c r="D28" s="744"/>
      <c r="E28" s="744"/>
      <c r="F28" s="289">
        <f>IFERROR(IF(OR(D25=0,E10=0,E15=0),0,D25/((E10+E15)/1000)),0)</f>
        <v>1.2189261729234302</v>
      </c>
      <c r="G28" s="83"/>
      <c r="H28" s="290" t="s">
        <v>6569</v>
      </c>
      <c r="I28" s="242"/>
      <c r="J28" s="291"/>
      <c r="K28" s="242"/>
      <c r="L28" s="345"/>
      <c r="M28" s="284"/>
      <c r="N28" s="262"/>
      <c r="O28" s="270"/>
      <c r="P28" s="270"/>
      <c r="Q28" s="270"/>
      <c r="R28" s="262"/>
      <c r="S28" s="219"/>
      <c r="T28" s="2824" t="s">
        <v>6568</v>
      </c>
      <c r="U28" s="2825"/>
      <c r="V28" s="744"/>
      <c r="W28" s="744"/>
      <c r="X28" s="289" t="s">
        <v>6570</v>
      </c>
      <c r="Y28" s="219"/>
      <c r="Z28" s="219"/>
      <c r="AA28" s="219"/>
      <c r="AB28" s="219"/>
      <c r="AC28" s="219"/>
      <c r="AD28" s="219"/>
      <c r="AE28" s="219"/>
    </row>
    <row r="29" spans="1:31" ht="15.75" customHeight="1">
      <c r="A29" s="242"/>
      <c r="B29" s="2824" t="s">
        <v>6571</v>
      </c>
      <c r="C29" s="2825"/>
      <c r="D29" s="744"/>
      <c r="E29" s="744"/>
      <c r="F29" s="289">
        <f>IFERROR(IF(OR(D26=0,E11=0,E16=0),0,D26/((E11+E16)/1000)),0)</f>
        <v>0.60485414593063314</v>
      </c>
      <c r="G29" s="83"/>
      <c r="H29" s="290" t="s">
        <v>6572</v>
      </c>
      <c r="I29" s="242"/>
      <c r="J29" s="291"/>
      <c r="K29" s="242"/>
      <c r="L29" s="345"/>
      <c r="M29" s="284"/>
      <c r="N29" s="262"/>
      <c r="O29" s="270"/>
      <c r="P29" s="270"/>
      <c r="Q29" s="270"/>
      <c r="R29" s="262"/>
      <c r="S29" s="219"/>
      <c r="T29" s="2824" t="s">
        <v>6571</v>
      </c>
      <c r="U29" s="2825"/>
      <c r="V29" s="744"/>
      <c r="W29" s="744"/>
      <c r="X29" s="289" t="s">
        <v>6573</v>
      </c>
      <c r="Y29" s="219"/>
      <c r="Z29" s="219"/>
      <c r="AA29" s="219"/>
      <c r="AB29" s="219"/>
      <c r="AC29" s="219"/>
      <c r="AD29" s="219"/>
      <c r="AE29" s="219"/>
    </row>
    <row r="30" spans="1:31" ht="15.75" customHeight="1" thickBot="1">
      <c r="A30" s="242"/>
      <c r="B30" s="2820" t="s">
        <v>6574</v>
      </c>
      <c r="C30" s="2821"/>
      <c r="D30" s="668"/>
      <c r="E30" s="668"/>
      <c r="F30" s="299">
        <f>IFERROR(IF(OR(D27=0,E12=0,E17=0),0,D27/((E12+E17)/1000)),0)</f>
        <v>13.417787054192134</v>
      </c>
      <c r="G30" s="83"/>
      <c r="H30" s="356" t="s">
        <v>6575</v>
      </c>
      <c r="I30" s="242"/>
      <c r="J30" s="302"/>
      <c r="K30" s="242"/>
      <c r="L30" s="345"/>
      <c r="M30" s="284"/>
      <c r="N30" s="262"/>
      <c r="O30" s="270"/>
      <c r="P30" s="270"/>
      <c r="Q30" s="270"/>
      <c r="R30" s="262"/>
      <c r="S30" s="219"/>
      <c r="T30" s="2820" t="s">
        <v>6574</v>
      </c>
      <c r="U30" s="2821"/>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83" t="s">
        <v>6577</v>
      </c>
      <c r="C32" s="2684"/>
      <c r="D32" s="741"/>
      <c r="E32" s="741"/>
      <c r="F32" s="741"/>
      <c r="G32" s="242"/>
      <c r="H32" s="482"/>
      <c r="I32" s="197"/>
      <c r="J32" s="242"/>
      <c r="K32" s="242"/>
      <c r="L32" s="345"/>
      <c r="M32" s="284"/>
      <c r="N32" s="262"/>
      <c r="O32" s="270"/>
      <c r="P32" s="270"/>
      <c r="Q32" s="270"/>
      <c r="R32" s="262"/>
      <c r="S32" s="219"/>
      <c r="T32" s="2683" t="s">
        <v>6577</v>
      </c>
      <c r="U32" s="2684"/>
      <c r="V32" s="741"/>
      <c r="W32" s="741"/>
      <c r="X32" s="741"/>
      <c r="Y32" s="224"/>
      <c r="Z32" s="219"/>
      <c r="AA32" s="219"/>
      <c r="AB32" s="219"/>
      <c r="AC32" s="219"/>
      <c r="AD32" s="219"/>
      <c r="AE32" s="219"/>
    </row>
    <row r="33" spans="1:31" ht="15.75" customHeight="1" thickTop="1">
      <c r="A33" s="242"/>
      <c r="B33" s="2822" t="s">
        <v>6578</v>
      </c>
      <c r="C33" s="2823"/>
      <c r="D33" s="748">
        <v>7.3999999999999996E-2</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22" t="s">
        <v>6578</v>
      </c>
      <c r="U33" s="2823"/>
      <c r="V33" s="748" t="s">
        <v>6580</v>
      </c>
      <c r="W33" s="749"/>
      <c r="X33" s="754"/>
      <c r="Y33" s="219"/>
      <c r="Z33" s="219"/>
      <c r="AA33" s="219"/>
      <c r="AB33" s="219"/>
      <c r="AC33" s="219"/>
      <c r="AD33" s="219"/>
      <c r="AE33" s="219"/>
    </row>
    <row r="34" spans="1:31" ht="32.25" customHeight="1">
      <c r="A34" s="242"/>
      <c r="B34" s="2824" t="s">
        <v>6581</v>
      </c>
      <c r="C34" s="2825"/>
      <c r="D34" s="751">
        <v>5.6000000000000001E-2</v>
      </c>
      <c r="E34" s="752"/>
      <c r="F34" s="755"/>
      <c r="G34" s="83"/>
      <c r="H34" s="290" t="s">
        <v>6582</v>
      </c>
      <c r="I34" s="242"/>
      <c r="J34" s="291"/>
      <c r="K34" s="242"/>
      <c r="L34" s="345"/>
      <c r="M34" s="284">
        <f t="shared" si="6"/>
        <v>0</v>
      </c>
      <c r="N34" s="262"/>
      <c r="O34" s="285">
        <f t="shared" si="7"/>
        <v>0</v>
      </c>
      <c r="P34" s="270"/>
      <c r="Q34" s="270"/>
      <c r="R34" s="262"/>
      <c r="S34" s="219"/>
      <c r="T34" s="2824" t="s">
        <v>6581</v>
      </c>
      <c r="U34" s="2825"/>
      <c r="V34" s="751" t="s">
        <v>6583</v>
      </c>
      <c r="W34" s="752"/>
      <c r="X34" s="755"/>
      <c r="Y34" s="219"/>
      <c r="Z34" s="219"/>
      <c r="AA34" s="219"/>
      <c r="AB34" s="219"/>
      <c r="AC34" s="219"/>
      <c r="AD34" s="219"/>
      <c r="AE34" s="219"/>
    </row>
    <row r="35" spans="1:31" ht="15.75" customHeight="1">
      <c r="A35" s="242"/>
      <c r="B35" s="2824" t="s">
        <v>6584</v>
      </c>
      <c r="C35" s="2825"/>
      <c r="D35" s="751">
        <v>12.199</v>
      </c>
      <c r="E35" s="752"/>
      <c r="F35" s="755"/>
      <c r="G35" s="83"/>
      <c r="H35" s="290" t="s">
        <v>6585</v>
      </c>
      <c r="I35" s="242"/>
      <c r="J35" s="291"/>
      <c r="K35" s="242"/>
      <c r="L35" s="345"/>
      <c r="M35" s="284">
        <f t="shared" si="6"/>
        <v>0</v>
      </c>
      <c r="N35" s="262"/>
      <c r="O35" s="285">
        <f t="shared" si="7"/>
        <v>0</v>
      </c>
      <c r="P35" s="270"/>
      <c r="Q35" s="270"/>
      <c r="R35" s="262"/>
      <c r="S35" s="219"/>
      <c r="T35" s="2824" t="s">
        <v>6584</v>
      </c>
      <c r="U35" s="2825"/>
      <c r="V35" s="751" t="s">
        <v>6586</v>
      </c>
      <c r="W35" s="752"/>
      <c r="X35" s="755"/>
      <c r="Y35" s="219"/>
      <c r="Z35" s="219"/>
      <c r="AA35" s="219"/>
      <c r="AB35" s="219"/>
      <c r="AC35" s="219"/>
      <c r="AD35" s="219"/>
      <c r="AE35" s="219"/>
    </row>
    <row r="36" spans="1:31" ht="15.75" customHeight="1">
      <c r="A36" s="242"/>
      <c r="B36" s="2824" t="s">
        <v>6587</v>
      </c>
      <c r="C36" s="2825"/>
      <c r="D36" s="744"/>
      <c r="E36" s="744"/>
      <c r="F36" s="289">
        <f>IFERROR(IF(OR(D33=0,E10=0),0,D33/(E10/1000)),0)</f>
        <v>58.451816745655606</v>
      </c>
      <c r="G36" s="83"/>
      <c r="H36" s="290" t="s">
        <v>6588</v>
      </c>
      <c r="I36" s="242"/>
      <c r="J36" s="291"/>
      <c r="K36" s="242"/>
      <c r="L36" s="345"/>
      <c r="M36" s="284"/>
      <c r="N36" s="262"/>
      <c r="O36" s="270"/>
      <c r="P36" s="270"/>
      <c r="Q36" s="270"/>
      <c r="R36" s="262"/>
      <c r="S36" s="219"/>
      <c r="T36" s="2824" t="s">
        <v>6587</v>
      </c>
      <c r="U36" s="2825"/>
      <c r="V36" s="744"/>
      <c r="W36" s="744"/>
      <c r="X36" s="289" t="s">
        <v>6589</v>
      </c>
      <c r="Y36" s="219"/>
      <c r="Z36" s="219"/>
      <c r="AA36" s="219"/>
      <c r="AB36" s="219"/>
      <c r="AC36" s="219"/>
      <c r="AD36" s="219"/>
      <c r="AE36" s="219"/>
    </row>
    <row r="37" spans="1:31" ht="32.25" customHeight="1">
      <c r="A37" s="242"/>
      <c r="B37" s="2824" t="s">
        <v>6590</v>
      </c>
      <c r="C37" s="2825"/>
      <c r="D37" s="744"/>
      <c r="E37" s="744"/>
      <c r="F37" s="289">
        <f>IFERROR(IF(OR(D34=0,E11=0),0,D34/(E11/1000)),0)</f>
        <v>14.245738997710506</v>
      </c>
      <c r="G37" s="83"/>
      <c r="H37" s="290" t="s">
        <v>6591</v>
      </c>
      <c r="I37" s="242"/>
      <c r="J37" s="291"/>
      <c r="K37" s="242"/>
      <c r="L37" s="345"/>
      <c r="M37" s="284"/>
      <c r="N37" s="262"/>
      <c r="O37" s="270"/>
      <c r="P37" s="270"/>
      <c r="Q37" s="270"/>
      <c r="R37" s="262"/>
      <c r="S37" s="219"/>
      <c r="T37" s="2824" t="s">
        <v>6590</v>
      </c>
      <c r="U37" s="2825"/>
      <c r="V37" s="744"/>
      <c r="W37" s="744"/>
      <c r="X37" s="289" t="s">
        <v>6592</v>
      </c>
      <c r="Y37" s="219"/>
      <c r="Z37" s="219"/>
      <c r="AA37" s="219"/>
      <c r="AB37" s="219"/>
      <c r="AC37" s="219"/>
      <c r="AD37" s="219"/>
      <c r="AE37" s="219"/>
    </row>
    <row r="38" spans="1:31" ht="32.25" customHeight="1" thickBot="1">
      <c r="A38" s="242"/>
      <c r="B38" s="2820" t="s">
        <v>6593</v>
      </c>
      <c r="C38" s="2821"/>
      <c r="D38" s="668"/>
      <c r="E38" s="668"/>
      <c r="F38" s="299">
        <f>IFERROR(IF(OR(D35=0,E12=0),0,D35/(E12/1000)),0)</f>
        <v>102.42739233746714</v>
      </c>
      <c r="G38" s="83"/>
      <c r="H38" s="356" t="s">
        <v>6594</v>
      </c>
      <c r="I38" s="242"/>
      <c r="J38" s="302"/>
      <c r="K38" s="242"/>
      <c r="L38" s="345"/>
      <c r="M38" s="284"/>
      <c r="N38" s="262"/>
      <c r="O38" s="270"/>
      <c r="P38" s="270"/>
      <c r="Q38" s="270"/>
      <c r="R38" s="262"/>
      <c r="S38" s="219"/>
      <c r="T38" s="2820" t="s">
        <v>6593</v>
      </c>
      <c r="U38" s="2821"/>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83" t="s">
        <v>6596</v>
      </c>
      <c r="C40" s="2684"/>
      <c r="D40" s="741"/>
      <c r="E40" s="741"/>
      <c r="F40" s="741"/>
      <c r="G40" s="242"/>
      <c r="H40" s="482"/>
      <c r="I40" s="197"/>
      <c r="J40" s="242"/>
      <c r="K40" s="242"/>
      <c r="L40" s="345"/>
      <c r="M40" s="284"/>
      <c r="N40" s="262"/>
      <c r="O40" s="270"/>
      <c r="P40" s="270"/>
      <c r="Q40" s="270"/>
      <c r="R40" s="262"/>
      <c r="S40" s="219"/>
      <c r="T40" s="2683" t="s">
        <v>6596</v>
      </c>
      <c r="U40" s="2684"/>
      <c r="V40" s="741"/>
      <c r="W40" s="741"/>
      <c r="X40" s="741"/>
      <c r="Y40" s="224"/>
      <c r="Z40" s="219"/>
      <c r="AA40" s="219"/>
      <c r="AB40" s="219"/>
      <c r="AC40" s="219"/>
      <c r="AD40" s="219"/>
      <c r="AE40" s="219"/>
    </row>
    <row r="41" spans="1:31" ht="15.75" customHeight="1" thickTop="1">
      <c r="A41" s="242"/>
      <c r="B41" s="2822" t="s">
        <v>6597</v>
      </c>
      <c r="C41" s="2823"/>
      <c r="D41" s="667"/>
      <c r="E41" s="667"/>
      <c r="F41" s="717">
        <v>18.190000000000001</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22" t="s">
        <v>6597</v>
      </c>
      <c r="U41" s="2823"/>
      <c r="V41" s="667"/>
      <c r="W41" s="667"/>
      <c r="X41" s="717" t="s">
        <v>6599</v>
      </c>
      <c r="Y41" s="219"/>
      <c r="Z41" s="219"/>
      <c r="AA41" s="219"/>
      <c r="AB41" s="219"/>
      <c r="AC41" s="219"/>
      <c r="AD41" s="219"/>
      <c r="AE41" s="219"/>
    </row>
    <row r="42" spans="1:31" ht="15.75" customHeight="1" thickBot="1">
      <c r="A42" s="242"/>
      <c r="B42" s="2820" t="s">
        <v>6600</v>
      </c>
      <c r="C42" s="2821"/>
      <c r="D42" s="668"/>
      <c r="E42" s="668"/>
      <c r="F42" s="718">
        <v>22.92</v>
      </c>
      <c r="G42" s="83"/>
      <c r="H42" s="356" t="s">
        <v>6601</v>
      </c>
      <c r="I42" s="242"/>
      <c r="J42" s="302"/>
      <c r="K42" s="242"/>
      <c r="L42" s="345"/>
      <c r="M42" s="284">
        <f t="shared" si="8"/>
        <v>0</v>
      </c>
      <c r="N42" s="262"/>
      <c r="O42" s="270"/>
      <c r="P42" s="270"/>
      <c r="Q42" s="285">
        <f t="shared" si="9"/>
        <v>0</v>
      </c>
      <c r="R42" s="262"/>
      <c r="S42" s="219"/>
      <c r="T42" s="2820" t="s">
        <v>6600</v>
      </c>
      <c r="U42" s="2821"/>
      <c r="V42" s="668"/>
      <c r="W42" s="668"/>
      <c r="X42" s="718" t="s">
        <v>6602</v>
      </c>
      <c r="Y42" s="219"/>
      <c r="Z42" s="219"/>
      <c r="AA42" s="219"/>
      <c r="AB42" s="219"/>
      <c r="AC42" s="219"/>
      <c r="AD42" s="219"/>
      <c r="AE42" s="219"/>
    </row>
    <row r="43" spans="1:31" ht="16.2"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6">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6">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4" priority="7" operator="equal">
      <formula>0</formula>
    </cfRule>
  </conditionalFormatting>
  <conditionalFormatting sqref="M4:M43">
    <cfRule type="cellIs" dxfId="153"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A16" zoomScaleNormal="100" zoomScaleSheetLayoutView="100" workbookViewId="0">
      <selection activeCell="H25" sqref="H25"/>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1992187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389"/>
      <c r="B1" s="2721" t="s">
        <v>6603</v>
      </c>
      <c r="C1" s="2721"/>
      <c r="D1" s="2721"/>
      <c r="E1" s="2721"/>
      <c r="F1" s="2721"/>
      <c r="G1" s="2721"/>
      <c r="H1" s="2721"/>
      <c r="I1" s="2721"/>
      <c r="J1" s="2721"/>
      <c r="K1" s="561"/>
      <c r="L1" s="2721"/>
      <c r="M1" s="2721"/>
      <c r="N1" s="2721"/>
      <c r="O1" s="389"/>
      <c r="P1" s="389"/>
      <c r="Q1" s="389"/>
      <c r="R1" s="340"/>
      <c r="S1" s="267"/>
      <c r="T1" s="361"/>
      <c r="U1" s="263"/>
      <c r="V1" s="263"/>
      <c r="W1" s="263"/>
      <c r="X1" s="263"/>
      <c r="Y1" s="263"/>
      <c r="Z1" s="263"/>
      <c r="AA1" s="263"/>
      <c r="AB1" s="361"/>
      <c r="AC1" s="389"/>
      <c r="AD1" s="2721" t="s">
        <v>4198</v>
      </c>
      <c r="AE1" s="2721"/>
      <c r="AF1" s="2721"/>
      <c r="AG1" s="2721"/>
      <c r="AH1" s="2721"/>
      <c r="AI1" s="2721"/>
      <c r="AJ1" s="2721"/>
      <c r="AK1" s="2721"/>
      <c r="AL1" s="2721"/>
      <c r="AM1" s="389"/>
      <c r="AN1" s="389"/>
      <c r="AO1" s="389"/>
    </row>
    <row r="2" spans="1:41" s="8" customFormat="1" ht="30" customHeight="1">
      <c r="A2" s="389"/>
      <c r="B2" s="2721" t="str">
        <f>SelectCompany!B4</f>
        <v>Dŵr Cymru</v>
      </c>
      <c r="C2" s="2721"/>
      <c r="D2" s="2721"/>
      <c r="E2" s="2721"/>
      <c r="F2" s="2721"/>
      <c r="G2" s="2721"/>
      <c r="H2" s="2721"/>
      <c r="I2" s="2721"/>
      <c r="J2" s="2721"/>
      <c r="K2" s="561"/>
      <c r="L2" s="529"/>
      <c r="M2" s="529"/>
      <c r="N2" s="529"/>
      <c r="O2" s="389"/>
      <c r="P2" s="389"/>
      <c r="Q2" s="389"/>
      <c r="R2" s="340"/>
      <c r="S2" s="267"/>
      <c r="T2" s="361"/>
      <c r="U2" s="263"/>
      <c r="V2" s="263"/>
      <c r="W2" s="263"/>
      <c r="X2" s="263"/>
      <c r="Y2" s="263"/>
      <c r="Z2" s="263"/>
      <c r="AA2" s="263"/>
      <c r="AB2" s="361"/>
      <c r="AC2" s="389"/>
      <c r="AD2" s="2721"/>
      <c r="AE2" s="2721"/>
      <c r="AF2" s="2721"/>
      <c r="AG2" s="2721"/>
      <c r="AH2" s="2721"/>
      <c r="AI2" s="2721"/>
      <c r="AJ2" s="2721"/>
      <c r="AK2" s="2721"/>
      <c r="AL2" s="2721"/>
      <c r="AM2" s="389"/>
      <c r="AN2" s="389"/>
      <c r="AO2" s="389"/>
    </row>
    <row r="3" spans="1:41" s="4" customFormat="1" ht="26.85" customHeight="1">
      <c r="A3" s="197"/>
      <c r="B3" s="2722" t="s">
        <v>6604</v>
      </c>
      <c r="C3" s="2723"/>
      <c r="D3" s="2723"/>
      <c r="E3" s="2723"/>
      <c r="F3" s="2723"/>
      <c r="G3" s="2723"/>
      <c r="H3" s="2723"/>
      <c r="I3" s="2723"/>
      <c r="J3" s="2723"/>
      <c r="K3" s="2723"/>
      <c r="L3" s="2723"/>
      <c r="M3" s="2723"/>
      <c r="N3" s="2723"/>
      <c r="O3" s="2723"/>
      <c r="P3" s="2723"/>
      <c r="Q3" s="197"/>
      <c r="R3" s="342"/>
      <c r="S3" s="265" t="s">
        <v>4200</v>
      </c>
      <c r="T3" s="361"/>
      <c r="U3" s="263"/>
      <c r="V3" s="263"/>
      <c r="W3" s="263"/>
      <c r="X3" s="263"/>
      <c r="Y3" s="263"/>
      <c r="Z3" s="263"/>
      <c r="AA3" s="263"/>
      <c r="AB3" s="361"/>
      <c r="AC3" s="197"/>
      <c r="AD3" s="2722" t="s">
        <v>6604</v>
      </c>
      <c r="AE3" s="2723"/>
      <c r="AF3" s="2723"/>
      <c r="AG3" s="2723"/>
      <c r="AH3" s="2723"/>
      <c r="AI3" s="2723"/>
      <c r="AJ3" s="2723"/>
      <c r="AK3" s="2723"/>
      <c r="AL3" s="2723"/>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710" t="s">
        <v>4201</v>
      </c>
      <c r="V4" s="2710"/>
      <c r="W4" s="2710"/>
      <c r="X4" s="2710"/>
      <c r="Y4" s="2710"/>
      <c r="Z4" s="2710"/>
      <c r="AA4" s="2710"/>
      <c r="AB4" s="361"/>
      <c r="AC4" s="197"/>
      <c r="AD4" s="530"/>
      <c r="AE4" s="530"/>
      <c r="AF4" s="530"/>
      <c r="AG4" s="530"/>
      <c r="AH4" s="530"/>
      <c r="AI4" s="530"/>
      <c r="AJ4" s="530"/>
      <c r="AK4" s="530"/>
      <c r="AL4" s="530"/>
      <c r="AM4" s="197"/>
      <c r="AN4" s="197"/>
      <c r="AO4" s="197"/>
    </row>
    <row r="5" spans="1:41" ht="46.2"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31.117000000000001</v>
      </c>
      <c r="F8" s="278">
        <v>2.2269999999999999</v>
      </c>
      <c r="G8" s="278">
        <v>13.451000000000001</v>
      </c>
      <c r="H8" s="278">
        <v>275.17099999999999</v>
      </c>
      <c r="I8" s="278">
        <v>132.089</v>
      </c>
      <c r="J8" s="278">
        <v>31.532</v>
      </c>
      <c r="K8" s="278">
        <v>0</v>
      </c>
      <c r="L8" s="280">
        <f t="shared" ref="L8:L13" si="0">IFERROR(SUM(E8:K8),0)</f>
        <v>485.58699999999999</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2.194</v>
      </c>
      <c r="F10" s="287">
        <v>0.193</v>
      </c>
      <c r="G10" s="287">
        <v>1.534</v>
      </c>
      <c r="H10" s="287">
        <v>19.155000000000001</v>
      </c>
      <c r="I10" s="287">
        <v>9.7940000000000005</v>
      </c>
      <c r="J10" s="287">
        <v>2.6030000000000002</v>
      </c>
      <c r="K10" s="287">
        <v>0</v>
      </c>
      <c r="L10" s="289">
        <f t="shared" si="0"/>
        <v>35.473000000000006</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33.311</v>
      </c>
      <c r="F13" s="298">
        <f t="shared" si="8"/>
        <v>2.42</v>
      </c>
      <c r="G13" s="298">
        <f t="shared" si="8"/>
        <v>14.985000000000001</v>
      </c>
      <c r="H13" s="298">
        <f t="shared" si="8"/>
        <v>294.32600000000002</v>
      </c>
      <c r="I13" s="298">
        <f t="shared" si="8"/>
        <v>141.88300000000001</v>
      </c>
      <c r="J13" s="298">
        <f t="shared" si="8"/>
        <v>34.134999999999998</v>
      </c>
      <c r="K13" s="298">
        <f t="shared" si="8"/>
        <v>0</v>
      </c>
      <c r="L13" s="299">
        <f t="shared" si="0"/>
        <v>521.06000000000006</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-28.11</v>
      </c>
      <c r="F16" s="278">
        <v>-2.2269999999999999</v>
      </c>
      <c r="G16" s="278">
        <v>-10.596</v>
      </c>
      <c r="H16" s="278">
        <v>-131.648</v>
      </c>
      <c r="I16" s="278">
        <v>-97.432000000000002</v>
      </c>
      <c r="J16" s="278">
        <v>-22.934000000000001</v>
      </c>
      <c r="K16" s="278">
        <v>0</v>
      </c>
      <c r="L16" s="280">
        <f>IFERROR(SUM(E16:K16),0)</f>
        <v>-292.947</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-5.7670000000000003</v>
      </c>
      <c r="F19" s="287">
        <v>-0.42199999999999999</v>
      </c>
      <c r="G19" s="287">
        <v>-0.85399999999999998</v>
      </c>
      <c r="H19" s="287">
        <v>-24.436</v>
      </c>
      <c r="I19" s="287">
        <v>-5.61</v>
      </c>
      <c r="J19" s="287">
        <v>-1.4259999999999999</v>
      </c>
      <c r="K19" s="287">
        <v>0</v>
      </c>
      <c r="L19" s="289">
        <f>IFERROR(SUM(E19:K19),0)</f>
        <v>-38.515000000000001</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-33.877000000000002</v>
      </c>
      <c r="F20" s="298">
        <f t="shared" si="17"/>
        <v>-2.649</v>
      </c>
      <c r="G20" s="298">
        <f t="shared" si="17"/>
        <v>-11.45</v>
      </c>
      <c r="H20" s="298">
        <f t="shared" si="17"/>
        <v>-156.084</v>
      </c>
      <c r="I20" s="298">
        <f t="shared" si="17"/>
        <v>-103.042</v>
      </c>
      <c r="J20" s="298">
        <f t="shared" si="17"/>
        <v>-24.36</v>
      </c>
      <c r="K20" s="298">
        <f t="shared" si="17"/>
        <v>0</v>
      </c>
      <c r="L20" s="299">
        <f>IFERROR(SUM(E20:K20),0)</f>
        <v>-331.46199999999999</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-0.5660000000000025</v>
      </c>
      <c r="F22" s="438">
        <f t="shared" si="18"/>
        <v>-0.22900000000000009</v>
      </c>
      <c r="G22" s="438">
        <f t="shared" si="18"/>
        <v>3.5350000000000019</v>
      </c>
      <c r="H22" s="438">
        <f t="shared" si="18"/>
        <v>138.24200000000002</v>
      </c>
      <c r="I22" s="438">
        <f t="shared" si="18"/>
        <v>38.841000000000008</v>
      </c>
      <c r="J22" s="438">
        <f t="shared" si="18"/>
        <v>9.7749999999999986</v>
      </c>
      <c r="K22" s="438">
        <f t="shared" si="18"/>
        <v>0</v>
      </c>
      <c r="L22" s="439">
        <f>IFERROR(SUM(E22:K22),0)</f>
        <v>189.59800000000004</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3.0070000000000014</v>
      </c>
      <c r="F24" s="438">
        <f t="shared" si="19"/>
        <v>0</v>
      </c>
      <c r="G24" s="438">
        <f t="shared" si="19"/>
        <v>2.8550000000000004</v>
      </c>
      <c r="H24" s="438">
        <f t="shared" si="19"/>
        <v>143.523</v>
      </c>
      <c r="I24" s="438">
        <f t="shared" si="19"/>
        <v>34.656999999999996</v>
      </c>
      <c r="J24" s="438">
        <f t="shared" si="19"/>
        <v>8.597999999999999</v>
      </c>
      <c r="K24" s="438">
        <f t="shared" si="19"/>
        <v>0</v>
      </c>
      <c r="L24" s="439">
        <f>IFERROR(SUM(E24:K24),0)</f>
        <v>192.64</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-5.7670000000000003</v>
      </c>
      <c r="F27" s="278">
        <v>-0.42199999999999999</v>
      </c>
      <c r="G27" s="278">
        <v>-0.85399999999999998</v>
      </c>
      <c r="H27" s="278">
        <v>-24.436</v>
      </c>
      <c r="I27" s="278">
        <v>-5.61</v>
      </c>
      <c r="J27" s="278">
        <v>-1.4259999999999999</v>
      </c>
      <c r="K27" s="278">
        <v>0</v>
      </c>
      <c r="L27" s="280">
        <f>IFERROR(SUM(E27:K27),0)</f>
        <v>-38.515000000000001</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-5.7670000000000003</v>
      </c>
      <c r="F29" s="298">
        <f t="shared" si="28"/>
        <v>-0.42199999999999999</v>
      </c>
      <c r="G29" s="298">
        <f t="shared" si="28"/>
        <v>-0.85399999999999998</v>
      </c>
      <c r="H29" s="298">
        <f t="shared" si="28"/>
        <v>-24.436</v>
      </c>
      <c r="I29" s="298">
        <f t="shared" si="28"/>
        <v>-5.61</v>
      </c>
      <c r="J29" s="298">
        <f t="shared" si="28"/>
        <v>-1.4259999999999999</v>
      </c>
      <c r="K29" s="298">
        <f t="shared" si="28"/>
        <v>0</v>
      </c>
      <c r="L29" s="299">
        <f>IFERROR(SUM(E29:K29),0)</f>
        <v>-38.515000000000001</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03"/>
      <c r="C31" s="2803"/>
      <c r="D31" s="2803"/>
      <c r="E31" s="2803"/>
      <c r="F31" s="2803"/>
      <c r="G31" s="2803"/>
      <c r="H31" s="2803"/>
      <c r="I31" s="2803"/>
      <c r="J31" s="2803"/>
      <c r="K31" s="2803"/>
      <c r="L31" s="197"/>
      <c r="M31" s="260"/>
      <c r="N31" s="581"/>
      <c r="O31" s="197"/>
      <c r="P31" s="197"/>
      <c r="Q31" s="197"/>
      <c r="R31" s="224"/>
      <c r="S31" s="284"/>
      <c r="T31" s="337"/>
      <c r="U31" s="267"/>
      <c r="V31" s="267"/>
      <c r="W31" s="267"/>
      <c r="X31" s="267"/>
      <c r="Y31" s="267"/>
      <c r="Z31" s="267"/>
      <c r="AA31" s="267"/>
      <c r="AB31" s="337"/>
      <c r="AC31" s="224"/>
      <c r="AD31" s="2803"/>
      <c r="AE31" s="2803"/>
      <c r="AF31" s="2803"/>
      <c r="AG31" s="2803"/>
      <c r="AH31" s="2803"/>
      <c r="AI31" s="2803"/>
      <c r="AJ31" s="2803"/>
      <c r="AK31" s="2803"/>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6">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6">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2"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55" zoomScaleNormal="100" zoomScaleSheetLayoutView="100" workbookViewId="0">
      <selection activeCell="I35" sqref="I35"/>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24"/>
      <c r="B1" s="2819" t="s">
        <v>6752</v>
      </c>
      <c r="C1" s="2819"/>
      <c r="D1" s="2819"/>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19" t="str">
        <f>SelectCompany!B4</f>
        <v>Dŵr Cymru</v>
      </c>
      <c r="C2" s="2819"/>
      <c r="D2" s="2819"/>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29" t="s">
        <v>6753</v>
      </c>
      <c r="C3" s="2829"/>
      <c r="D3" s="2829"/>
      <c r="E3" s="2829"/>
      <c r="F3" s="2829"/>
      <c r="G3" s="2829"/>
      <c r="H3" s="2829"/>
      <c r="I3" s="2829"/>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710" t="s">
        <v>4201</v>
      </c>
      <c r="O4" s="2710"/>
      <c r="P4" s="2710"/>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11" t="s">
        <v>4208</v>
      </c>
      <c r="H5" s="197"/>
      <c r="I5" s="2811"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12"/>
      <c r="H6" s="197"/>
      <c r="I6" s="2812"/>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13"/>
      <c r="H7" s="197"/>
      <c r="I7" s="2813"/>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18613</v>
      </c>
      <c r="C10" s="763">
        <v>20.658999999999999</v>
      </c>
      <c r="D10" s="763">
        <v>4.0000000000000001E-3</v>
      </c>
      <c r="E10" s="764">
        <v>2.9000000000000001E-2</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18614</v>
      </c>
      <c r="C11" s="767">
        <v>9.4E-2</v>
      </c>
      <c r="D11" s="767">
        <v>0</v>
      </c>
      <c r="E11" s="768">
        <v>0</v>
      </c>
      <c r="F11" s="197"/>
      <c r="G11" s="290" t="s">
        <v>6758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18615</v>
      </c>
      <c r="C12" s="767">
        <v>1916.1849999999999</v>
      </c>
      <c r="D12" s="767">
        <v>0.496</v>
      </c>
      <c r="E12" s="768">
        <v>0.45900000000000002</v>
      </c>
      <c r="F12" s="197"/>
      <c r="G12" s="290" t="s">
        <v>6759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18616</v>
      </c>
      <c r="C13" s="767">
        <v>0</v>
      </c>
      <c r="D13" s="767">
        <v>0</v>
      </c>
      <c r="E13" s="768">
        <v>0</v>
      </c>
      <c r="F13" s="769"/>
      <c r="G13" s="290" t="s">
        <v>6760</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18617</v>
      </c>
      <c r="C14" s="767">
        <v>8.1869999999999994</v>
      </c>
      <c r="D14" s="767">
        <v>5.0000000000000001E-3</v>
      </c>
      <c r="E14" s="768">
        <v>0.01</v>
      </c>
      <c r="F14" s="769"/>
      <c r="G14" s="290" t="s">
        <v>6761</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18618</v>
      </c>
      <c r="C15" s="767">
        <v>107867.19</v>
      </c>
      <c r="D15" s="767">
        <v>1.0029999999999999</v>
      </c>
      <c r="E15" s="768">
        <v>7.4740000000000002</v>
      </c>
      <c r="F15" s="769"/>
      <c r="G15" s="290" t="s">
        <v>6762</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18619</v>
      </c>
      <c r="C16" s="767">
        <v>18.731000000000002</v>
      </c>
      <c r="D16" s="767">
        <v>3.0000000000000001E-3</v>
      </c>
      <c r="E16" s="768">
        <v>0.01</v>
      </c>
      <c r="F16" s="769"/>
      <c r="G16" s="290" t="s">
        <v>6763</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18620</v>
      </c>
      <c r="C17" s="767">
        <v>0.42799999999999999</v>
      </c>
      <c r="D17" s="767">
        <v>0</v>
      </c>
      <c r="E17" s="768">
        <v>0</v>
      </c>
      <c r="F17" s="769"/>
      <c r="G17" s="290" t="s">
        <v>6764</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18621</v>
      </c>
      <c r="C18" s="767">
        <v>5.1509999999999998</v>
      </c>
      <c r="D18" s="767">
        <v>0</v>
      </c>
      <c r="E18" s="768">
        <v>1E-3</v>
      </c>
      <c r="F18" s="769"/>
      <c r="G18" s="290" t="s">
        <v>6765</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18622</v>
      </c>
      <c r="C19" s="767">
        <v>1.595</v>
      </c>
      <c r="D19" s="767">
        <v>0</v>
      </c>
      <c r="E19" s="768">
        <v>3.0000000000000001E-3</v>
      </c>
      <c r="F19" s="769"/>
      <c r="G19" s="290" t="s">
        <v>6767</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18623</v>
      </c>
      <c r="C20" s="767">
        <v>0.159</v>
      </c>
      <c r="D20" s="767">
        <v>0</v>
      </c>
      <c r="E20" s="768">
        <v>0</v>
      </c>
      <c r="F20" s="769"/>
      <c r="G20" s="290" t="s">
        <v>6769</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18624</v>
      </c>
      <c r="C21" s="767">
        <v>0.106</v>
      </c>
      <c r="D21" s="767">
        <v>0</v>
      </c>
      <c r="E21" s="768">
        <v>0</v>
      </c>
      <c r="F21" s="769"/>
      <c r="G21" s="290" t="s">
        <v>6771</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18625</v>
      </c>
      <c r="C22" s="767">
        <v>4.2789999999999999</v>
      </c>
      <c r="D22" s="767">
        <v>0</v>
      </c>
      <c r="E22" s="768">
        <v>6.0000000000000001E-3</v>
      </c>
      <c r="F22" s="769"/>
      <c r="G22" s="290" t="s">
        <v>6773</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18626</v>
      </c>
      <c r="C23" s="767">
        <v>37.046999999999997</v>
      </c>
      <c r="D23" s="767">
        <v>6.0000000000000001E-3</v>
      </c>
      <c r="E23" s="768">
        <v>5.1999999999999998E-2</v>
      </c>
      <c r="F23" s="769"/>
      <c r="G23" s="290" t="s">
        <v>6775</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18627</v>
      </c>
      <c r="C24" s="767">
        <v>0.12</v>
      </c>
      <c r="D24" s="767">
        <v>0</v>
      </c>
      <c r="E24" s="768">
        <v>0</v>
      </c>
      <c r="F24" s="769"/>
      <c r="G24" s="290" t="s">
        <v>6777</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18628</v>
      </c>
      <c r="C25" s="767">
        <v>0</v>
      </c>
      <c r="D25" s="767">
        <v>0</v>
      </c>
      <c r="E25" s="768">
        <v>0</v>
      </c>
      <c r="F25" s="769"/>
      <c r="G25" s="290" t="s">
        <v>6779</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18629</v>
      </c>
      <c r="C26" s="767">
        <v>0</v>
      </c>
      <c r="D26" s="767">
        <v>0</v>
      </c>
      <c r="E26" s="768">
        <v>1E-3</v>
      </c>
      <c r="F26" s="769"/>
      <c r="G26" s="290" t="s">
        <v>6781</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6782</v>
      </c>
      <c r="C27" s="767">
        <v>0</v>
      </c>
      <c r="D27" s="767">
        <v>0</v>
      </c>
      <c r="E27" s="768">
        <v>0</v>
      </c>
      <c r="F27" s="769"/>
      <c r="G27" s="290" t="s">
        <v>6783</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6784</v>
      </c>
      <c r="C28" s="767">
        <v>0</v>
      </c>
      <c r="D28" s="767">
        <v>0</v>
      </c>
      <c r="E28" s="768">
        <v>0</v>
      </c>
      <c r="F28" s="769"/>
      <c r="G28" s="290" t="s">
        <v>6785</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6786</v>
      </c>
      <c r="C29" s="767">
        <v>0</v>
      </c>
      <c r="D29" s="767">
        <v>0</v>
      </c>
      <c r="E29" s="768">
        <v>0</v>
      </c>
      <c r="F29" s="769"/>
      <c r="G29" s="290" t="s">
        <v>6787</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6788</v>
      </c>
      <c r="C30" s="767">
        <v>0</v>
      </c>
      <c r="D30" s="767">
        <v>0</v>
      </c>
      <c r="E30" s="768">
        <v>0</v>
      </c>
      <c r="F30" s="769"/>
      <c r="G30" s="290" t="s">
        <v>6789</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6790</v>
      </c>
      <c r="C31" s="767">
        <v>0</v>
      </c>
      <c r="D31" s="767">
        <v>0</v>
      </c>
      <c r="E31" s="768">
        <v>0</v>
      </c>
      <c r="F31" s="197"/>
      <c r="G31" s="290" t="s">
        <v>6791</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6792</v>
      </c>
      <c r="C32" s="767">
        <v>0</v>
      </c>
      <c r="D32" s="767">
        <v>0</v>
      </c>
      <c r="E32" s="768">
        <v>0</v>
      </c>
      <c r="F32" s="197"/>
      <c r="G32" s="290" t="s">
        <v>6793</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6794</v>
      </c>
      <c r="C33" s="767">
        <v>0</v>
      </c>
      <c r="D33" s="767">
        <v>0</v>
      </c>
      <c r="E33" s="768">
        <v>0</v>
      </c>
      <c r="F33" s="197"/>
      <c r="G33" s="290" t="s">
        <v>6795</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6796</v>
      </c>
      <c r="C34" s="767">
        <v>0</v>
      </c>
      <c r="D34" s="767">
        <v>0</v>
      </c>
      <c r="E34" s="768">
        <v>0</v>
      </c>
      <c r="F34" s="197"/>
      <c r="G34" s="290" t="s">
        <v>6797</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6798</v>
      </c>
      <c r="C35" s="298">
        <f>IFERROR(SUM(C10:C34),0)</f>
        <v>109879.931</v>
      </c>
      <c r="D35" s="298">
        <f>IFERROR(SUM(D10:D34),0)</f>
        <v>1.5169999999999999</v>
      </c>
      <c r="E35" s="299">
        <f>IFERROR(SUM(E10:E34),0)</f>
        <v>8.0449999999999999</v>
      </c>
      <c r="F35" s="197"/>
      <c r="G35" s="356" t="s">
        <v>6799</v>
      </c>
      <c r="H35" s="197"/>
      <c r="I35" s="302" t="s">
        <v>18638</v>
      </c>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6800</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18630</v>
      </c>
      <c r="C42" s="763">
        <v>5.5789999999999997</v>
      </c>
      <c r="D42" s="763">
        <v>7.0000000000000001E-3</v>
      </c>
      <c r="E42" s="774"/>
      <c r="F42" s="197"/>
      <c r="G42" s="281" t="s">
        <v>6801</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18631</v>
      </c>
      <c r="C43" s="767">
        <v>151.363</v>
      </c>
      <c r="D43" s="767">
        <v>-3.1E-2</v>
      </c>
      <c r="E43" s="776"/>
      <c r="F43" s="197"/>
      <c r="G43" s="290" t="s">
        <v>6802</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18632</v>
      </c>
      <c r="C44" s="767">
        <v>0.61099999999999999</v>
      </c>
      <c r="D44" s="767">
        <v>2E-3</v>
      </c>
      <c r="E44" s="776"/>
      <c r="F44" s="197"/>
      <c r="G44" s="290" t="s">
        <v>6803</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18633</v>
      </c>
      <c r="C45" s="767">
        <v>3.1469999999999998</v>
      </c>
      <c r="D45" s="767">
        <v>0.01</v>
      </c>
      <c r="E45" s="776"/>
      <c r="F45" s="769"/>
      <c r="G45" s="290" t="s">
        <v>6804</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18634</v>
      </c>
      <c r="C46" s="767">
        <v>21.411000000000001</v>
      </c>
      <c r="D46" s="767">
        <v>4.9000000000000002E-2</v>
      </c>
      <c r="E46" s="776"/>
      <c r="F46" s="769"/>
      <c r="G46" s="290" t="s">
        <v>6805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18634</v>
      </c>
      <c r="C47" s="767">
        <v>0</v>
      </c>
      <c r="D47" s="767">
        <v>0</v>
      </c>
      <c r="E47" s="776"/>
      <c r="F47" s="769"/>
      <c r="G47" s="290" t="s">
        <v>6806</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18635</v>
      </c>
      <c r="C48" s="767">
        <v>4.87</v>
      </c>
      <c r="D48" s="767">
        <v>1.9E-2</v>
      </c>
      <c r="E48" s="776"/>
      <c r="F48" s="769"/>
      <c r="G48" s="290" t="s">
        <v>6807</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18636</v>
      </c>
      <c r="C49" s="767">
        <v>2347.9070000000002</v>
      </c>
      <c r="D49" s="767">
        <v>1.056</v>
      </c>
      <c r="E49" s="776"/>
      <c r="F49" s="769"/>
      <c r="G49" s="290" t="s">
        <v>6808</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18637</v>
      </c>
      <c r="C50" s="767">
        <v>2427.8679999999999</v>
      </c>
      <c r="D50" s="767">
        <v>0.40500000000000003</v>
      </c>
      <c r="E50" s="776"/>
      <c r="F50" s="769"/>
      <c r="G50" s="290" t="s">
        <v>6809</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6766</v>
      </c>
      <c r="C51" s="767">
        <v>0</v>
      </c>
      <c r="D51" s="767">
        <v>0</v>
      </c>
      <c r="E51" s="776"/>
      <c r="F51" s="769"/>
      <c r="G51" s="290" t="s">
        <v>6810</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6768</v>
      </c>
      <c r="C52" s="767">
        <v>0</v>
      </c>
      <c r="D52" s="767">
        <v>0</v>
      </c>
      <c r="E52" s="776"/>
      <c r="F52" s="769"/>
      <c r="G52" s="290" t="s">
        <v>6811</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6770</v>
      </c>
      <c r="C53" s="767">
        <v>0</v>
      </c>
      <c r="D53" s="767">
        <v>0</v>
      </c>
      <c r="E53" s="776"/>
      <c r="F53" s="769"/>
      <c r="G53" s="290" t="s">
        <v>6812</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6772</v>
      </c>
      <c r="C54" s="767">
        <v>0</v>
      </c>
      <c r="D54" s="767">
        <v>0</v>
      </c>
      <c r="E54" s="776"/>
      <c r="F54" s="769"/>
      <c r="G54" s="290" t="s">
        <v>6813</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6774</v>
      </c>
      <c r="C55" s="767">
        <v>0</v>
      </c>
      <c r="D55" s="767">
        <v>0</v>
      </c>
      <c r="E55" s="776"/>
      <c r="F55" s="769"/>
      <c r="G55" s="290" t="s">
        <v>6814</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6776</v>
      </c>
      <c r="C56" s="767">
        <v>0</v>
      </c>
      <c r="D56" s="767">
        <v>0</v>
      </c>
      <c r="E56" s="776"/>
      <c r="F56" s="769"/>
      <c r="G56" s="290" t="s">
        <v>6815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6778</v>
      </c>
      <c r="C57" s="767">
        <v>0</v>
      </c>
      <c r="D57" s="767">
        <v>0</v>
      </c>
      <c r="E57" s="776"/>
      <c r="F57" s="769"/>
      <c r="G57" s="290" t="s">
        <v>6816</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6780</v>
      </c>
      <c r="C58" s="767">
        <v>0</v>
      </c>
      <c r="D58" s="767">
        <v>0</v>
      </c>
      <c r="E58" s="776"/>
      <c r="F58" s="769"/>
      <c r="G58" s="290" t="s">
        <v>6817</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6782</v>
      </c>
      <c r="C59" s="767">
        <v>0</v>
      </c>
      <c r="D59" s="767">
        <v>0</v>
      </c>
      <c r="E59" s="776"/>
      <c r="F59" s="769"/>
      <c r="G59" s="290" t="s">
        <v>6818</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6784</v>
      </c>
      <c r="C60" s="767">
        <v>0</v>
      </c>
      <c r="D60" s="767">
        <v>0</v>
      </c>
      <c r="E60" s="776"/>
      <c r="F60" s="769"/>
      <c r="G60" s="290" t="s">
        <v>6819</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6786</v>
      </c>
      <c r="C61" s="767">
        <v>0</v>
      </c>
      <c r="D61" s="767">
        <v>0</v>
      </c>
      <c r="E61" s="776"/>
      <c r="F61" s="769"/>
      <c r="G61" s="290" t="s">
        <v>6820</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6788</v>
      </c>
      <c r="C62" s="767">
        <v>0</v>
      </c>
      <c r="D62" s="767">
        <v>0</v>
      </c>
      <c r="E62" s="776"/>
      <c r="F62" s="769"/>
      <c r="G62" s="290" t="s">
        <v>6821</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6790</v>
      </c>
      <c r="C63" s="767">
        <v>0</v>
      </c>
      <c r="D63" s="767">
        <v>0</v>
      </c>
      <c r="E63" s="776"/>
      <c r="F63" s="769"/>
      <c r="G63" s="290" t="s">
        <v>6822</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6792</v>
      </c>
      <c r="C64" s="767">
        <v>0</v>
      </c>
      <c r="D64" s="767">
        <v>0</v>
      </c>
      <c r="E64" s="776"/>
      <c r="F64" s="769"/>
      <c r="G64" s="290" t="s">
        <v>6823</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6794</v>
      </c>
      <c r="C65" s="767">
        <v>0</v>
      </c>
      <c r="D65" s="767">
        <v>0</v>
      </c>
      <c r="E65" s="776"/>
      <c r="F65" s="769"/>
      <c r="G65" s="290" t="s">
        <v>6824</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6796</v>
      </c>
      <c r="C66" s="767">
        <v>0</v>
      </c>
      <c r="D66" s="767">
        <v>0</v>
      </c>
      <c r="E66" s="776"/>
      <c r="F66" s="769"/>
      <c r="G66" s="290" t="s">
        <v>6825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6826</v>
      </c>
      <c r="C67" s="298">
        <f>IFERROR(SUM(C42:C66),0)</f>
        <v>4962.7559999999994</v>
      </c>
      <c r="D67" s="298">
        <f>IFERROR(SUM(D42:D66),0)</f>
        <v>1.5170000000000001</v>
      </c>
      <c r="E67" s="777"/>
      <c r="F67" s="197"/>
      <c r="G67" s="356" t="s">
        <v>6827</v>
      </c>
      <c r="H67" s="197"/>
      <c r="I67" s="302"/>
      <c r="J67" s="197"/>
      <c r="K67" s="363"/>
      <c r="L67" s="224"/>
      <c r="M67" s="363"/>
      <c r="N67" s="224"/>
      <c r="O67" s="224"/>
      <c r="P67" s="224"/>
      <c r="Q67" s="363"/>
      <c r="R67" s="224"/>
      <c r="S67" s="224"/>
      <c r="T67" s="224"/>
      <c r="U67" s="224"/>
      <c r="V67" s="224"/>
      <c r="W67" s="224"/>
      <c r="X67" s="224"/>
      <c r="Y67" s="224"/>
      <c r="Z67" s="224"/>
    </row>
    <row r="68" spans="1:26" ht="15.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1" priority="3" operator="equal">
      <formula>0</formula>
    </cfRule>
  </conditionalFormatting>
  <conditionalFormatting sqref="L42:L66">
    <cfRule type="cellIs" dxfId="150"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60" zoomScaleNormal="60" zoomScaleSheetLayoutView="70" workbookViewId="0">
      <pane ySplit="6" topLeftCell="A631" activePane="bottomLeft" state="frozen"/>
      <selection pane="bottomLeft" activeCell="F640" sqref="F640"/>
    </sheetView>
  </sheetViews>
  <sheetFormatPr defaultColWidth="10.19921875" defaultRowHeight="14.4" zeroHeight="1" outlineLevelRow="1"/>
  <cols>
    <col min="1" max="1" width="10.19921875" style="24"/>
    <col min="2" max="2" width="66.69921875" style="24" customWidth="1"/>
    <col min="3" max="3" width="12.09765625" style="24" bestFit="1" customWidth="1"/>
    <col min="4" max="4" width="10.09765625" style="24" bestFit="1" customWidth="1"/>
    <col min="5" max="5" width="8.69921875" style="24" bestFit="1" customWidth="1"/>
    <col min="6" max="6" width="10" style="24" bestFit="1" customWidth="1"/>
    <col min="7" max="7" width="9.59765625" style="24" bestFit="1" customWidth="1"/>
    <col min="8" max="8" width="16.5" style="24" bestFit="1" customWidth="1"/>
    <col min="9" max="9" width="10.09765625" style="24" bestFit="1" customWidth="1"/>
    <col min="10" max="10" width="12.59765625" style="24" bestFit="1" customWidth="1"/>
    <col min="11" max="11" width="8.19921875" style="24" bestFit="1" customWidth="1"/>
    <col min="12" max="12" width="12.59765625" style="24" bestFit="1" customWidth="1"/>
    <col min="13" max="13" width="9.19921875" style="24" bestFit="1" customWidth="1"/>
    <col min="14" max="14" width="13.19921875" style="24" bestFit="1" customWidth="1"/>
    <col min="15" max="15" width="17" style="24" bestFit="1" customWidth="1"/>
    <col min="16" max="16" width="23" style="24" bestFit="1" customWidth="1"/>
    <col min="17" max="17" width="13.5" style="24" bestFit="1" customWidth="1"/>
    <col min="18" max="18" width="9.09765625" style="24" bestFit="1" customWidth="1"/>
    <col min="19" max="19" width="7.59765625" style="24" bestFit="1" customWidth="1"/>
    <col min="20" max="20" width="13" style="24" customWidth="1"/>
    <col min="21" max="21" width="13.09765625" style="24" customWidth="1"/>
    <col min="22" max="22" width="13.19921875" style="24" customWidth="1"/>
    <col min="23" max="23" width="9.09765625" style="24" bestFit="1" customWidth="1"/>
    <col min="24" max="24" width="14" style="24" customWidth="1"/>
    <col min="25" max="25" width="14.19921875" style="24" customWidth="1"/>
    <col min="26" max="26" width="9.59765625" style="24" bestFit="1" customWidth="1"/>
    <col min="27" max="27" width="12.19921875" style="24" bestFit="1" customWidth="1"/>
    <col min="28" max="28" width="9.5" style="24" bestFit="1" customWidth="1"/>
    <col min="29" max="30" width="12.59765625" style="24" bestFit="1" customWidth="1"/>
    <col min="31" max="31" width="12.59765625" style="2363" customWidth="1"/>
    <col min="32" max="32" width="15.69921875" style="24" customWidth="1"/>
    <col min="33" max="33" width="2.5" style="24" customWidth="1"/>
    <col min="34" max="34" width="10.5" style="24" customWidth="1"/>
    <col min="35" max="36" width="1.59765625" style="17" customWidth="1"/>
    <col min="37" max="37" width="18.69921875" style="17" bestFit="1" customWidth="1"/>
    <col min="38" max="38" width="1.59765625" style="17" customWidth="1"/>
    <col min="39" max="39" width="18.69921875" style="17" hidden="1" customWidth="1"/>
    <col min="40" max="52" width="1.69921875" style="17" hidden="1" customWidth="1"/>
    <col min="53" max="53" width="7.59765625" style="17" hidden="1" customWidth="1"/>
    <col min="54" max="55" width="1.69921875" style="17" hidden="1" customWidth="1"/>
    <col min="56" max="56" width="7.59765625" style="17" hidden="1" customWidth="1"/>
    <col min="57" max="59" width="1.69921875" style="17" hidden="1" customWidth="1"/>
    <col min="60" max="61" width="7.59765625" style="17" hidden="1" customWidth="1"/>
    <col min="62" max="67" width="1.69921875" style="17" hidden="1" customWidth="1"/>
    <col min="68" max="69" width="1.59765625" style="17" hidden="1" customWidth="1"/>
    <col min="70" max="70" width="0" style="17" hidden="1" customWidth="1"/>
    <col min="71" max="71" width="2.19921875" style="24" customWidth="1"/>
    <col min="72" max="16384" width="10.19921875" style="24"/>
  </cols>
  <sheetData>
    <row r="1" spans="1:73" ht="35.25" customHeight="1">
      <c r="A1" s="778"/>
      <c r="B1" s="723" t="s">
        <v>6828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Dŵr Cymru</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32" t="s">
        <v>6829</v>
      </c>
      <c r="C3" s="2832"/>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710" t="s">
        <v>4201</v>
      </c>
      <c r="AN4" s="2710"/>
      <c r="AO4" s="2710"/>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6830</v>
      </c>
      <c r="C5" s="26" t="s">
        <v>6831</v>
      </c>
      <c r="D5" s="26" t="s">
        <v>6832</v>
      </c>
      <c r="E5" s="26" t="s">
        <v>6833</v>
      </c>
      <c r="F5" s="26" t="s">
        <v>6834</v>
      </c>
      <c r="G5" s="26" t="s">
        <v>6835</v>
      </c>
      <c r="H5" s="26" t="s">
        <v>6836</v>
      </c>
      <c r="I5" s="26" t="s">
        <v>6837</v>
      </c>
      <c r="J5" s="26" t="s">
        <v>6838</v>
      </c>
      <c r="K5" s="26" t="s">
        <v>6839</v>
      </c>
      <c r="L5" s="26" t="s">
        <v>6840</v>
      </c>
      <c r="M5" s="26" t="s">
        <v>6841</v>
      </c>
      <c r="N5" s="26" t="s">
        <v>6842</v>
      </c>
      <c r="O5" s="26" t="s">
        <v>6843</v>
      </c>
      <c r="P5" s="26" t="s">
        <v>6844</v>
      </c>
      <c r="Q5" s="26" t="s">
        <v>6845</v>
      </c>
      <c r="R5" s="26" t="s">
        <v>6846</v>
      </c>
      <c r="S5" s="26" t="s">
        <v>6847</v>
      </c>
      <c r="T5" s="26" t="s">
        <v>6848</v>
      </c>
      <c r="U5" s="26" t="s">
        <v>6849</v>
      </c>
      <c r="V5" s="26" t="s">
        <v>6850</v>
      </c>
      <c r="W5" s="26" t="s">
        <v>6851</v>
      </c>
      <c r="X5" s="26" t="s">
        <v>6852</v>
      </c>
      <c r="Y5" s="26" t="s">
        <v>6853</v>
      </c>
      <c r="Z5" s="26" t="s">
        <v>6854</v>
      </c>
      <c r="AA5" s="26" t="s">
        <v>6855</v>
      </c>
      <c r="AB5" s="26" t="s">
        <v>6856</v>
      </c>
      <c r="AC5" s="26" t="s">
        <v>6857</v>
      </c>
      <c r="AD5" s="26" t="s">
        <v>6858</v>
      </c>
      <c r="AE5" s="26" t="s">
        <v>6859</v>
      </c>
      <c r="AF5" s="27" t="s">
        <v>6860</v>
      </c>
      <c r="AG5" s="28"/>
      <c r="AH5" s="2830"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6" thickBot="1">
      <c r="A6" s="778"/>
      <c r="B6" s="29" t="s">
        <v>6861</v>
      </c>
      <c r="C6" s="30" t="s">
        <v>6861</v>
      </c>
      <c r="D6" s="30" t="s">
        <v>6861</v>
      </c>
      <c r="E6" s="30" t="s">
        <v>6861</v>
      </c>
      <c r="F6" s="30" t="s">
        <v>6861</v>
      </c>
      <c r="G6" s="30" t="s">
        <v>6861</v>
      </c>
      <c r="H6" s="30" t="s">
        <v>6861</v>
      </c>
      <c r="I6" s="30" t="s">
        <v>6861</v>
      </c>
      <c r="J6" s="30" t="s">
        <v>6862</v>
      </c>
      <c r="K6" s="30" t="s">
        <v>6863</v>
      </c>
      <c r="L6" s="30" t="s">
        <v>6862</v>
      </c>
      <c r="M6" s="30" t="s">
        <v>6864</v>
      </c>
      <c r="N6" s="30" t="s">
        <v>6865</v>
      </c>
      <c r="O6" s="30" t="s">
        <v>6865</v>
      </c>
      <c r="P6" s="30" t="s">
        <v>6865</v>
      </c>
      <c r="Q6" s="30" t="s">
        <v>6865</v>
      </c>
      <c r="R6" s="30" t="s">
        <v>4805</v>
      </c>
      <c r="S6" s="30" t="s">
        <v>4805</v>
      </c>
      <c r="T6" s="30" t="s">
        <v>6861</v>
      </c>
      <c r="U6" s="30" t="s">
        <v>4805</v>
      </c>
      <c r="V6" s="30" t="s">
        <v>4805</v>
      </c>
      <c r="W6" s="30" t="s">
        <v>4805</v>
      </c>
      <c r="X6" s="30" t="s">
        <v>6865</v>
      </c>
      <c r="Y6" s="30" t="s">
        <v>6865</v>
      </c>
      <c r="Z6" s="30" t="s">
        <v>4805</v>
      </c>
      <c r="AA6" s="30" t="s">
        <v>4805</v>
      </c>
      <c r="AB6" s="30" t="s">
        <v>6865</v>
      </c>
      <c r="AC6" s="30" t="s">
        <v>6865</v>
      </c>
      <c r="AD6" s="30" t="s">
        <v>6865</v>
      </c>
      <c r="AE6" s="30" t="s">
        <v>6861</v>
      </c>
      <c r="AF6" s="31" t="s">
        <v>6861</v>
      </c>
      <c r="AG6" s="28"/>
      <c r="AH6" s="2831"/>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2"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6866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18661</v>
      </c>
      <c r="C9" s="36" t="s">
        <v>18639</v>
      </c>
      <c r="D9" s="37" t="s">
        <v>18640</v>
      </c>
      <c r="E9" s="37" t="s">
        <v>18641</v>
      </c>
      <c r="F9" s="36" t="s">
        <v>18642</v>
      </c>
      <c r="G9" s="36" t="s">
        <v>18643</v>
      </c>
      <c r="H9" s="36" t="s">
        <v>18644</v>
      </c>
      <c r="I9" s="36" t="s">
        <v>18645</v>
      </c>
      <c r="J9" s="38">
        <v>43124</v>
      </c>
      <c r="K9" s="39">
        <v>99.344999999999999</v>
      </c>
      <c r="L9" s="38">
        <v>49765</v>
      </c>
      <c r="M9" s="2046">
        <v>13</v>
      </c>
      <c r="N9" s="39">
        <v>300</v>
      </c>
      <c r="O9" s="39">
        <v>300</v>
      </c>
      <c r="P9" s="39">
        <v>300</v>
      </c>
      <c r="Q9" s="2017">
        <f>IFERROR(M9*O9,"")</f>
        <v>3900</v>
      </c>
      <c r="R9" s="2018">
        <f t="shared" ref="R9:R72" si="0">IF(W9=0,0,((1+W9)/(1+$C$626))-1)</f>
        <v>-9.6995859395648032E-2</v>
      </c>
      <c r="S9" s="2018">
        <f t="shared" ref="S9:S72" si="1">IF(W9=0,0,((1+W9)/(1+$C$627))-1)</f>
        <v>2.4999999999999911E-2</v>
      </c>
      <c r="T9" s="2047"/>
      <c r="U9" s="2047"/>
      <c r="V9" s="2047"/>
      <c r="W9" s="40">
        <v>2.5000000000000001E-2</v>
      </c>
      <c r="X9" s="2025">
        <f t="shared" ref="X9:X72" si="2">W9*P9</f>
        <v>7.5</v>
      </c>
      <c r="Y9" s="2025">
        <f>X9</f>
        <v>7.5</v>
      </c>
      <c r="Z9" s="40">
        <v>0</v>
      </c>
      <c r="AA9" s="40">
        <v>0</v>
      </c>
      <c r="AB9" s="39">
        <v>2.726</v>
      </c>
      <c r="AC9" s="39">
        <v>302.726</v>
      </c>
      <c r="AD9" s="39">
        <v>234.20699999999999</v>
      </c>
      <c r="AE9" s="36"/>
      <c r="AF9" s="41"/>
      <c r="AG9" s="42"/>
      <c r="AH9" s="43" t="s">
        <v>6867</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18662</v>
      </c>
      <c r="C10" s="45" t="s">
        <v>18646</v>
      </c>
      <c r="D10" s="46" t="s">
        <v>18647</v>
      </c>
      <c r="E10" s="46" t="s">
        <v>18648</v>
      </c>
      <c r="F10" s="45" t="s">
        <v>18652</v>
      </c>
      <c r="G10" s="46" t="s">
        <v>18643</v>
      </c>
      <c r="H10" s="45" t="s">
        <v>18650</v>
      </c>
      <c r="I10" s="45" t="s">
        <v>18645</v>
      </c>
      <c r="J10" s="47">
        <v>39797</v>
      </c>
      <c r="K10" s="48"/>
      <c r="L10" s="47">
        <v>45275</v>
      </c>
      <c r="M10" s="2048">
        <v>1</v>
      </c>
      <c r="N10" s="48">
        <v>25</v>
      </c>
      <c r="O10" s="49">
        <v>2.5</v>
      </c>
      <c r="P10" s="49">
        <v>2.5</v>
      </c>
      <c r="Q10" s="2019">
        <f>IFERROR(M10*O10,"")</f>
        <v>2.5</v>
      </c>
      <c r="R10" s="2020">
        <f t="shared" si="0"/>
        <v>-6.6425865562505404E-2</v>
      </c>
      <c r="S10" s="2020">
        <f t="shared" si="1"/>
        <v>5.9700000000000086E-2</v>
      </c>
      <c r="T10" s="2049"/>
      <c r="U10" s="2049"/>
      <c r="V10" s="2049"/>
      <c r="W10" s="50">
        <v>5.9700000000000003E-2</v>
      </c>
      <c r="X10" s="2026">
        <f t="shared" si="2"/>
        <v>0.14924999999999999</v>
      </c>
      <c r="Y10" s="2026">
        <f t="shared" ref="Y10:Y73" si="6">X10</f>
        <v>0.14924999999999999</v>
      </c>
      <c r="Z10" s="50">
        <v>0</v>
      </c>
      <c r="AA10" s="50">
        <v>0</v>
      </c>
      <c r="AB10" s="48">
        <v>0</v>
      </c>
      <c r="AC10" s="48">
        <v>2.5</v>
      </c>
      <c r="AD10" s="48">
        <v>2.5</v>
      </c>
      <c r="AE10" s="45"/>
      <c r="AF10" s="51"/>
      <c r="AG10" s="42"/>
      <c r="AH10" s="52" t="s">
        <v>6868</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1</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18663</v>
      </c>
      <c r="C11" s="45" t="s">
        <v>18646</v>
      </c>
      <c r="D11" s="46" t="s">
        <v>18647</v>
      </c>
      <c r="E11" s="46" t="s">
        <v>18648</v>
      </c>
      <c r="F11" s="45" t="s">
        <v>18653</v>
      </c>
      <c r="G11" s="46" t="s">
        <v>18643</v>
      </c>
      <c r="H11" s="45" t="s">
        <v>18650</v>
      </c>
      <c r="I11" s="45" t="s">
        <v>18645</v>
      </c>
      <c r="J11" s="47">
        <v>40283</v>
      </c>
      <c r="K11" s="48"/>
      <c r="L11" s="47">
        <v>45762</v>
      </c>
      <c r="M11" s="2048">
        <v>3</v>
      </c>
      <c r="N11" s="48">
        <v>75</v>
      </c>
      <c r="O11" s="49">
        <v>22.5</v>
      </c>
      <c r="P11" s="49">
        <v>22.5</v>
      </c>
      <c r="Q11" s="2019">
        <f t="shared" ref="Q11:Q74" si="21">IFERROR(M11*O11,"")</f>
        <v>67.5</v>
      </c>
      <c r="R11" s="2020">
        <f t="shared" si="0"/>
        <v>-6.3674566117522646E-2</v>
      </c>
      <c r="S11" s="2020">
        <f t="shared" si="1"/>
        <v>6.2823000000000073E-2</v>
      </c>
      <c r="T11" s="2049"/>
      <c r="U11" s="2049"/>
      <c r="V11" s="2049"/>
      <c r="W11" s="50">
        <v>6.2823000000000004E-2</v>
      </c>
      <c r="X11" s="2026">
        <f t="shared" si="2"/>
        <v>1.4135175</v>
      </c>
      <c r="Y11" s="2026">
        <f t="shared" si="6"/>
        <v>1.4135175</v>
      </c>
      <c r="Z11" s="50">
        <v>0</v>
      </c>
      <c r="AA11" s="50">
        <v>0</v>
      </c>
      <c r="AB11" s="48">
        <v>0</v>
      </c>
      <c r="AC11" s="48">
        <v>22.5</v>
      </c>
      <c r="AD11" s="48">
        <v>22.5</v>
      </c>
      <c r="AE11" s="45"/>
      <c r="AF11" s="51"/>
      <c r="AG11" s="42"/>
      <c r="AH11" s="52" t="s">
        <v>6869</v>
      </c>
      <c r="AI11" s="197"/>
      <c r="AJ11" s="363"/>
      <c r="AK11" s="284" t="str">
        <f t="shared" si="3"/>
        <v>Please complete all cells in row</v>
      </c>
      <c r="AL11" s="363"/>
      <c r="AM11" s="224"/>
      <c r="AN11" s="224"/>
      <c r="AO11" s="224"/>
      <c r="AP11" s="224"/>
      <c r="AQ11" s="224"/>
      <c r="AR11" s="224"/>
      <c r="AS11" s="224"/>
      <c r="AT11" s="285">
        <f t="shared" si="7"/>
        <v>0</v>
      </c>
      <c r="AU11" s="285">
        <f t="shared" si="8"/>
        <v>1</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18664</v>
      </c>
      <c r="C12" s="45" t="s">
        <v>18646</v>
      </c>
      <c r="D12" s="46" t="s">
        <v>18647</v>
      </c>
      <c r="E12" s="46" t="s">
        <v>18648</v>
      </c>
      <c r="F12" s="45" t="s">
        <v>18654</v>
      </c>
      <c r="G12" s="46" t="s">
        <v>18643</v>
      </c>
      <c r="H12" s="45" t="s">
        <v>18650</v>
      </c>
      <c r="I12" s="45" t="s">
        <v>18645</v>
      </c>
      <c r="J12" s="47">
        <v>40801</v>
      </c>
      <c r="K12" s="48"/>
      <c r="L12" s="47">
        <v>46280</v>
      </c>
      <c r="M12" s="2048">
        <v>4</v>
      </c>
      <c r="N12" s="48">
        <v>25</v>
      </c>
      <c r="O12" s="49">
        <v>8.75</v>
      </c>
      <c r="P12" s="49">
        <v>8.75</v>
      </c>
      <c r="Q12" s="2019">
        <f t="shared" si="21"/>
        <v>35</v>
      </c>
      <c r="R12" s="2020">
        <f t="shared" si="0"/>
        <v>-6.1862390978768333E-2</v>
      </c>
      <c r="S12" s="2020">
        <f t="shared" si="1"/>
        <v>6.4880000000000049E-2</v>
      </c>
      <c r="T12" s="2049"/>
      <c r="U12" s="2049"/>
      <c r="V12" s="2049"/>
      <c r="W12" s="50">
        <v>6.4879999999999993E-2</v>
      </c>
      <c r="X12" s="2026">
        <f t="shared" si="2"/>
        <v>0.56769999999999998</v>
      </c>
      <c r="Y12" s="2026">
        <f t="shared" si="6"/>
        <v>0.56769999999999998</v>
      </c>
      <c r="Z12" s="50">
        <v>0</v>
      </c>
      <c r="AA12" s="50">
        <v>0</v>
      </c>
      <c r="AB12" s="48">
        <v>0</v>
      </c>
      <c r="AC12" s="48">
        <v>8.75</v>
      </c>
      <c r="AD12" s="48">
        <v>8.75</v>
      </c>
      <c r="AE12" s="45"/>
      <c r="AF12" s="51"/>
      <c r="AG12" s="42"/>
      <c r="AH12" s="52" t="s">
        <v>6870</v>
      </c>
      <c r="AI12" s="197"/>
      <c r="AJ12" s="363"/>
      <c r="AK12" s="284" t="str">
        <f t="shared" si="3"/>
        <v>Please complete all cells in row</v>
      </c>
      <c r="AL12" s="765"/>
      <c r="AM12" s="224"/>
      <c r="AN12" s="224"/>
      <c r="AO12" s="224"/>
      <c r="AP12" s="224"/>
      <c r="AQ12" s="224"/>
      <c r="AR12" s="224"/>
      <c r="AS12" s="224"/>
      <c r="AT12" s="285">
        <f t="shared" si="7"/>
        <v>0</v>
      </c>
      <c r="AU12" s="285">
        <f t="shared" si="8"/>
        <v>1</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18665</v>
      </c>
      <c r="C13" s="45" t="s">
        <v>18646</v>
      </c>
      <c r="D13" s="46" t="s">
        <v>18647</v>
      </c>
      <c r="E13" s="46" t="s">
        <v>18648</v>
      </c>
      <c r="F13" s="45" t="s">
        <v>18655</v>
      </c>
      <c r="G13" s="46" t="s">
        <v>18643</v>
      </c>
      <c r="H13" s="45" t="s">
        <v>18650</v>
      </c>
      <c r="I13" s="45" t="s">
        <v>18645</v>
      </c>
      <c r="J13" s="47">
        <v>40801</v>
      </c>
      <c r="K13" s="48"/>
      <c r="L13" s="47">
        <v>47102</v>
      </c>
      <c r="M13" s="2048">
        <v>6</v>
      </c>
      <c r="N13" s="48">
        <v>75</v>
      </c>
      <c r="O13" s="49">
        <v>45</v>
      </c>
      <c r="P13" s="49">
        <v>45</v>
      </c>
      <c r="Q13" s="2019">
        <f t="shared" si="21"/>
        <v>270</v>
      </c>
      <c r="R13" s="2020">
        <f t="shared" si="0"/>
        <v>-6.1005197779931297E-2</v>
      </c>
      <c r="S13" s="2020">
        <f t="shared" si="1"/>
        <v>6.5852999999999939E-2</v>
      </c>
      <c r="T13" s="2049"/>
      <c r="U13" s="2049"/>
      <c r="V13" s="2049"/>
      <c r="W13" s="50">
        <v>6.5852999999999995E-2</v>
      </c>
      <c r="X13" s="2026">
        <f t="shared" si="2"/>
        <v>2.9633849999999997</v>
      </c>
      <c r="Y13" s="2026">
        <f t="shared" si="6"/>
        <v>2.9633849999999997</v>
      </c>
      <c r="Z13" s="50">
        <v>0</v>
      </c>
      <c r="AA13" s="50">
        <v>0</v>
      </c>
      <c r="AB13" s="48">
        <v>0</v>
      </c>
      <c r="AC13" s="48">
        <v>45</v>
      </c>
      <c r="AD13" s="48">
        <v>45</v>
      </c>
      <c r="AE13" s="45"/>
      <c r="AF13" s="51"/>
      <c r="AG13" s="42"/>
      <c r="AH13" s="52" t="s">
        <v>6871</v>
      </c>
      <c r="AI13" s="197"/>
      <c r="AJ13" s="363"/>
      <c r="AK13" s="284" t="str">
        <f t="shared" si="3"/>
        <v>Please complete all cells in row</v>
      </c>
      <c r="AL13" s="363"/>
      <c r="AM13" s="224"/>
      <c r="AN13" s="224"/>
      <c r="AO13" s="224"/>
      <c r="AP13" s="224"/>
      <c r="AQ13" s="224"/>
      <c r="AR13" s="224"/>
      <c r="AS13" s="224"/>
      <c r="AT13" s="285">
        <f t="shared" si="7"/>
        <v>0</v>
      </c>
      <c r="AU13" s="285">
        <f t="shared" si="8"/>
        <v>1</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18666</v>
      </c>
      <c r="C14" s="45" t="s">
        <v>18646</v>
      </c>
      <c r="D14" s="46" t="s">
        <v>18647</v>
      </c>
      <c r="E14" s="46" t="s">
        <v>18648</v>
      </c>
      <c r="F14" s="45" t="s">
        <v>18656</v>
      </c>
      <c r="G14" s="46" t="s">
        <v>18643</v>
      </c>
      <c r="H14" s="45" t="s">
        <v>18650</v>
      </c>
      <c r="I14" s="45" t="s">
        <v>18645</v>
      </c>
      <c r="J14" s="47">
        <v>43449</v>
      </c>
      <c r="K14" s="48"/>
      <c r="L14" s="47">
        <v>48928</v>
      </c>
      <c r="M14" s="2048">
        <v>10</v>
      </c>
      <c r="N14" s="48">
        <v>113.25</v>
      </c>
      <c r="O14" s="49">
        <v>113.25</v>
      </c>
      <c r="P14" s="49">
        <v>113.25</v>
      </c>
      <c r="Q14" s="2019">
        <f t="shared" si="21"/>
        <v>1132.5</v>
      </c>
      <c r="R14" s="2020">
        <f t="shared" si="0"/>
        <v>-6.0599947141220967E-2</v>
      </c>
      <c r="S14" s="2020">
        <f t="shared" si="1"/>
        <v>6.6313000000000066E-2</v>
      </c>
      <c r="T14" s="2049"/>
      <c r="U14" s="2049"/>
      <c r="V14" s="2049"/>
      <c r="W14" s="50">
        <v>6.6312999999999997E-2</v>
      </c>
      <c r="X14" s="2026">
        <f t="shared" si="2"/>
        <v>7.5099472499999997</v>
      </c>
      <c r="Y14" s="2026">
        <f t="shared" si="6"/>
        <v>7.5099472499999997</v>
      </c>
      <c r="Z14" s="50">
        <v>0</v>
      </c>
      <c r="AA14" s="50">
        <v>0</v>
      </c>
      <c r="AB14" s="48">
        <v>0</v>
      </c>
      <c r="AC14" s="48">
        <v>113.25</v>
      </c>
      <c r="AD14" s="48">
        <v>113.25</v>
      </c>
      <c r="AE14" s="45"/>
      <c r="AF14" s="51"/>
      <c r="AG14" s="42"/>
      <c r="AH14" s="52" t="s">
        <v>6872</v>
      </c>
      <c r="AI14" s="197"/>
      <c r="AJ14" s="363"/>
      <c r="AK14" s="284" t="str">
        <f t="shared" si="3"/>
        <v>Please complete all cells in row</v>
      </c>
      <c r="AL14" s="363"/>
      <c r="AM14" s="224"/>
      <c r="AN14" s="224"/>
      <c r="AO14" s="224"/>
      <c r="AP14" s="224"/>
      <c r="AQ14" s="224"/>
      <c r="AR14" s="224"/>
      <c r="AS14" s="224"/>
      <c r="AT14" s="285">
        <f t="shared" si="7"/>
        <v>0</v>
      </c>
      <c r="AU14" s="285">
        <f t="shared" si="8"/>
        <v>1</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18667</v>
      </c>
      <c r="C15" s="45" t="s">
        <v>18646</v>
      </c>
      <c r="D15" s="46" t="s">
        <v>4722</v>
      </c>
      <c r="E15" s="46" t="s">
        <v>4722</v>
      </c>
      <c r="F15" s="45" t="s">
        <v>18657</v>
      </c>
      <c r="G15" s="46" t="s">
        <v>4722</v>
      </c>
      <c r="H15" s="45" t="s">
        <v>18650</v>
      </c>
      <c r="I15" s="45" t="s">
        <v>18645</v>
      </c>
      <c r="J15" s="47">
        <v>43678</v>
      </c>
      <c r="K15" s="48"/>
      <c r="L15" s="47" t="s">
        <v>18658</v>
      </c>
      <c r="M15" s="2048">
        <v>0</v>
      </c>
      <c r="N15" s="48">
        <v>0</v>
      </c>
      <c r="O15" s="49">
        <v>0</v>
      </c>
      <c r="P15" s="49">
        <v>0</v>
      </c>
      <c r="Q15" s="2019">
        <f t="shared" si="21"/>
        <v>0</v>
      </c>
      <c r="R15" s="2020">
        <f t="shared" si="0"/>
        <v>0</v>
      </c>
      <c r="S15" s="2020">
        <f t="shared" si="1"/>
        <v>0</v>
      </c>
      <c r="T15" s="2049"/>
      <c r="U15" s="2049"/>
      <c r="V15" s="2049"/>
      <c r="W15" s="50">
        <v>0</v>
      </c>
      <c r="X15" s="2026">
        <f t="shared" si="2"/>
        <v>0</v>
      </c>
      <c r="Y15" s="2026">
        <f t="shared" si="6"/>
        <v>0</v>
      </c>
      <c r="Z15" s="50">
        <v>0</v>
      </c>
      <c r="AA15" s="50">
        <v>0</v>
      </c>
      <c r="AB15" s="48">
        <v>0</v>
      </c>
      <c r="AC15" s="48">
        <v>0</v>
      </c>
      <c r="AD15" s="48">
        <v>0</v>
      </c>
      <c r="AE15" s="45"/>
      <c r="AF15" s="51" t="s">
        <v>18657</v>
      </c>
      <c r="AG15" s="42"/>
      <c r="AH15" s="52" t="s">
        <v>6873</v>
      </c>
      <c r="AI15" s="197"/>
      <c r="AJ15" s="363"/>
      <c r="AK15" s="284" t="str">
        <f t="shared" si="3"/>
        <v>Please complete all cells in row</v>
      </c>
      <c r="AL15" s="363"/>
      <c r="AM15" s="224"/>
      <c r="AN15" s="224"/>
      <c r="AO15" s="224"/>
      <c r="AP15" s="224"/>
      <c r="AQ15" s="224"/>
      <c r="AR15" s="224"/>
      <c r="AS15" s="224"/>
      <c r="AT15" s="285">
        <f t="shared" si="7"/>
        <v>0</v>
      </c>
      <c r="AU15" s="285">
        <f t="shared" si="8"/>
        <v>1</v>
      </c>
      <c r="AV15" s="285">
        <f t="shared" si="9"/>
        <v>1</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18668</v>
      </c>
      <c r="C16" s="45" t="s">
        <v>18646</v>
      </c>
      <c r="D16" s="46" t="s">
        <v>4722</v>
      </c>
      <c r="E16" s="46" t="s">
        <v>4722</v>
      </c>
      <c r="F16" s="45" t="s">
        <v>18659</v>
      </c>
      <c r="G16" s="46" t="s">
        <v>4722</v>
      </c>
      <c r="H16" s="45" t="s">
        <v>18650</v>
      </c>
      <c r="I16" s="45" t="s">
        <v>18645</v>
      </c>
      <c r="J16" s="47">
        <v>43556</v>
      </c>
      <c r="K16" s="48"/>
      <c r="L16" s="47">
        <v>47708</v>
      </c>
      <c r="M16" s="2048">
        <v>7</v>
      </c>
      <c r="N16" s="48">
        <v>1.1000000000000001</v>
      </c>
      <c r="O16" s="49">
        <v>0.2</v>
      </c>
      <c r="P16" s="49">
        <v>0.20100000000000001</v>
      </c>
      <c r="Q16" s="2019">
        <f t="shared" si="21"/>
        <v>1.4000000000000001</v>
      </c>
      <c r="R16" s="2020">
        <f t="shared" si="0"/>
        <v>0</v>
      </c>
      <c r="S16" s="2020">
        <f t="shared" si="1"/>
        <v>0</v>
      </c>
      <c r="T16" s="2049"/>
      <c r="U16" s="2049"/>
      <c r="V16" s="2049"/>
      <c r="W16" s="50">
        <v>0</v>
      </c>
      <c r="X16" s="2026">
        <f t="shared" si="2"/>
        <v>0</v>
      </c>
      <c r="Y16" s="2026">
        <f t="shared" si="6"/>
        <v>0</v>
      </c>
      <c r="Z16" s="50">
        <v>0</v>
      </c>
      <c r="AA16" s="50">
        <v>0</v>
      </c>
      <c r="AB16" s="48">
        <v>0</v>
      </c>
      <c r="AC16" s="48">
        <v>0.20100000000000001</v>
      </c>
      <c r="AD16" s="48">
        <v>0.20100000000000001</v>
      </c>
      <c r="AE16" s="45"/>
      <c r="AF16" s="51" t="s">
        <v>18660</v>
      </c>
      <c r="AG16" s="42"/>
      <c r="AH16" s="52" t="s">
        <v>6874</v>
      </c>
      <c r="AI16" s="197"/>
      <c r="AJ16" s="363"/>
      <c r="AK16" s="284" t="str">
        <f t="shared" si="3"/>
        <v>Please complete all cells in row</v>
      </c>
      <c r="AL16" s="363"/>
      <c r="AM16" s="224"/>
      <c r="AN16" s="224"/>
      <c r="AO16" s="224"/>
      <c r="AP16" s="224"/>
      <c r="AQ16" s="224"/>
      <c r="AR16" s="224"/>
      <c r="AS16" s="224"/>
      <c r="AT16" s="285">
        <f t="shared" si="7"/>
        <v>0</v>
      </c>
      <c r="AU16" s="285">
        <f t="shared" si="8"/>
        <v>1</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1</v>
      </c>
      <c r="BP16" s="363"/>
      <c r="BQ16" s="224"/>
      <c r="BR16" s="224"/>
      <c r="BS16" s="778"/>
      <c r="BT16" s="778"/>
      <c r="BU16" s="778"/>
    </row>
    <row r="17" spans="1:73" s="22" customFormat="1" ht="15.75" hidden="1" customHeight="1" outlineLevel="1">
      <c r="A17" s="778"/>
      <c r="B17" s="44"/>
      <c r="C17" s="45"/>
      <c r="D17" s="46"/>
      <c r="E17" s="46"/>
      <c r="F17" s="45"/>
      <c r="G17" s="46"/>
      <c r="H17" s="45"/>
      <c r="I17" s="45"/>
      <c r="J17" s="47"/>
      <c r="K17" s="48"/>
      <c r="L17" s="47"/>
      <c r="M17" s="2048"/>
      <c r="N17" s="48"/>
      <c r="O17" s="49"/>
      <c r="P17" s="49"/>
      <c r="Q17" s="2019">
        <f t="shared" si="21"/>
        <v>0</v>
      </c>
      <c r="R17" s="2020">
        <f t="shared" si="0"/>
        <v>0</v>
      </c>
      <c r="S17" s="2020">
        <f t="shared" si="1"/>
        <v>0</v>
      </c>
      <c r="T17" s="2049"/>
      <c r="U17" s="2049"/>
      <c r="V17" s="2049"/>
      <c r="W17" s="50"/>
      <c r="X17" s="2026">
        <f t="shared" si="2"/>
        <v>0</v>
      </c>
      <c r="Y17" s="2026">
        <f t="shared" si="6"/>
        <v>0</v>
      </c>
      <c r="Z17" s="50"/>
      <c r="AA17" s="50"/>
      <c r="AB17" s="48"/>
      <c r="AC17" s="48"/>
      <c r="AD17" s="48"/>
      <c r="AE17" s="45"/>
      <c r="AF17" s="51"/>
      <c r="AG17" s="42"/>
      <c r="AH17" s="52" t="s">
        <v>6875</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8"/>
      <c r="BT17" s="778"/>
      <c r="BU17" s="778"/>
    </row>
    <row r="18" spans="1:73" s="22" customFormat="1" ht="15.75" hidden="1" customHeight="1" outlineLevel="1">
      <c r="A18" s="778"/>
      <c r="B18" s="44"/>
      <c r="C18" s="45"/>
      <c r="D18" s="46"/>
      <c r="E18" s="46"/>
      <c r="F18" s="45"/>
      <c r="G18" s="46"/>
      <c r="H18" s="45"/>
      <c r="I18" s="45"/>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50"/>
      <c r="AA18" s="50"/>
      <c r="AB18" s="48"/>
      <c r="AC18" s="48"/>
      <c r="AD18" s="48"/>
      <c r="AE18" s="45"/>
      <c r="AF18" s="51"/>
      <c r="AG18" s="42"/>
      <c r="AH18" s="52" t="s">
        <v>6876</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50"/>
      <c r="AA19" s="50"/>
      <c r="AB19" s="48"/>
      <c r="AC19" s="48"/>
      <c r="AD19" s="48"/>
      <c r="AE19" s="45"/>
      <c r="AF19" s="51"/>
      <c r="AG19" s="42"/>
      <c r="AH19" s="52" t="s">
        <v>6877</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50"/>
      <c r="AA20" s="50"/>
      <c r="AB20" s="48"/>
      <c r="AC20" s="48"/>
      <c r="AD20" s="48"/>
      <c r="AE20" s="45"/>
      <c r="AF20" s="51"/>
      <c r="AG20" s="42"/>
      <c r="AH20" s="52" t="s">
        <v>6878</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50"/>
      <c r="AA21" s="50"/>
      <c r="AB21" s="48"/>
      <c r="AC21" s="48"/>
      <c r="AD21" s="48"/>
      <c r="AE21" s="45"/>
      <c r="AF21" s="51"/>
      <c r="AG21" s="42"/>
      <c r="AH21" s="52" t="s">
        <v>6879</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50"/>
      <c r="AA22" s="50"/>
      <c r="AB22" s="48"/>
      <c r="AC22" s="48"/>
      <c r="AD22" s="48"/>
      <c r="AE22" s="45"/>
      <c r="AF22" s="51"/>
      <c r="AG22" s="42"/>
      <c r="AH22" s="52" t="s">
        <v>6880</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6881</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6882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6883</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6884</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6885</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6886</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6887</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6888</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6889</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6890</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6891</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6892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6893</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6894</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6895</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6896</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6897</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6898</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6899</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6900</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6901</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6902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6903</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6904</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6905</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6906</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6907</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6908</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6909</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6910</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6911</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6912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6913</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6914</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6915</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6916</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6917</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6918</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6919</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6920</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6921</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6922</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6923</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6924</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6925</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6926</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6927</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6928</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6929</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6930</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6931</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6932</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6933</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6934</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6935</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6936</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6937</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6938</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6939</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6940</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6941</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6942</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6943</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6944</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6945</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6946</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6947</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6948</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6949</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6950</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6951</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6952</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6953</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6954</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6955</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6956</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6957</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6958</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6959</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6960</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6961</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6962</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6963</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6964</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6965</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6966</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6967</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6968</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6969</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6970</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6971</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6972</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6973</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6974</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6975</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6976</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6977</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6978</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6979</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6980</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6981</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6982</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6983</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6984</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6985</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6986</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6987</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6988</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6989</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6990</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6991</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6992</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6993</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6994</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6995</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6996</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6997</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6998</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6999</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7000</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7001</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7002</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7003</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7004</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7005</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7006</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7007</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7008</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7009</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7010</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7011</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7012</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7013</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7014</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7015</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7016</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7017</v>
      </c>
      <c r="C159" s="2050"/>
      <c r="D159" s="2050"/>
      <c r="E159" s="2050"/>
      <c r="F159" s="2051"/>
      <c r="G159" s="2051"/>
      <c r="H159" s="2052"/>
      <c r="I159" s="2052"/>
      <c r="J159" s="2053"/>
      <c r="K159" s="2054"/>
      <c r="L159" s="2053"/>
      <c r="M159" s="2055"/>
      <c r="N159" s="2022">
        <f>SUM(N9:N158)</f>
        <v>614.35</v>
      </c>
      <c r="O159" s="2022">
        <f>SUM(O9:O158)</f>
        <v>492.2</v>
      </c>
      <c r="P159" s="2022">
        <f>SUM(P9:P158)</f>
        <v>492.20100000000002</v>
      </c>
      <c r="Q159" s="2021">
        <f>SUM(Q9:Q158)</f>
        <v>5408.9</v>
      </c>
      <c r="R159" s="2055"/>
      <c r="S159" s="2055"/>
      <c r="T159" s="2055"/>
      <c r="U159" s="2055"/>
      <c r="V159" s="2055"/>
      <c r="W159" s="2055"/>
      <c r="X159" s="2022">
        <f>SUM(X9:X158)</f>
        <v>20.10379975</v>
      </c>
      <c r="Y159" s="2022">
        <f>SUM(Y9:Y158)</f>
        <v>20.10379975</v>
      </c>
      <c r="Z159" s="2056"/>
      <c r="AA159" s="2056"/>
      <c r="AB159" s="2022">
        <f>SUM(AB9:AB158)</f>
        <v>2.726</v>
      </c>
      <c r="AC159" s="2022">
        <f>SUM(AC9:AC158)</f>
        <v>494.92700000000002</v>
      </c>
      <c r="AD159" s="2022">
        <f>SUM(AD9:AD158)</f>
        <v>426.40800000000002</v>
      </c>
      <c r="AE159" s="2052"/>
      <c r="AF159" s="2057"/>
      <c r="AG159" s="42"/>
      <c r="AH159" s="54" t="s">
        <v>7018</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7019</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18681</v>
      </c>
      <c r="C162" s="36" t="s">
        <v>18646</v>
      </c>
      <c r="D162" s="37" t="s">
        <v>18647</v>
      </c>
      <c r="E162" s="37" t="s">
        <v>18648</v>
      </c>
      <c r="F162" s="36" t="s">
        <v>18649</v>
      </c>
      <c r="G162" s="36" t="s">
        <v>18643</v>
      </c>
      <c r="H162" s="36" t="s">
        <v>18650</v>
      </c>
      <c r="I162" s="36" t="s">
        <v>18645</v>
      </c>
      <c r="J162" s="38">
        <v>43449</v>
      </c>
      <c r="K162" s="39"/>
      <c r="L162" s="38">
        <v>48928</v>
      </c>
      <c r="M162" s="2046">
        <v>10</v>
      </c>
      <c r="N162" s="39">
        <v>136.75</v>
      </c>
      <c r="O162" s="39">
        <v>136.75</v>
      </c>
      <c r="P162" s="39">
        <v>136.75</v>
      </c>
      <c r="Q162" s="2017">
        <f>IFERROR(M162*O162,"")</f>
        <v>1367.5</v>
      </c>
      <c r="R162" s="2018">
        <f t="shared" ref="R162:R225" si="76">IF(W162=0,0,((1+W162)/(1+$C$626))-1)</f>
        <v>-7.2744251607787969E-2</v>
      </c>
      <c r="S162" s="2018">
        <f t="shared" ref="S162:S225" si="77">IF(W162=0,0,((1+W162)/(1+$C$627))-1)</f>
        <v>5.2527999999999908E-2</v>
      </c>
      <c r="T162" s="40" t="s">
        <v>18651</v>
      </c>
      <c r="U162" s="40">
        <v>4.4507999999999999E-2</v>
      </c>
      <c r="V162" s="40">
        <v>8.0199999999999994E-3</v>
      </c>
      <c r="W162" s="2018">
        <f t="shared" ref="W162:W225" si="78">V162+U162</f>
        <v>5.2527999999999998E-2</v>
      </c>
      <c r="X162" s="2025">
        <f t="shared" ref="X162:X225" si="79">W162*P162</f>
        <v>7.1832039999999999</v>
      </c>
      <c r="Y162" s="2025">
        <f t="shared" ref="Y162:Y225" si="80">X162</f>
        <v>7.1832039999999999</v>
      </c>
      <c r="Z162" s="40"/>
      <c r="AA162" s="40"/>
      <c r="AB162" s="39"/>
      <c r="AC162" s="39">
        <v>136.75</v>
      </c>
      <c r="AD162" s="39">
        <v>136.75</v>
      </c>
      <c r="AE162" s="2652"/>
      <c r="AF162" s="41"/>
      <c r="AG162" s="42"/>
      <c r="AH162" s="43" t="s">
        <v>7020</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1</v>
      </c>
      <c r="BK162" s="285">
        <f t="shared" ref="BK162:BK225" si="92" xml:space="preserve"> IF( ISNUMBER(AA162 ), 0, 1 )</f>
        <v>1</v>
      </c>
      <c r="BL162" s="285">
        <f t="shared" ref="BL162:BL225" si="93" xml:space="preserve"> IF( ISNUMBER(AB162 ), 0, 1 )</f>
        <v>1</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8"/>
      <c r="BT162" s="778"/>
      <c r="BU162" s="778"/>
    </row>
    <row r="163" spans="1:73" s="22" customFormat="1" ht="15.75" customHeight="1" outlineLevel="1">
      <c r="A163" s="778"/>
      <c r="B163" s="44" t="s">
        <v>18682</v>
      </c>
      <c r="C163" s="45" t="s">
        <v>18646</v>
      </c>
      <c r="D163" s="46" t="s">
        <v>18669</v>
      </c>
      <c r="E163" s="46" t="s">
        <v>18648</v>
      </c>
      <c r="F163" s="45" t="s">
        <v>18670</v>
      </c>
      <c r="G163" s="46" t="s">
        <v>18643</v>
      </c>
      <c r="H163" s="45" t="s">
        <v>18650</v>
      </c>
      <c r="I163" s="45" t="s">
        <v>18645</v>
      </c>
      <c r="J163" s="47">
        <v>42860</v>
      </c>
      <c r="K163" s="48"/>
      <c r="L163" s="47">
        <v>45976</v>
      </c>
      <c r="M163" s="2048">
        <v>3</v>
      </c>
      <c r="N163" s="48">
        <v>60</v>
      </c>
      <c r="O163" s="49">
        <v>41.326000000000001</v>
      </c>
      <c r="P163" s="49">
        <v>41.326000000000001</v>
      </c>
      <c r="Q163" s="2019">
        <f>IFERROR(M163*O163,"")</f>
        <v>123.97800000000001</v>
      </c>
      <c r="R163" s="2020">
        <f t="shared" si="76"/>
        <v>-7.3284292132851814E-2</v>
      </c>
      <c r="S163" s="2020">
        <f t="shared" si="77"/>
        <v>5.1914999999999933E-2</v>
      </c>
      <c r="T163" s="50" t="s">
        <v>18689</v>
      </c>
      <c r="U163" s="50">
        <v>4.2915000000000002E-2</v>
      </c>
      <c r="V163" s="50">
        <v>8.9999999999999993E-3</v>
      </c>
      <c r="W163" s="2020">
        <f t="shared" si="78"/>
        <v>5.1915000000000003E-2</v>
      </c>
      <c r="X163" s="2026">
        <f t="shared" si="79"/>
        <v>2.1454392900000001</v>
      </c>
      <c r="Y163" s="2026">
        <f t="shared" si="80"/>
        <v>2.1454392900000001</v>
      </c>
      <c r="Z163" s="50"/>
      <c r="AA163" s="50"/>
      <c r="AB163" s="48"/>
      <c r="AC163" s="48">
        <v>41.326000000000001</v>
      </c>
      <c r="AD163" s="48">
        <v>41.326000000000001</v>
      </c>
      <c r="AE163" s="2653"/>
      <c r="AF163" s="51"/>
      <c r="AG163" s="42"/>
      <c r="AH163" s="52" t="s">
        <v>7021</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1</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1</v>
      </c>
      <c r="BK163" s="285">
        <f t="shared" si="92"/>
        <v>1</v>
      </c>
      <c r="BL163" s="285">
        <f t="shared" si="93"/>
        <v>1</v>
      </c>
      <c r="BM163" s="285">
        <f t="shared" si="94"/>
        <v>0</v>
      </c>
      <c r="BN163" s="285">
        <f t="shared" si="95"/>
        <v>0</v>
      </c>
      <c r="BO163" s="285">
        <f t="shared" si="96"/>
        <v>1</v>
      </c>
      <c r="BP163" s="363"/>
      <c r="BQ163" s="224"/>
      <c r="BR163" s="224"/>
      <c r="BS163" s="778"/>
      <c r="BT163" s="778"/>
      <c r="BU163" s="778"/>
    </row>
    <row r="164" spans="1:73" s="22" customFormat="1" ht="15.75" customHeight="1" outlineLevel="1">
      <c r="A164" s="778"/>
      <c r="B164" s="44" t="s">
        <v>18683</v>
      </c>
      <c r="C164" s="45" t="s">
        <v>18646</v>
      </c>
      <c r="D164" s="46" t="s">
        <v>18669</v>
      </c>
      <c r="E164" s="46" t="s">
        <v>18648</v>
      </c>
      <c r="F164" s="45" t="s">
        <v>18671</v>
      </c>
      <c r="G164" s="46" t="s">
        <v>4722</v>
      </c>
      <c r="H164" s="45" t="s">
        <v>18650</v>
      </c>
      <c r="I164" s="45" t="s">
        <v>18645</v>
      </c>
      <c r="J164" s="47">
        <v>32695</v>
      </c>
      <c r="K164" s="48"/>
      <c r="L164" s="47">
        <v>49399</v>
      </c>
      <c r="M164" s="2048">
        <v>12</v>
      </c>
      <c r="N164" s="48">
        <v>5.8</v>
      </c>
      <c r="O164" s="49">
        <v>0.16800000000000001</v>
      </c>
      <c r="P164" s="49">
        <v>0.16800000000000001</v>
      </c>
      <c r="Q164" s="2019">
        <f t="shared" ref="Q164:Q227" si="97">IFERROR(M164*O164,"")</f>
        <v>2.016</v>
      </c>
      <c r="R164" s="2020">
        <f t="shared" si="76"/>
        <v>-8.3781164655096441E-2</v>
      </c>
      <c r="S164" s="2020">
        <f t="shared" si="77"/>
        <v>4.0000000000000036E-2</v>
      </c>
      <c r="T164" s="50" t="s">
        <v>18690</v>
      </c>
      <c r="U164" s="50">
        <v>0</v>
      </c>
      <c r="V164" s="50">
        <v>0.04</v>
      </c>
      <c r="W164" s="2020">
        <f t="shared" si="78"/>
        <v>0.04</v>
      </c>
      <c r="X164" s="2026">
        <f t="shared" si="79"/>
        <v>6.7200000000000003E-3</v>
      </c>
      <c r="Y164" s="2026">
        <f t="shared" si="80"/>
        <v>6.7200000000000003E-3</v>
      </c>
      <c r="Z164" s="50"/>
      <c r="AA164" s="50"/>
      <c r="AB164" s="48"/>
      <c r="AC164" s="48">
        <v>0.16800000000000001</v>
      </c>
      <c r="AD164" s="48">
        <v>0.16800000000000001</v>
      </c>
      <c r="AE164" s="2653"/>
      <c r="AF164" s="51"/>
      <c r="AG164" s="42"/>
      <c r="AH164" s="52" t="s">
        <v>7022</v>
      </c>
      <c r="AI164" s="197"/>
      <c r="AJ164" s="363"/>
      <c r="AK164" s="284" t="str">
        <f t="shared" si="81"/>
        <v>Please complete all cells in row</v>
      </c>
      <c r="AL164" s="363"/>
      <c r="AM164" s="224"/>
      <c r="AN164" s="224"/>
      <c r="AO164" s="224"/>
      <c r="AP164" s="224"/>
      <c r="AQ164" s="224"/>
      <c r="AR164" s="224"/>
      <c r="AS164" s="224"/>
      <c r="AT164" s="285">
        <f t="shared" si="82"/>
        <v>0</v>
      </c>
      <c r="AU164" s="285">
        <f t="shared" si="83"/>
        <v>1</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1</v>
      </c>
      <c r="BK164" s="285">
        <f t="shared" si="92"/>
        <v>1</v>
      </c>
      <c r="BL164" s="285">
        <f t="shared" si="93"/>
        <v>1</v>
      </c>
      <c r="BM164" s="285">
        <f t="shared" si="94"/>
        <v>0</v>
      </c>
      <c r="BN164" s="285">
        <f t="shared" si="95"/>
        <v>0</v>
      </c>
      <c r="BO164" s="285">
        <f t="shared" si="96"/>
        <v>1</v>
      </c>
      <c r="BP164" s="363"/>
      <c r="BQ164" s="224"/>
      <c r="BR164" s="224"/>
      <c r="BS164" s="778"/>
      <c r="BT164" s="778"/>
      <c r="BU164" s="778"/>
    </row>
    <row r="165" spans="1:73" s="22" customFormat="1" ht="15.75" customHeight="1" outlineLevel="1">
      <c r="A165" s="778"/>
      <c r="B165" s="44" t="s">
        <v>18684</v>
      </c>
      <c r="C165" s="45" t="s">
        <v>18646</v>
      </c>
      <c r="D165" s="46" t="s">
        <v>4722</v>
      </c>
      <c r="E165" s="46" t="s">
        <v>4722</v>
      </c>
      <c r="F165" s="45" t="s">
        <v>18672</v>
      </c>
      <c r="G165" s="46" t="s">
        <v>4722</v>
      </c>
      <c r="H165" s="45" t="s">
        <v>18650</v>
      </c>
      <c r="I165" s="45" t="s">
        <v>18645</v>
      </c>
      <c r="J165" s="47"/>
      <c r="K165" s="48"/>
      <c r="L165" s="47">
        <v>51226</v>
      </c>
      <c r="M165" s="2048">
        <v>17</v>
      </c>
      <c r="N165" s="48"/>
      <c r="O165" s="49">
        <v>0</v>
      </c>
      <c r="P165" s="49">
        <v>0</v>
      </c>
      <c r="Q165" s="2019">
        <f t="shared" si="97"/>
        <v>0</v>
      </c>
      <c r="R165" s="2020">
        <f t="shared" si="76"/>
        <v>0</v>
      </c>
      <c r="S165" s="2020">
        <f t="shared" si="77"/>
        <v>0</v>
      </c>
      <c r="T165" s="50"/>
      <c r="U165" s="50">
        <v>0</v>
      </c>
      <c r="V165" s="50"/>
      <c r="W165" s="2020">
        <f t="shared" si="78"/>
        <v>0</v>
      </c>
      <c r="X165" s="2026">
        <f t="shared" si="79"/>
        <v>0</v>
      </c>
      <c r="Y165" s="2026">
        <f t="shared" si="80"/>
        <v>0</v>
      </c>
      <c r="Z165" s="50"/>
      <c r="AA165" s="50"/>
      <c r="AB165" s="48"/>
      <c r="AC165" s="48">
        <v>0</v>
      </c>
      <c r="AD165" s="48">
        <v>0</v>
      </c>
      <c r="AE165" s="2653" t="s">
        <v>18691</v>
      </c>
      <c r="AF165" s="51"/>
      <c r="AG165" s="42"/>
      <c r="AH165" s="52" t="s">
        <v>7023</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0</v>
      </c>
      <c r="AW165" s="285">
        <f t="shared" si="85"/>
        <v>0</v>
      </c>
      <c r="AX165" s="285">
        <f t="shared" si="86"/>
        <v>1</v>
      </c>
      <c r="AY165" s="285">
        <f t="shared" si="87"/>
        <v>0</v>
      </c>
      <c r="AZ165" s="285">
        <f t="shared" si="88"/>
        <v>0</v>
      </c>
      <c r="BA165" s="270"/>
      <c r="BB165" s="270"/>
      <c r="BC165" s="270"/>
      <c r="BD165" s="224"/>
      <c r="BE165" s="285">
        <f t="shared" si="89"/>
        <v>0</v>
      </c>
      <c r="BF165" s="285">
        <f t="shared" si="90"/>
        <v>1</v>
      </c>
      <c r="BG165" s="224"/>
      <c r="BH165" s="270"/>
      <c r="BI165" s="270"/>
      <c r="BJ165" s="285">
        <f t="shared" si="91"/>
        <v>1</v>
      </c>
      <c r="BK165" s="285">
        <f t="shared" si="92"/>
        <v>1</v>
      </c>
      <c r="BL165" s="285">
        <f t="shared" si="93"/>
        <v>1</v>
      </c>
      <c r="BM165" s="285">
        <f t="shared" si="94"/>
        <v>0</v>
      </c>
      <c r="BN165" s="285">
        <f t="shared" si="95"/>
        <v>0</v>
      </c>
      <c r="BO165" s="285">
        <f t="shared" si="96"/>
        <v>1</v>
      </c>
      <c r="BP165" s="363"/>
      <c r="BQ165" s="224"/>
      <c r="BR165" s="224"/>
      <c r="BS165" s="778"/>
      <c r="BT165" s="778"/>
      <c r="BU165" s="778"/>
    </row>
    <row r="166" spans="1:73" s="22" customFormat="1" ht="15.75" customHeight="1" outlineLevel="1">
      <c r="A166" s="778"/>
      <c r="B166" s="44" t="s">
        <v>18685</v>
      </c>
      <c r="C166" s="45" t="s">
        <v>18639</v>
      </c>
      <c r="D166" s="46" t="s">
        <v>18673</v>
      </c>
      <c r="E166" s="46" t="s">
        <v>18674</v>
      </c>
      <c r="F166" s="45" t="s">
        <v>18675</v>
      </c>
      <c r="G166" s="46" t="s">
        <v>4722</v>
      </c>
      <c r="H166" s="45" t="s">
        <v>18650</v>
      </c>
      <c r="I166" s="45" t="s">
        <v>18645</v>
      </c>
      <c r="J166" s="47">
        <v>44649</v>
      </c>
      <c r="K166" s="48"/>
      <c r="L166" s="47">
        <v>46475</v>
      </c>
      <c r="M166" s="2048">
        <v>4</v>
      </c>
      <c r="N166" s="48">
        <v>135</v>
      </c>
      <c r="O166" s="49">
        <v>0</v>
      </c>
      <c r="P166" s="49">
        <v>135</v>
      </c>
      <c r="Q166" s="2019">
        <f t="shared" si="97"/>
        <v>0</v>
      </c>
      <c r="R166" s="2020">
        <f t="shared" si="76"/>
        <v>-0.11505594220773507</v>
      </c>
      <c r="S166" s="2020">
        <f t="shared" si="77"/>
        <v>4.4999999999999485E-3</v>
      </c>
      <c r="T166" s="50" t="s">
        <v>18690</v>
      </c>
      <c r="U166" s="50">
        <v>4.4999999999999997E-3</v>
      </c>
      <c r="V166" s="50"/>
      <c r="W166" s="2020">
        <f t="shared" si="78"/>
        <v>4.4999999999999997E-3</v>
      </c>
      <c r="X166" s="2026">
        <f t="shared" si="79"/>
        <v>0.60749999999999993</v>
      </c>
      <c r="Y166" s="2026">
        <f t="shared" si="80"/>
        <v>0.60749999999999993</v>
      </c>
      <c r="Z166" s="50"/>
      <c r="AA166" s="50">
        <v>4.4999999999999997E-3</v>
      </c>
      <c r="AB166" s="48"/>
      <c r="AC166" s="48">
        <v>0</v>
      </c>
      <c r="AD166" s="48">
        <v>0</v>
      </c>
      <c r="AE166" s="45"/>
      <c r="AF166" s="51"/>
      <c r="AG166" s="42"/>
      <c r="AH166" s="52" t="s">
        <v>7024</v>
      </c>
      <c r="AI166" s="197"/>
      <c r="AJ166" s="363"/>
      <c r="AK166" s="284" t="str">
        <f t="shared" si="81"/>
        <v>Please complete all cells in row</v>
      </c>
      <c r="AL166" s="363"/>
      <c r="AM166" s="224"/>
      <c r="AN166" s="224"/>
      <c r="AO166" s="224"/>
      <c r="AP166" s="224"/>
      <c r="AQ166" s="224"/>
      <c r="AR166" s="224"/>
      <c r="AS166" s="224"/>
      <c r="AT166" s="285">
        <f t="shared" si="82"/>
        <v>0</v>
      </c>
      <c r="AU166" s="285">
        <f t="shared" si="83"/>
        <v>1</v>
      </c>
      <c r="AV166" s="285">
        <f t="shared" si="84"/>
        <v>0</v>
      </c>
      <c r="AW166" s="285">
        <f t="shared" si="85"/>
        <v>0</v>
      </c>
      <c r="AX166" s="285">
        <f t="shared" si="86"/>
        <v>0</v>
      </c>
      <c r="AY166" s="285">
        <f t="shared" si="87"/>
        <v>0</v>
      </c>
      <c r="AZ166" s="285">
        <f t="shared" si="88"/>
        <v>0</v>
      </c>
      <c r="BA166" s="270"/>
      <c r="BB166" s="270"/>
      <c r="BC166" s="270"/>
      <c r="BD166" s="224"/>
      <c r="BE166" s="285">
        <f t="shared" si="89"/>
        <v>0</v>
      </c>
      <c r="BF166" s="285">
        <f t="shared" si="90"/>
        <v>1</v>
      </c>
      <c r="BG166" s="224"/>
      <c r="BH166" s="270"/>
      <c r="BI166" s="270"/>
      <c r="BJ166" s="285">
        <f t="shared" si="91"/>
        <v>1</v>
      </c>
      <c r="BK166" s="285">
        <f t="shared" si="92"/>
        <v>0</v>
      </c>
      <c r="BL166" s="285">
        <f t="shared" si="93"/>
        <v>1</v>
      </c>
      <c r="BM166" s="285">
        <f t="shared" si="94"/>
        <v>0</v>
      </c>
      <c r="BN166" s="285">
        <f t="shared" si="95"/>
        <v>0</v>
      </c>
      <c r="BO166" s="285">
        <f t="shared" si="96"/>
        <v>1</v>
      </c>
      <c r="BP166" s="363"/>
      <c r="BQ166" s="224"/>
      <c r="BR166" s="224"/>
      <c r="BS166" s="778"/>
      <c r="BT166" s="778"/>
      <c r="BU166" s="778"/>
    </row>
    <row r="167" spans="1:73" s="22" customFormat="1" ht="15.75" customHeight="1" outlineLevel="1">
      <c r="A167" s="778"/>
      <c r="B167" s="44" t="s">
        <v>18686</v>
      </c>
      <c r="C167" s="45" t="s">
        <v>18639</v>
      </c>
      <c r="D167" s="46" t="s">
        <v>8466</v>
      </c>
      <c r="E167" s="46" t="s">
        <v>18674</v>
      </c>
      <c r="F167" s="45" t="s">
        <v>18676</v>
      </c>
      <c r="G167" s="46" t="s">
        <v>4722</v>
      </c>
      <c r="H167" s="45" t="s">
        <v>18650</v>
      </c>
      <c r="I167" s="45" t="s">
        <v>18645</v>
      </c>
      <c r="J167" s="47">
        <v>44700</v>
      </c>
      <c r="K167" s="48"/>
      <c r="L167" s="47">
        <v>45254</v>
      </c>
      <c r="M167" s="2048">
        <v>1</v>
      </c>
      <c r="N167" s="48">
        <v>50</v>
      </c>
      <c r="O167" s="49">
        <v>0</v>
      </c>
      <c r="P167" s="49">
        <v>50</v>
      </c>
      <c r="Q167" s="2019">
        <f t="shared" si="97"/>
        <v>0</v>
      </c>
      <c r="R167" s="2020">
        <f t="shared" si="76"/>
        <v>-0.11763280768214246</v>
      </c>
      <c r="S167" s="2020">
        <f t="shared" si="77"/>
        <v>1.5750000000001041E-3</v>
      </c>
      <c r="T167" s="50"/>
      <c r="U167" s="50">
        <v>1.575E-3</v>
      </c>
      <c r="V167" s="50"/>
      <c r="W167" s="2020">
        <f t="shared" si="78"/>
        <v>1.575E-3</v>
      </c>
      <c r="X167" s="2026">
        <f t="shared" si="79"/>
        <v>7.8750000000000001E-2</v>
      </c>
      <c r="Y167" s="2026">
        <f t="shared" si="80"/>
        <v>7.8750000000000001E-2</v>
      </c>
      <c r="Z167" s="50"/>
      <c r="AA167" s="50">
        <v>1.575E-3</v>
      </c>
      <c r="AB167" s="48"/>
      <c r="AC167" s="48">
        <v>0</v>
      </c>
      <c r="AD167" s="48">
        <v>0</v>
      </c>
      <c r="AE167" s="45"/>
      <c r="AF167" s="51"/>
      <c r="AG167" s="42"/>
      <c r="AH167" s="52" t="s">
        <v>7025</v>
      </c>
      <c r="AI167" s="197"/>
      <c r="AJ167" s="363"/>
      <c r="AK167" s="284" t="str">
        <f t="shared" si="81"/>
        <v>Please complete all cells in row</v>
      </c>
      <c r="AL167" s="363"/>
      <c r="AM167" s="224"/>
      <c r="AN167" s="224"/>
      <c r="AO167" s="224"/>
      <c r="AP167" s="224"/>
      <c r="AQ167" s="224"/>
      <c r="AR167" s="224"/>
      <c r="AS167" s="224"/>
      <c r="AT167" s="285">
        <f t="shared" si="82"/>
        <v>0</v>
      </c>
      <c r="AU167" s="285">
        <f t="shared" si="83"/>
        <v>1</v>
      </c>
      <c r="AV167" s="285">
        <f t="shared" si="84"/>
        <v>0</v>
      </c>
      <c r="AW167" s="285">
        <f t="shared" si="85"/>
        <v>0</v>
      </c>
      <c r="AX167" s="285">
        <f t="shared" si="86"/>
        <v>0</v>
      </c>
      <c r="AY167" s="285">
        <f t="shared" si="87"/>
        <v>0</v>
      </c>
      <c r="AZ167" s="285">
        <f t="shared" si="88"/>
        <v>0</v>
      </c>
      <c r="BA167" s="270"/>
      <c r="BB167" s="270"/>
      <c r="BC167" s="270"/>
      <c r="BD167" s="224"/>
      <c r="BE167" s="285">
        <f t="shared" si="89"/>
        <v>0</v>
      </c>
      <c r="BF167" s="285">
        <f t="shared" si="90"/>
        <v>1</v>
      </c>
      <c r="BG167" s="224"/>
      <c r="BH167" s="270"/>
      <c r="BI167" s="270"/>
      <c r="BJ167" s="285">
        <f t="shared" si="91"/>
        <v>1</v>
      </c>
      <c r="BK167" s="285">
        <f t="shared" si="92"/>
        <v>0</v>
      </c>
      <c r="BL167" s="285">
        <f t="shared" si="93"/>
        <v>1</v>
      </c>
      <c r="BM167" s="285">
        <f t="shared" si="94"/>
        <v>0</v>
      </c>
      <c r="BN167" s="285">
        <f t="shared" si="95"/>
        <v>0</v>
      </c>
      <c r="BO167" s="285">
        <f t="shared" si="96"/>
        <v>1</v>
      </c>
      <c r="BP167" s="363"/>
      <c r="BQ167" s="224"/>
      <c r="BR167" s="224"/>
      <c r="BS167" s="778"/>
      <c r="BT167" s="778"/>
      <c r="BU167" s="778"/>
    </row>
    <row r="168" spans="1:73" s="22" customFormat="1" ht="15.75" customHeight="1" outlineLevel="1">
      <c r="A168" s="778"/>
      <c r="B168" s="44" t="s">
        <v>18687</v>
      </c>
      <c r="C168" s="45" t="s">
        <v>18639</v>
      </c>
      <c r="D168" s="46" t="s">
        <v>8466</v>
      </c>
      <c r="E168" s="46" t="s">
        <v>18674</v>
      </c>
      <c r="F168" s="45" t="s">
        <v>18677</v>
      </c>
      <c r="G168" s="46"/>
      <c r="H168" s="45"/>
      <c r="I168" s="45" t="s">
        <v>18645</v>
      </c>
      <c r="J168" s="47">
        <v>45065</v>
      </c>
      <c r="K168" s="48"/>
      <c r="L168" s="47">
        <v>45620</v>
      </c>
      <c r="M168" s="2048">
        <v>1</v>
      </c>
      <c r="N168" s="48">
        <v>60</v>
      </c>
      <c r="O168" s="49">
        <v>0</v>
      </c>
      <c r="P168" s="49">
        <v>60</v>
      </c>
      <c r="Q168" s="2019">
        <f t="shared" si="97"/>
        <v>0</v>
      </c>
      <c r="R168" s="2020">
        <f t="shared" si="76"/>
        <v>-0.11747863624350285</v>
      </c>
      <c r="S168" s="2020">
        <f t="shared" si="77"/>
        <v>1.7499999999999183E-3</v>
      </c>
      <c r="T168" s="50"/>
      <c r="U168" s="50">
        <v>1.75E-3</v>
      </c>
      <c r="V168" s="50"/>
      <c r="W168" s="2020">
        <f t="shared" si="78"/>
        <v>1.75E-3</v>
      </c>
      <c r="X168" s="2026">
        <f t="shared" si="79"/>
        <v>0.105</v>
      </c>
      <c r="Y168" s="2026">
        <f t="shared" si="80"/>
        <v>0.105</v>
      </c>
      <c r="Z168" s="50"/>
      <c r="AA168" s="50">
        <v>1.75E-3</v>
      </c>
      <c r="AB168" s="48"/>
      <c r="AC168" s="48">
        <v>0</v>
      </c>
      <c r="AD168" s="48">
        <v>0</v>
      </c>
      <c r="AE168" s="45"/>
      <c r="AF168" s="51"/>
      <c r="AG168" s="42"/>
      <c r="AH168" s="52" t="s">
        <v>7026</v>
      </c>
      <c r="AI168" s="197"/>
      <c r="AJ168" s="363"/>
      <c r="AK168" s="284" t="str">
        <f t="shared" si="81"/>
        <v>Please complete all cells in row</v>
      </c>
      <c r="AL168" s="363"/>
      <c r="AM168" s="224"/>
      <c r="AN168" s="224"/>
      <c r="AO168" s="224"/>
      <c r="AP168" s="224"/>
      <c r="AQ168" s="224"/>
      <c r="AR168" s="224"/>
      <c r="AS168" s="224"/>
      <c r="AT168" s="285">
        <f t="shared" si="82"/>
        <v>0</v>
      </c>
      <c r="AU168" s="285">
        <f t="shared" si="83"/>
        <v>1</v>
      </c>
      <c r="AV168" s="285">
        <f t="shared" si="84"/>
        <v>0</v>
      </c>
      <c r="AW168" s="285">
        <f t="shared" si="85"/>
        <v>0</v>
      </c>
      <c r="AX168" s="285">
        <f t="shared" si="86"/>
        <v>0</v>
      </c>
      <c r="AY168" s="285">
        <f t="shared" si="87"/>
        <v>0</v>
      </c>
      <c r="AZ168" s="285">
        <f t="shared" si="88"/>
        <v>0</v>
      </c>
      <c r="BA168" s="270"/>
      <c r="BB168" s="270"/>
      <c r="BC168" s="270"/>
      <c r="BD168" s="224"/>
      <c r="BE168" s="285">
        <f t="shared" si="89"/>
        <v>0</v>
      </c>
      <c r="BF168" s="285">
        <f t="shared" si="90"/>
        <v>1</v>
      </c>
      <c r="BG168" s="224"/>
      <c r="BH168" s="270"/>
      <c r="BI168" s="270"/>
      <c r="BJ168" s="285">
        <f t="shared" si="91"/>
        <v>1</v>
      </c>
      <c r="BK168" s="285">
        <f t="shared" si="92"/>
        <v>0</v>
      </c>
      <c r="BL168" s="285">
        <f t="shared" si="93"/>
        <v>1</v>
      </c>
      <c r="BM168" s="285">
        <f t="shared" si="94"/>
        <v>0</v>
      </c>
      <c r="BN168" s="285">
        <f t="shared" si="95"/>
        <v>0</v>
      </c>
      <c r="BO168" s="285">
        <f t="shared" si="96"/>
        <v>1</v>
      </c>
      <c r="BP168" s="363"/>
      <c r="BQ168" s="224"/>
      <c r="BR168" s="224"/>
      <c r="BS168" s="778"/>
      <c r="BT168" s="778"/>
      <c r="BU168" s="778"/>
    </row>
    <row r="169" spans="1:73" s="22" customFormat="1" ht="15.75" customHeight="1" outlineLevel="1">
      <c r="A169" s="778"/>
      <c r="B169" s="44" t="s">
        <v>18688</v>
      </c>
      <c r="C169" s="45" t="s">
        <v>18639</v>
      </c>
      <c r="D169" s="46" t="s">
        <v>8466</v>
      </c>
      <c r="E169" s="46" t="s">
        <v>18674</v>
      </c>
      <c r="F169" s="45" t="s">
        <v>18678</v>
      </c>
      <c r="G169" s="46"/>
      <c r="H169" s="45"/>
      <c r="I169" s="45" t="s">
        <v>18645</v>
      </c>
      <c r="J169" s="47">
        <v>44700</v>
      </c>
      <c r="K169" s="48"/>
      <c r="L169" s="47">
        <v>45254</v>
      </c>
      <c r="M169" s="2048">
        <v>1</v>
      </c>
      <c r="N169" s="48">
        <v>30</v>
      </c>
      <c r="O169" s="49">
        <v>0</v>
      </c>
      <c r="P169" s="49">
        <v>30</v>
      </c>
      <c r="Q169" s="2019">
        <f t="shared" si="97"/>
        <v>0</v>
      </c>
      <c r="R169" s="2020">
        <f t="shared" si="76"/>
        <v>-0.11747863624350285</v>
      </c>
      <c r="S169" s="2020">
        <f t="shared" si="77"/>
        <v>1.7499999999999183E-3</v>
      </c>
      <c r="T169" s="50"/>
      <c r="U169" s="50">
        <v>1.75E-3</v>
      </c>
      <c r="V169" s="50"/>
      <c r="W169" s="2020">
        <f t="shared" si="78"/>
        <v>1.75E-3</v>
      </c>
      <c r="X169" s="2026">
        <f t="shared" si="79"/>
        <v>5.2499999999999998E-2</v>
      </c>
      <c r="Y169" s="2026">
        <f t="shared" si="80"/>
        <v>5.2499999999999998E-2</v>
      </c>
      <c r="Z169" s="50"/>
      <c r="AA169" s="50">
        <v>1.75E-3</v>
      </c>
      <c r="AB169" s="48"/>
      <c r="AC169" s="48">
        <v>0</v>
      </c>
      <c r="AD169" s="48">
        <v>0</v>
      </c>
      <c r="AE169" s="45"/>
      <c r="AF169" s="51"/>
      <c r="AG169" s="42"/>
      <c r="AH169" s="52" t="s">
        <v>7027</v>
      </c>
      <c r="AI169" s="197"/>
      <c r="AJ169" s="363"/>
      <c r="AK169" s="284" t="str">
        <f t="shared" si="81"/>
        <v>Please complete all cells in row</v>
      </c>
      <c r="AL169" s="363"/>
      <c r="AM169" s="224"/>
      <c r="AN169" s="224"/>
      <c r="AO169" s="224"/>
      <c r="AP169" s="224"/>
      <c r="AQ169" s="224"/>
      <c r="AR169" s="224"/>
      <c r="AS169" s="224"/>
      <c r="AT169" s="285">
        <f t="shared" si="82"/>
        <v>0</v>
      </c>
      <c r="AU169" s="285">
        <f t="shared" si="83"/>
        <v>1</v>
      </c>
      <c r="AV169" s="285">
        <f t="shared" si="84"/>
        <v>0</v>
      </c>
      <c r="AW169" s="285">
        <f t="shared" si="85"/>
        <v>0</v>
      </c>
      <c r="AX169" s="285">
        <f t="shared" si="86"/>
        <v>0</v>
      </c>
      <c r="AY169" s="285">
        <f t="shared" si="87"/>
        <v>0</v>
      </c>
      <c r="AZ169" s="285">
        <f t="shared" si="88"/>
        <v>0</v>
      </c>
      <c r="BA169" s="270"/>
      <c r="BB169" s="270"/>
      <c r="BC169" s="270"/>
      <c r="BD169" s="224"/>
      <c r="BE169" s="285">
        <f t="shared" si="89"/>
        <v>0</v>
      </c>
      <c r="BF169" s="285">
        <f t="shared" si="90"/>
        <v>1</v>
      </c>
      <c r="BG169" s="224"/>
      <c r="BH169" s="270"/>
      <c r="BI169" s="270"/>
      <c r="BJ169" s="285">
        <f t="shared" si="91"/>
        <v>1</v>
      </c>
      <c r="BK169" s="285">
        <f t="shared" si="92"/>
        <v>0</v>
      </c>
      <c r="BL169" s="285">
        <f t="shared" si="93"/>
        <v>1</v>
      </c>
      <c r="BM169" s="285">
        <f t="shared" si="94"/>
        <v>0</v>
      </c>
      <c r="BN169" s="285">
        <f t="shared" si="95"/>
        <v>0</v>
      </c>
      <c r="BO169" s="285">
        <f t="shared" si="96"/>
        <v>1</v>
      </c>
      <c r="BP169" s="363"/>
      <c r="BQ169" s="224"/>
      <c r="BR169" s="224"/>
      <c r="BS169" s="778"/>
      <c r="BT169" s="778"/>
      <c r="BU169" s="778"/>
    </row>
    <row r="170" spans="1:73" s="22" customFormat="1" ht="15.75" customHeight="1" outlineLevel="1">
      <c r="A170" s="778"/>
      <c r="B170" s="44" t="s">
        <v>18679</v>
      </c>
      <c r="C170" s="45" t="s">
        <v>18639</v>
      </c>
      <c r="D170" s="46" t="s">
        <v>8466</v>
      </c>
      <c r="E170" s="46" t="s">
        <v>18674</v>
      </c>
      <c r="F170" s="45" t="s">
        <v>18680</v>
      </c>
      <c r="G170" s="46"/>
      <c r="H170" s="45"/>
      <c r="I170" s="45" t="s">
        <v>18645</v>
      </c>
      <c r="J170" s="47">
        <v>44700</v>
      </c>
      <c r="K170" s="48"/>
      <c r="L170" s="47">
        <v>45254</v>
      </c>
      <c r="M170" s="2048">
        <v>1</v>
      </c>
      <c r="N170" s="48">
        <v>60</v>
      </c>
      <c r="O170" s="49">
        <v>0</v>
      </c>
      <c r="P170" s="49">
        <v>60</v>
      </c>
      <c r="Q170" s="2019">
        <f t="shared" si="97"/>
        <v>0</v>
      </c>
      <c r="R170" s="2020">
        <f t="shared" si="76"/>
        <v>-0.11763280768214246</v>
      </c>
      <c r="S170" s="2020">
        <f t="shared" si="77"/>
        <v>1.5750000000001041E-3</v>
      </c>
      <c r="T170" s="50"/>
      <c r="U170" s="50">
        <v>1.575E-3</v>
      </c>
      <c r="V170" s="50"/>
      <c r="W170" s="2020">
        <f t="shared" si="78"/>
        <v>1.575E-3</v>
      </c>
      <c r="X170" s="2026">
        <f t="shared" si="79"/>
        <v>9.4500000000000001E-2</v>
      </c>
      <c r="Y170" s="2026">
        <f t="shared" si="80"/>
        <v>9.4500000000000001E-2</v>
      </c>
      <c r="Z170" s="50"/>
      <c r="AA170" s="50">
        <v>1.575E-3</v>
      </c>
      <c r="AB170" s="48"/>
      <c r="AC170" s="48">
        <v>0</v>
      </c>
      <c r="AD170" s="48">
        <v>0</v>
      </c>
      <c r="AE170" s="45"/>
      <c r="AF170" s="51"/>
      <c r="AG170" s="42"/>
      <c r="AH170" s="52" t="s">
        <v>7028</v>
      </c>
      <c r="AI170" s="197"/>
      <c r="AJ170" s="363"/>
      <c r="AK170" s="284" t="str">
        <f t="shared" si="81"/>
        <v>Please complete all cells in row</v>
      </c>
      <c r="AL170" s="363"/>
      <c r="AM170" s="224"/>
      <c r="AN170" s="224"/>
      <c r="AO170" s="224"/>
      <c r="AP170" s="224"/>
      <c r="AQ170" s="224"/>
      <c r="AR170" s="224"/>
      <c r="AS170" s="224"/>
      <c r="AT170" s="285">
        <f t="shared" si="82"/>
        <v>0</v>
      </c>
      <c r="AU170" s="285">
        <f t="shared" si="83"/>
        <v>1</v>
      </c>
      <c r="AV170" s="285">
        <f t="shared" si="84"/>
        <v>0</v>
      </c>
      <c r="AW170" s="285">
        <f t="shared" si="85"/>
        <v>0</v>
      </c>
      <c r="AX170" s="285">
        <f t="shared" si="86"/>
        <v>0</v>
      </c>
      <c r="AY170" s="285">
        <f t="shared" si="87"/>
        <v>0</v>
      </c>
      <c r="AZ170" s="285">
        <f t="shared" si="88"/>
        <v>0</v>
      </c>
      <c r="BA170" s="270"/>
      <c r="BB170" s="270"/>
      <c r="BC170" s="270"/>
      <c r="BD170" s="224"/>
      <c r="BE170" s="285">
        <f t="shared" si="89"/>
        <v>0</v>
      </c>
      <c r="BF170" s="285">
        <f t="shared" si="90"/>
        <v>1</v>
      </c>
      <c r="BG170" s="224"/>
      <c r="BH170" s="270"/>
      <c r="BI170" s="270"/>
      <c r="BJ170" s="285">
        <f t="shared" si="91"/>
        <v>1</v>
      </c>
      <c r="BK170" s="285">
        <f t="shared" si="92"/>
        <v>0</v>
      </c>
      <c r="BL170" s="285">
        <f t="shared" si="93"/>
        <v>1</v>
      </c>
      <c r="BM170" s="285">
        <f t="shared" si="94"/>
        <v>0</v>
      </c>
      <c r="BN170" s="285">
        <f t="shared" si="95"/>
        <v>0</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7029</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7030</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7031</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7032</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7033</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7034</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7035</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7036</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7037</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7038</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7039</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7040</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7041</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7042</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7043</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7044</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7045</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7046</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7047</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7048</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7049</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7050</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7051</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7052</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7053</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7054</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7055</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7056</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7057</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7058</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7059</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7060</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7061</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7062</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7063</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7064</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7065</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7066</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7067</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7068</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7069</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hidden="1"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7070</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7071</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7072</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7073</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7074</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7075</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7076</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7077</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7078</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7079</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7080</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7081</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7082</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7083</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7084</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7085</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7086</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7087</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7088</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7089</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7090</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7091</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7092</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7093</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7094</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7095</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7096</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7097</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7098</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7099</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7100</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7101</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7102</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7103</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7104</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7105</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7106</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7107</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7108</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7109</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7110</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7111</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7112</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7113</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7114</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7115</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7116</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7117</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7118</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7119</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hidden="1"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7120</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7121</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7122</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7123</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7124</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7125</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7126</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7127</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7128</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7129</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7130</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7131</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7132</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7133</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7134</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7135</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7136</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7137</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7138</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7139</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7140</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7141</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7142</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7143</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7144</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7145</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7146</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7147</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7148</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7149</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7150</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7151</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7152</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7153</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7154</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7155</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7156</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7157</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7158</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7159</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7160</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7161</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7162</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7163</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7164</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7165</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7166</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7167</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7168</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7169</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7170</v>
      </c>
      <c r="C312" s="2050"/>
      <c r="D312" s="2050"/>
      <c r="E312" s="2050"/>
      <c r="F312" s="2051"/>
      <c r="G312" s="2051"/>
      <c r="H312" s="2052"/>
      <c r="I312" s="2052"/>
      <c r="J312" s="2053"/>
      <c r="K312" s="2054"/>
      <c r="L312" s="2053"/>
      <c r="M312" s="2055"/>
      <c r="N312" s="2022">
        <f>SUM(N162:N311)</f>
        <v>537.54999999999995</v>
      </c>
      <c r="O312" s="2022">
        <f>SUM(O162:O311)</f>
        <v>178.244</v>
      </c>
      <c r="P312" s="2022">
        <f>SUM(P162:P311)</f>
        <v>513.24400000000003</v>
      </c>
      <c r="Q312" s="2021">
        <f>SUM(Q162:Q311)</f>
        <v>1493.4940000000001</v>
      </c>
      <c r="R312" s="2055"/>
      <c r="S312" s="2055"/>
      <c r="T312" s="2055"/>
      <c r="U312" s="2055"/>
      <c r="V312" s="2055"/>
      <c r="W312" s="2055"/>
      <c r="X312" s="2022">
        <f>SUM(X162:X311)</f>
        <v>10.27361329</v>
      </c>
      <c r="Y312" s="2022">
        <f>SUM(Y162:Y311)</f>
        <v>10.27361329</v>
      </c>
      <c r="Z312" s="2063"/>
      <c r="AA312" s="2063"/>
      <c r="AB312" s="2022">
        <f>SUM(AB162:AB311)</f>
        <v>0</v>
      </c>
      <c r="AC312" s="2022">
        <f>SUM(AC162:AC311)</f>
        <v>178.244</v>
      </c>
      <c r="AD312" s="2022">
        <f>SUM(AD162:AD311)</f>
        <v>178.244</v>
      </c>
      <c r="AE312" s="2052"/>
      <c r="AF312" s="2057"/>
      <c r="AG312" s="42"/>
      <c r="AH312" s="54" t="s">
        <v>7171</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7172</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18692</v>
      </c>
      <c r="C315" s="36" t="s">
        <v>18639</v>
      </c>
      <c r="D315" s="37" t="s">
        <v>18640</v>
      </c>
      <c r="E315" s="37" t="s">
        <v>18641</v>
      </c>
      <c r="F315" s="36" t="s">
        <v>18693</v>
      </c>
      <c r="G315" s="36" t="s">
        <v>18643</v>
      </c>
      <c r="H315" s="36" t="s">
        <v>18694</v>
      </c>
      <c r="I315" s="36" t="s">
        <v>18645</v>
      </c>
      <c r="J315" s="38">
        <v>37021</v>
      </c>
      <c r="K315" s="39">
        <v>100</v>
      </c>
      <c r="L315" s="38">
        <v>46843</v>
      </c>
      <c r="M315" s="2046">
        <v>5</v>
      </c>
      <c r="N315" s="39">
        <v>350</v>
      </c>
      <c r="O315" s="39">
        <v>433.47079037800677</v>
      </c>
      <c r="P315" s="39">
        <v>433.47079037800677</v>
      </c>
      <c r="Q315" s="2017">
        <f>IFERROR(M315*O315,"")</f>
        <v>2167.3539518900338</v>
      </c>
      <c r="R315" s="40">
        <v>2.6759285714285715E-2</v>
      </c>
      <c r="S315" s="2066"/>
      <c r="T315" s="2066"/>
      <c r="U315" s="2066"/>
      <c r="V315" s="2066"/>
      <c r="W315" s="2018">
        <f t="shared" ref="W315:W378" si="142">IF(R315=0,0,((1+R315)*(1+C$626))-1)</f>
        <v>0.16547446521428566</v>
      </c>
      <c r="X315" s="2025">
        <f t="shared" ref="X315:X378" si="143">W315*P315</f>
        <v>71.728347223814396</v>
      </c>
      <c r="Y315" s="2025">
        <f t="shared" ref="Y315:Y378" si="144" xml:space="preserve"> R315*P315</f>
        <v>11.599368728522334</v>
      </c>
      <c r="Z315" s="40"/>
      <c r="AA315" s="40"/>
      <c r="AB315" s="39">
        <v>0.40106267306787635</v>
      </c>
      <c r="AC315" s="39">
        <v>433.87185305107465</v>
      </c>
      <c r="AD315" s="39">
        <v>369.77499999999998</v>
      </c>
      <c r="AE315" s="36"/>
      <c r="AF315" s="41" t="s">
        <v>18766</v>
      </c>
      <c r="AG315" s="42"/>
      <c r="AH315" s="43" t="s">
        <v>7173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18695</v>
      </c>
      <c r="C316" s="45" t="s">
        <v>18639</v>
      </c>
      <c r="D316" s="46" t="s">
        <v>18640</v>
      </c>
      <c r="E316" s="46" t="s">
        <v>18641</v>
      </c>
      <c r="F316" s="45" t="s">
        <v>18696</v>
      </c>
      <c r="G316" s="46" t="s">
        <v>18643</v>
      </c>
      <c r="H316" s="45" t="s">
        <v>18694</v>
      </c>
      <c r="I316" s="45" t="s">
        <v>18645</v>
      </c>
      <c r="J316" s="47">
        <v>37021</v>
      </c>
      <c r="K316" s="48">
        <v>100</v>
      </c>
      <c r="L316" s="47">
        <v>47573</v>
      </c>
      <c r="M316" s="2048">
        <v>7</v>
      </c>
      <c r="N316" s="48">
        <v>265</v>
      </c>
      <c r="O316" s="49">
        <v>529.69100000000003</v>
      </c>
      <c r="P316" s="49">
        <v>529.69100000000003</v>
      </c>
      <c r="Q316" s="2019">
        <f>IFERROR(M316*O316,"")</f>
        <v>3707.8370000000004</v>
      </c>
      <c r="R316" s="50">
        <v>3.9939999999999996E-2</v>
      </c>
      <c r="S316" s="2067"/>
      <c r="T316" s="2067"/>
      <c r="U316" s="2067"/>
      <c r="V316" s="2067"/>
      <c r="W316" s="2020">
        <f t="shared" si="142"/>
        <v>0.18043589400000015</v>
      </c>
      <c r="X316" s="2026">
        <f t="shared" si="143"/>
        <v>95.575269128754087</v>
      </c>
      <c r="Y316" s="2026">
        <f t="shared" si="144"/>
        <v>21.155858540000001</v>
      </c>
      <c r="Z316" s="50"/>
      <c r="AA316" s="50"/>
      <c r="AB316" s="48">
        <v>0.39329701443173848</v>
      </c>
      <c r="AC316" s="48">
        <v>530.08429701443174</v>
      </c>
      <c r="AD316" s="48">
        <v>635.22884999999997</v>
      </c>
      <c r="AE316" s="45"/>
      <c r="AF316" s="51" t="s">
        <v>18766</v>
      </c>
      <c r="AG316" s="42"/>
      <c r="AH316" s="52" t="s">
        <v>7174</v>
      </c>
      <c r="AI316" s="197"/>
      <c r="AJ316" s="363"/>
      <c r="AK316" s="284" t="str">
        <f t="shared" si="145"/>
        <v>Please complete all cells in row</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18697</v>
      </c>
      <c r="C317" s="45" t="s">
        <v>18639</v>
      </c>
      <c r="D317" s="46" t="s">
        <v>18640</v>
      </c>
      <c r="E317" s="46" t="s">
        <v>18641</v>
      </c>
      <c r="F317" s="45" t="s">
        <v>18698</v>
      </c>
      <c r="G317" s="46" t="s">
        <v>18643</v>
      </c>
      <c r="H317" s="45" t="s">
        <v>18694</v>
      </c>
      <c r="I317" s="45" t="s">
        <v>18645</v>
      </c>
      <c r="J317" s="47">
        <v>37021</v>
      </c>
      <c r="K317" s="48">
        <v>100</v>
      </c>
      <c r="L317" s="47">
        <v>47938</v>
      </c>
      <c r="M317" s="2048">
        <v>8</v>
      </c>
      <c r="N317" s="48">
        <v>85</v>
      </c>
      <c r="O317" s="49">
        <v>161.036</v>
      </c>
      <c r="P317" s="49">
        <v>161.036</v>
      </c>
      <c r="Q317" s="2019">
        <f t="shared" ref="Q317:Q380" si="160">IFERROR(M317*O317,"")</f>
        <v>1288.288</v>
      </c>
      <c r="R317" s="50">
        <v>3.9919999999999997E-2</v>
      </c>
      <c r="S317" s="2067"/>
      <c r="T317" s="2067"/>
      <c r="U317" s="2067"/>
      <c r="V317" s="2067"/>
      <c r="W317" s="2020">
        <f t="shared" si="142"/>
        <v>0.18041319200000006</v>
      </c>
      <c r="X317" s="2026">
        <f t="shared" si="143"/>
        <v>29.053018786912009</v>
      </c>
      <c r="Y317" s="2026">
        <f t="shared" si="144"/>
        <v>6.4285571199999998</v>
      </c>
      <c r="Z317" s="50"/>
      <c r="AA317" s="50"/>
      <c r="AB317" s="48">
        <v>0.13902592867155472</v>
      </c>
      <c r="AC317" s="48">
        <v>161.17502592867154</v>
      </c>
      <c r="AD317" s="48">
        <v>206.79564999999999</v>
      </c>
      <c r="AE317" s="45"/>
      <c r="AF317" s="51" t="s">
        <v>18766</v>
      </c>
      <c r="AG317" s="42"/>
      <c r="AH317" s="52" t="s">
        <v>7175</v>
      </c>
      <c r="AI317" s="197"/>
      <c r="AJ317" s="363"/>
      <c r="AK317" s="284" t="str">
        <f t="shared" si="145"/>
        <v>Please complete all cells in row</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1</v>
      </c>
      <c r="BK317" s="285">
        <f t="shared" si="155"/>
        <v>1</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18699</v>
      </c>
      <c r="C318" s="45" t="s">
        <v>18639</v>
      </c>
      <c r="D318" s="46" t="s">
        <v>18640</v>
      </c>
      <c r="E318" s="46" t="s">
        <v>18641</v>
      </c>
      <c r="F318" s="45" t="s">
        <v>18700</v>
      </c>
      <c r="G318" s="46" t="s">
        <v>18643</v>
      </c>
      <c r="H318" s="45" t="s">
        <v>18694</v>
      </c>
      <c r="I318" s="45" t="s">
        <v>18645</v>
      </c>
      <c r="J318" s="47">
        <v>39058</v>
      </c>
      <c r="K318" s="48">
        <v>100</v>
      </c>
      <c r="L318" s="47">
        <v>57435</v>
      </c>
      <c r="M318" s="2048">
        <v>34</v>
      </c>
      <c r="N318" s="48">
        <v>100</v>
      </c>
      <c r="O318" s="49">
        <v>175.928</v>
      </c>
      <c r="P318" s="49">
        <v>175.928</v>
      </c>
      <c r="Q318" s="2019">
        <f t="shared" si="160"/>
        <v>5981.5519999999997</v>
      </c>
      <c r="R318" s="50">
        <v>1.3500000000000002E-2</v>
      </c>
      <c r="S318" s="2067"/>
      <c r="T318" s="2067"/>
      <c r="U318" s="2067"/>
      <c r="V318" s="2067"/>
      <c r="W318" s="2020">
        <f t="shared" si="142"/>
        <v>0.15042385000000014</v>
      </c>
      <c r="X318" s="2026">
        <f t="shared" si="143"/>
        <v>26.463767082800025</v>
      </c>
      <c r="Y318" s="2026">
        <f t="shared" si="144"/>
        <v>2.3750280000000004</v>
      </c>
      <c r="Z318" s="50"/>
      <c r="AA318" s="50"/>
      <c r="AB318" s="48">
        <v>0</v>
      </c>
      <c r="AC318" s="48">
        <v>175.928</v>
      </c>
      <c r="AD318" s="48">
        <v>94.122</v>
      </c>
      <c r="AE318" s="45"/>
      <c r="AF318" s="51" t="s">
        <v>18766</v>
      </c>
      <c r="AG318" s="42"/>
      <c r="AH318" s="52" t="s">
        <v>7176</v>
      </c>
      <c r="AI318" s="197"/>
      <c r="AJ318" s="363"/>
      <c r="AK318" s="284" t="str">
        <f t="shared" si="145"/>
        <v>Please complete all cells in row</v>
      </c>
      <c r="AL318" s="363"/>
      <c r="AM318" s="224"/>
      <c r="AN318" s="224"/>
      <c r="AO318" s="224"/>
      <c r="AP318" s="224"/>
      <c r="AQ318" s="224"/>
      <c r="AR318" s="224"/>
      <c r="AS318" s="224"/>
      <c r="AT318" s="285">
        <f t="shared" si="146"/>
        <v>0</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1</v>
      </c>
      <c r="BK318" s="285">
        <f t="shared" si="155"/>
        <v>1</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18701</v>
      </c>
      <c r="C319" s="45" t="s">
        <v>18639</v>
      </c>
      <c r="D319" s="46" t="s">
        <v>18640</v>
      </c>
      <c r="E319" s="46" t="s">
        <v>18641</v>
      </c>
      <c r="F319" s="45" t="s">
        <v>18702</v>
      </c>
      <c r="G319" s="46" t="s">
        <v>18643</v>
      </c>
      <c r="H319" s="45" t="s">
        <v>18644</v>
      </c>
      <c r="I319" s="45" t="s">
        <v>18645</v>
      </c>
      <c r="J319" s="47">
        <v>37021</v>
      </c>
      <c r="K319" s="48">
        <v>100</v>
      </c>
      <c r="L319" s="47">
        <v>46112</v>
      </c>
      <c r="M319" s="2048">
        <v>3</v>
      </c>
      <c r="N319" s="48">
        <v>128.6</v>
      </c>
      <c r="O319" s="49">
        <v>257.05</v>
      </c>
      <c r="P319" s="49">
        <v>257.05</v>
      </c>
      <c r="Q319" s="2019">
        <f t="shared" si="160"/>
        <v>771.15000000000009</v>
      </c>
      <c r="R319" s="50">
        <v>4.3770000000000003E-2</v>
      </c>
      <c r="S319" s="2067"/>
      <c r="T319" s="2067"/>
      <c r="U319" s="2067"/>
      <c r="V319" s="2067"/>
      <c r="W319" s="2020">
        <f t="shared" si="142"/>
        <v>0.18478332700000011</v>
      </c>
      <c r="X319" s="2026">
        <f t="shared" si="143"/>
        <v>47.498554205350032</v>
      </c>
      <c r="Y319" s="2026">
        <f t="shared" si="144"/>
        <v>11.251078500000002</v>
      </c>
      <c r="Z319" s="50"/>
      <c r="AA319" s="50"/>
      <c r="AB319" s="48">
        <v>0.10475687471300313</v>
      </c>
      <c r="AC319" s="48">
        <v>257.15475687471303</v>
      </c>
      <c r="AD319" s="48">
        <v>285.80449800000002</v>
      </c>
      <c r="AE319" s="45"/>
      <c r="AF319" s="51" t="s">
        <v>18767</v>
      </c>
      <c r="AG319" s="42"/>
      <c r="AH319" s="52" t="s">
        <v>7177</v>
      </c>
      <c r="AI319" s="197"/>
      <c r="AJ319" s="363"/>
      <c r="AK319" s="284" t="str">
        <f t="shared" si="145"/>
        <v>Please complete all cells in row</v>
      </c>
      <c r="AL319" s="363"/>
      <c r="AM319" s="224"/>
      <c r="AN319" s="224"/>
      <c r="AO319" s="224"/>
      <c r="AP319" s="224"/>
      <c r="AQ319" s="224"/>
      <c r="AR319" s="224"/>
      <c r="AS319" s="224"/>
      <c r="AT319" s="285">
        <f t="shared" si="146"/>
        <v>0</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1</v>
      </c>
      <c r="BK319" s="285">
        <f t="shared" si="155"/>
        <v>1</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18703</v>
      </c>
      <c r="C320" s="45" t="s">
        <v>18639</v>
      </c>
      <c r="D320" s="46" t="s">
        <v>18640</v>
      </c>
      <c r="E320" s="46" t="s">
        <v>18641</v>
      </c>
      <c r="F320" s="45" t="s">
        <v>18704</v>
      </c>
      <c r="G320" s="46" t="s">
        <v>18643</v>
      </c>
      <c r="H320" s="45" t="s">
        <v>18644</v>
      </c>
      <c r="I320" s="45" t="s">
        <v>18645</v>
      </c>
      <c r="J320" s="47">
        <v>37021</v>
      </c>
      <c r="K320" s="48">
        <v>100</v>
      </c>
      <c r="L320" s="47">
        <v>46477</v>
      </c>
      <c r="M320" s="2048">
        <v>4</v>
      </c>
      <c r="N320" s="48">
        <v>75</v>
      </c>
      <c r="O320" s="49">
        <v>142.09</v>
      </c>
      <c r="P320" s="49">
        <v>142.09</v>
      </c>
      <c r="Q320" s="2019">
        <f t="shared" si="160"/>
        <v>568.36</v>
      </c>
      <c r="R320" s="50">
        <v>4.3749999999999997E-2</v>
      </c>
      <c r="S320" s="2067"/>
      <c r="T320" s="2067"/>
      <c r="U320" s="2067"/>
      <c r="V320" s="2067"/>
      <c r="W320" s="2020">
        <f t="shared" si="142"/>
        <v>0.18476062500000001</v>
      </c>
      <c r="X320" s="2026">
        <f t="shared" si="143"/>
        <v>26.252637206250004</v>
      </c>
      <c r="Y320" s="2026">
        <f t="shared" si="144"/>
        <v>6.2164374999999996</v>
      </c>
      <c r="Z320" s="50"/>
      <c r="AA320" s="50"/>
      <c r="AB320" s="48">
        <v>8.5609384928836407E-2</v>
      </c>
      <c r="AC320" s="48">
        <v>142.17560938492883</v>
      </c>
      <c r="AD320" s="48">
        <v>175.5975</v>
      </c>
      <c r="AE320" s="45"/>
      <c r="AF320" s="51" t="s">
        <v>18767</v>
      </c>
      <c r="AG320" s="42"/>
      <c r="AH320" s="52" t="s">
        <v>7178</v>
      </c>
      <c r="AI320" s="197"/>
      <c r="AJ320" s="363"/>
      <c r="AK320" s="284" t="str">
        <f t="shared" si="145"/>
        <v>Please complete all cells in row</v>
      </c>
      <c r="AL320" s="363"/>
      <c r="AM320" s="224"/>
      <c r="AN320" s="224"/>
      <c r="AO320" s="224"/>
      <c r="AP320" s="224"/>
      <c r="AQ320" s="224"/>
      <c r="AR320" s="224"/>
      <c r="AS320" s="224"/>
      <c r="AT320" s="285">
        <f t="shared" si="146"/>
        <v>0</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1</v>
      </c>
      <c r="BK320" s="285">
        <f t="shared" si="155"/>
        <v>1</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18705</v>
      </c>
      <c r="C321" s="45" t="s">
        <v>18639</v>
      </c>
      <c r="D321" s="46" t="s">
        <v>18640</v>
      </c>
      <c r="E321" s="46" t="s">
        <v>18641</v>
      </c>
      <c r="F321" s="45" t="s">
        <v>18706</v>
      </c>
      <c r="G321" s="46" t="s">
        <v>18643</v>
      </c>
      <c r="H321" s="45" t="s">
        <v>18644</v>
      </c>
      <c r="I321" s="45" t="s">
        <v>18645</v>
      </c>
      <c r="J321" s="47">
        <v>39063</v>
      </c>
      <c r="K321" s="48">
        <v>100</v>
      </c>
      <c r="L321" s="47">
        <v>57435</v>
      </c>
      <c r="M321" s="2048">
        <v>34</v>
      </c>
      <c r="N321" s="48">
        <v>50</v>
      </c>
      <c r="O321" s="49">
        <v>88</v>
      </c>
      <c r="P321" s="49">
        <v>88</v>
      </c>
      <c r="Q321" s="2019">
        <f t="shared" si="160"/>
        <v>2992</v>
      </c>
      <c r="R321" s="50">
        <v>1.375E-2</v>
      </c>
      <c r="S321" s="2067"/>
      <c r="T321" s="2067"/>
      <c r="U321" s="2067"/>
      <c r="V321" s="2067"/>
      <c r="W321" s="2020">
        <f t="shared" si="142"/>
        <v>0.1507076249999999</v>
      </c>
      <c r="X321" s="2026">
        <f t="shared" si="143"/>
        <v>13.262270999999991</v>
      </c>
      <c r="Y321" s="2026">
        <f t="shared" si="144"/>
        <v>1.21</v>
      </c>
      <c r="Z321" s="50"/>
      <c r="AA321" s="50"/>
      <c r="AB321" s="48">
        <v>0</v>
      </c>
      <c r="AC321" s="48">
        <v>88</v>
      </c>
      <c r="AD321" s="48">
        <v>85.119500000000002</v>
      </c>
      <c r="AE321" s="45"/>
      <c r="AF321" s="51" t="s">
        <v>18767</v>
      </c>
      <c r="AG321" s="42"/>
      <c r="AH321" s="52" t="s">
        <v>7179</v>
      </c>
      <c r="AI321" s="197"/>
      <c r="AJ321" s="363"/>
      <c r="AK321" s="284" t="str">
        <f t="shared" si="145"/>
        <v>Please complete all cells in row</v>
      </c>
      <c r="AL321" s="363"/>
      <c r="AM321" s="224"/>
      <c r="AN321" s="224"/>
      <c r="AO321" s="224"/>
      <c r="AP321" s="224"/>
      <c r="AQ321" s="224"/>
      <c r="AR321" s="224"/>
      <c r="AS321" s="224"/>
      <c r="AT321" s="285">
        <f t="shared" si="146"/>
        <v>0</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1</v>
      </c>
      <c r="BK321" s="285">
        <f t="shared" si="155"/>
        <v>1</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18707</v>
      </c>
      <c r="C322" s="45" t="s">
        <v>18639</v>
      </c>
      <c r="D322" s="46" t="s">
        <v>18640</v>
      </c>
      <c r="E322" s="46" t="s">
        <v>18641</v>
      </c>
      <c r="F322" s="45" t="s">
        <v>18708</v>
      </c>
      <c r="G322" s="46" t="s">
        <v>18643</v>
      </c>
      <c r="H322" s="45" t="s">
        <v>18644</v>
      </c>
      <c r="I322" s="45" t="s">
        <v>18645</v>
      </c>
      <c r="J322" s="47">
        <v>40268</v>
      </c>
      <c r="K322" s="48">
        <v>100</v>
      </c>
      <c r="L322" s="47">
        <v>54148</v>
      </c>
      <c r="M322" s="2048">
        <v>25</v>
      </c>
      <c r="N322" s="48">
        <v>260</v>
      </c>
      <c r="O322" s="49">
        <v>429.91</v>
      </c>
      <c r="P322" s="49">
        <v>429.91</v>
      </c>
      <c r="Q322" s="2019">
        <f t="shared" si="160"/>
        <v>10747.75</v>
      </c>
      <c r="R322" s="50">
        <v>1.8589999999999999E-2</v>
      </c>
      <c r="S322" s="2067"/>
      <c r="T322" s="2067"/>
      <c r="U322" s="2067"/>
      <c r="V322" s="2067"/>
      <c r="W322" s="2020">
        <f t="shared" si="142"/>
        <v>0.15620150900000018</v>
      </c>
      <c r="X322" s="2026">
        <f t="shared" si="143"/>
        <v>67.152590734190085</v>
      </c>
      <c r="Y322" s="2026">
        <f t="shared" si="144"/>
        <v>7.9920268999999999</v>
      </c>
      <c r="Z322" s="50"/>
      <c r="AA322" s="50"/>
      <c r="AB322" s="48">
        <v>1.1687398884247511</v>
      </c>
      <c r="AC322" s="48">
        <v>431.07873988842476</v>
      </c>
      <c r="AD322" s="48">
        <v>260.18459999999999</v>
      </c>
      <c r="AE322" s="45"/>
      <c r="AF322" s="51" t="s">
        <v>18767</v>
      </c>
      <c r="AG322" s="42"/>
      <c r="AH322" s="52" t="s">
        <v>7180</v>
      </c>
      <c r="AI322" s="197"/>
      <c r="AJ322" s="363"/>
      <c r="AK322" s="284" t="str">
        <f t="shared" si="145"/>
        <v>Please complete all cells in row</v>
      </c>
      <c r="AL322" s="363"/>
      <c r="AM322" s="224"/>
      <c r="AN322" s="224"/>
      <c r="AO322" s="224"/>
      <c r="AP322" s="224"/>
      <c r="AQ322" s="224"/>
      <c r="AR322" s="224"/>
      <c r="AS322" s="224"/>
      <c r="AT322" s="285">
        <f t="shared" si="146"/>
        <v>0</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1</v>
      </c>
      <c r="BK322" s="285">
        <f t="shared" si="155"/>
        <v>1</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18709</v>
      </c>
      <c r="C323" s="45" t="s">
        <v>18639</v>
      </c>
      <c r="D323" s="46" t="s">
        <v>18640</v>
      </c>
      <c r="E323" s="46" t="s">
        <v>18641</v>
      </c>
      <c r="F323" s="45" t="s">
        <v>18710</v>
      </c>
      <c r="G323" s="46" t="s">
        <v>18643</v>
      </c>
      <c r="H323" s="45" t="s">
        <v>18644</v>
      </c>
      <c r="I323" s="45" t="s">
        <v>18645</v>
      </c>
      <c r="J323" s="47">
        <v>43885</v>
      </c>
      <c r="K323" s="48">
        <v>100</v>
      </c>
      <c r="L323" s="47">
        <v>48669</v>
      </c>
      <c r="M323" s="2048">
        <v>10</v>
      </c>
      <c r="N323" s="48">
        <v>300</v>
      </c>
      <c r="O323" s="49">
        <v>371.54639175257716</v>
      </c>
      <c r="P323" s="49">
        <v>371.54639175257716</v>
      </c>
      <c r="Q323" s="2019">
        <f t="shared" si="160"/>
        <v>3715.4639175257716</v>
      </c>
      <c r="R323" s="50">
        <v>-1.6909E-2</v>
      </c>
      <c r="S323" s="2067"/>
      <c r="T323" s="2067"/>
      <c r="U323" s="2067"/>
      <c r="V323" s="2067"/>
      <c r="W323" s="2020">
        <f t="shared" si="142"/>
        <v>0.11590659410000015</v>
      </c>
      <c r="X323" s="2026">
        <f t="shared" si="143"/>
        <v>43.064676818185603</v>
      </c>
      <c r="Y323" s="2026">
        <f t="shared" si="144"/>
        <v>-6.2824779381443276</v>
      </c>
      <c r="Z323" s="50"/>
      <c r="AA323" s="50"/>
      <c r="AB323" s="48">
        <v>3.8032940497055381</v>
      </c>
      <c r="AC323" s="48">
        <v>375.34968580228269</v>
      </c>
      <c r="AD323" s="48">
        <v>221.25299999999999</v>
      </c>
      <c r="AE323" s="45"/>
      <c r="AF323" s="51" t="s">
        <v>18767</v>
      </c>
      <c r="AG323" s="42"/>
      <c r="AH323" s="52" t="s">
        <v>7181</v>
      </c>
      <c r="AI323" s="197"/>
      <c r="AJ323" s="363"/>
      <c r="AK323" s="284" t="str">
        <f t="shared" si="145"/>
        <v>Please complete all cells in row</v>
      </c>
      <c r="AL323" s="363"/>
      <c r="AM323" s="224"/>
      <c r="AN323" s="224"/>
      <c r="AO323" s="224"/>
      <c r="AP323" s="224"/>
      <c r="AQ323" s="224"/>
      <c r="AR323" s="224"/>
      <c r="AS323" s="224"/>
      <c r="AT323" s="285">
        <f t="shared" si="146"/>
        <v>0</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1</v>
      </c>
      <c r="BK323" s="285">
        <f t="shared" si="155"/>
        <v>1</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t="s">
        <v>18711</v>
      </c>
      <c r="C324" s="45" t="s">
        <v>18639</v>
      </c>
      <c r="D324" s="46" t="s">
        <v>18640</v>
      </c>
      <c r="E324" s="46" t="s">
        <v>18641</v>
      </c>
      <c r="F324" s="45" t="s">
        <v>18712</v>
      </c>
      <c r="G324" s="46" t="s">
        <v>18713</v>
      </c>
      <c r="H324" s="45" t="s">
        <v>18714</v>
      </c>
      <c r="I324" s="45" t="s">
        <v>18645</v>
      </c>
      <c r="J324" s="47">
        <v>43885</v>
      </c>
      <c r="K324" s="48">
        <v>100</v>
      </c>
      <c r="L324" s="47">
        <v>46112</v>
      </c>
      <c r="M324" s="2048">
        <v>3</v>
      </c>
      <c r="N324" s="48">
        <v>200</v>
      </c>
      <c r="O324" s="49">
        <v>247.69759450171819</v>
      </c>
      <c r="P324" s="49">
        <v>247.69759450171819</v>
      </c>
      <c r="Q324" s="2019">
        <f t="shared" si="160"/>
        <v>743.09278350515456</v>
      </c>
      <c r="R324" s="50">
        <v>-1.5844999999999998E-2</v>
      </c>
      <c r="S324" s="2067"/>
      <c r="T324" s="2067"/>
      <c r="U324" s="2067"/>
      <c r="V324" s="2067"/>
      <c r="W324" s="2020">
        <f t="shared" si="142"/>
        <v>0.11711434049999991</v>
      </c>
      <c r="X324" s="2026">
        <f t="shared" si="143"/>
        <v>29.00894042350513</v>
      </c>
      <c r="Y324" s="2026">
        <f t="shared" si="144"/>
        <v>-3.9247683848797243</v>
      </c>
      <c r="Z324" s="50"/>
      <c r="AA324" s="50"/>
      <c r="AB324" s="48">
        <v>1.093552428087694</v>
      </c>
      <c r="AC324" s="48">
        <v>248.79114692980588</v>
      </c>
      <c r="AD324" s="48">
        <v>181.22400000000002</v>
      </c>
      <c r="AE324" s="45"/>
      <c r="AF324" s="51"/>
      <c r="AG324" s="42"/>
      <c r="AH324" s="52" t="s">
        <v>7182</v>
      </c>
      <c r="AI324" s="197"/>
      <c r="AJ324" s="363"/>
      <c r="AK324" s="284" t="str">
        <f t="shared" si="145"/>
        <v>Please complete all cells in row</v>
      </c>
      <c r="AL324" s="363"/>
      <c r="AM324" s="224"/>
      <c r="AN324" s="224"/>
      <c r="AO324" s="224"/>
      <c r="AP324" s="224"/>
      <c r="AQ324" s="224"/>
      <c r="AR324" s="224"/>
      <c r="AS324" s="224"/>
      <c r="AT324" s="285">
        <f t="shared" si="146"/>
        <v>0</v>
      </c>
      <c r="AU324" s="285">
        <f t="shared" si="147"/>
        <v>0</v>
      </c>
      <c r="AV324" s="285">
        <f t="shared" si="148"/>
        <v>0</v>
      </c>
      <c r="AW324" s="285">
        <f t="shared" si="149"/>
        <v>0</v>
      </c>
      <c r="AX324" s="285">
        <f t="shared" si="150"/>
        <v>0</v>
      </c>
      <c r="AY324" s="285">
        <f t="shared" si="151"/>
        <v>0</v>
      </c>
      <c r="AZ324" s="285">
        <f t="shared" si="152"/>
        <v>0</v>
      </c>
      <c r="BA324" s="270"/>
      <c r="BB324" s="285">
        <f t="shared" si="153"/>
        <v>0</v>
      </c>
      <c r="BC324" s="270"/>
      <c r="BD324" s="270"/>
      <c r="BE324" s="270"/>
      <c r="BF324" s="270"/>
      <c r="BG324" s="270"/>
      <c r="BH324" s="270"/>
      <c r="BI324" s="270"/>
      <c r="BJ324" s="285">
        <f t="shared" si="154"/>
        <v>1</v>
      </c>
      <c r="BK324" s="285">
        <f t="shared" si="155"/>
        <v>1</v>
      </c>
      <c r="BL324" s="285">
        <f t="shared" si="156"/>
        <v>0</v>
      </c>
      <c r="BM324" s="285">
        <f t="shared" si="157"/>
        <v>0</v>
      </c>
      <c r="BN324" s="285">
        <f t="shared" si="158"/>
        <v>0</v>
      </c>
      <c r="BO324" s="285">
        <f t="shared" si="159"/>
        <v>1</v>
      </c>
      <c r="BP324" s="363"/>
      <c r="BQ324" s="224"/>
      <c r="BR324" s="224"/>
      <c r="BS324" s="778"/>
      <c r="BT324" s="778"/>
      <c r="BU324" s="778"/>
    </row>
    <row r="325" spans="1:73" s="22" customFormat="1" ht="15.75" customHeight="1" outlineLevel="1">
      <c r="A325" s="778"/>
      <c r="B325" s="44" t="s">
        <v>18715</v>
      </c>
      <c r="C325" s="45" t="s">
        <v>18646</v>
      </c>
      <c r="D325" s="46" t="s">
        <v>18716</v>
      </c>
      <c r="E325" s="46" t="s">
        <v>18648</v>
      </c>
      <c r="F325" s="45" t="s">
        <v>18717</v>
      </c>
      <c r="G325" s="46" t="s">
        <v>18643</v>
      </c>
      <c r="H325" s="45" t="s">
        <v>18650</v>
      </c>
      <c r="I325" s="45" t="s">
        <v>18645</v>
      </c>
      <c r="J325" s="47">
        <v>38303</v>
      </c>
      <c r="K325" s="48"/>
      <c r="L325" s="47">
        <v>50860</v>
      </c>
      <c r="M325" s="2048">
        <v>2</v>
      </c>
      <c r="N325" s="48">
        <v>44</v>
      </c>
      <c r="O325" s="49">
        <v>48.975999999999999</v>
      </c>
      <c r="P325" s="49">
        <v>48.975999999999999</v>
      </c>
      <c r="Q325" s="2019">
        <f t="shared" si="160"/>
        <v>97.951999999999998</v>
      </c>
      <c r="R325" s="50">
        <v>-6.2179543652541747E-2</v>
      </c>
      <c r="S325" s="2067"/>
      <c r="T325" s="2067"/>
      <c r="U325" s="2067"/>
      <c r="V325" s="2067"/>
      <c r="W325" s="2020">
        <f t="shared" si="142"/>
        <v>6.4519999999999911E-2</v>
      </c>
      <c r="X325" s="2026">
        <f t="shared" si="143"/>
        <v>3.1599315199999958</v>
      </c>
      <c r="Y325" s="2026">
        <f t="shared" si="144"/>
        <v>-3.0453053299268844</v>
      </c>
      <c r="Z325" s="50"/>
      <c r="AA325" s="50"/>
      <c r="AB325" s="48">
        <v>0</v>
      </c>
      <c r="AC325" s="48">
        <v>48.975999999999999</v>
      </c>
      <c r="AD325" s="48">
        <v>48.975999999999999</v>
      </c>
      <c r="AE325" s="45"/>
      <c r="AF325" s="51"/>
      <c r="AG325" s="42"/>
      <c r="AH325" s="52" t="s">
        <v>7183</v>
      </c>
      <c r="AI325" s="197"/>
      <c r="AJ325" s="363"/>
      <c r="AK325" s="284" t="str">
        <f t="shared" si="145"/>
        <v>Please complete all cells in row</v>
      </c>
      <c r="AL325" s="363"/>
      <c r="AM325" s="224"/>
      <c r="AN325" s="224"/>
      <c r="AO325" s="224"/>
      <c r="AP325" s="224"/>
      <c r="AQ325" s="224"/>
      <c r="AR325" s="224"/>
      <c r="AS325" s="224"/>
      <c r="AT325" s="285">
        <f t="shared" si="146"/>
        <v>0</v>
      </c>
      <c r="AU325" s="285">
        <f t="shared" si="147"/>
        <v>1</v>
      </c>
      <c r="AV325" s="285">
        <f t="shared" si="148"/>
        <v>0</v>
      </c>
      <c r="AW325" s="285">
        <f t="shared" si="149"/>
        <v>0</v>
      </c>
      <c r="AX325" s="285">
        <f t="shared" si="150"/>
        <v>0</v>
      </c>
      <c r="AY325" s="285">
        <f t="shared" si="151"/>
        <v>0</v>
      </c>
      <c r="AZ325" s="285">
        <f t="shared" si="152"/>
        <v>0</v>
      </c>
      <c r="BA325" s="270"/>
      <c r="BB325" s="285">
        <f t="shared" si="153"/>
        <v>0</v>
      </c>
      <c r="BC325" s="270"/>
      <c r="BD325" s="270"/>
      <c r="BE325" s="270"/>
      <c r="BF325" s="270"/>
      <c r="BG325" s="270"/>
      <c r="BH325" s="270"/>
      <c r="BI325" s="270"/>
      <c r="BJ325" s="285">
        <f t="shared" si="154"/>
        <v>1</v>
      </c>
      <c r="BK325" s="285">
        <f t="shared" si="155"/>
        <v>1</v>
      </c>
      <c r="BL325" s="285">
        <f t="shared" si="156"/>
        <v>0</v>
      </c>
      <c r="BM325" s="285">
        <f t="shared" si="157"/>
        <v>0</v>
      </c>
      <c r="BN325" s="285">
        <f t="shared" si="158"/>
        <v>0</v>
      </c>
      <c r="BO325" s="285">
        <f t="shared" si="159"/>
        <v>1</v>
      </c>
      <c r="BP325" s="363"/>
      <c r="BQ325" s="224"/>
      <c r="BR325" s="224"/>
      <c r="BS325" s="778"/>
      <c r="BT325" s="778"/>
      <c r="BU325" s="778"/>
    </row>
    <row r="326" spans="1:73" s="22" customFormat="1" ht="15.75" customHeight="1" outlineLevel="1">
      <c r="A326" s="778"/>
      <c r="B326" s="44" t="s">
        <v>18718</v>
      </c>
      <c r="C326" s="45" t="s">
        <v>18646</v>
      </c>
      <c r="D326" s="46" t="s">
        <v>18716</v>
      </c>
      <c r="E326" s="46" t="s">
        <v>18648</v>
      </c>
      <c r="F326" s="45" t="s">
        <v>18719</v>
      </c>
      <c r="G326" s="46" t="s">
        <v>18643</v>
      </c>
      <c r="H326" s="45" t="s">
        <v>18650</v>
      </c>
      <c r="I326" s="45" t="s">
        <v>18645</v>
      </c>
      <c r="J326" s="47">
        <v>38313</v>
      </c>
      <c r="K326" s="48"/>
      <c r="L326" s="47">
        <v>45747</v>
      </c>
      <c r="M326" s="2048">
        <v>2</v>
      </c>
      <c r="N326" s="48">
        <v>50</v>
      </c>
      <c r="O326" s="49">
        <v>48.831000000000003</v>
      </c>
      <c r="P326" s="49">
        <v>48.831000000000003</v>
      </c>
      <c r="Q326" s="2019">
        <f t="shared" si="160"/>
        <v>97.662000000000006</v>
      </c>
      <c r="R326" s="50">
        <v>-7.0636948286494472E-2</v>
      </c>
      <c r="S326" s="2067"/>
      <c r="T326" s="2067"/>
      <c r="U326" s="2067"/>
      <c r="V326" s="2067"/>
      <c r="W326" s="2020">
        <f t="shared" si="142"/>
        <v>5.492000000000008E-2</v>
      </c>
      <c r="X326" s="2026">
        <f t="shared" si="143"/>
        <v>2.6817985200000041</v>
      </c>
      <c r="Y326" s="2026">
        <f t="shared" si="144"/>
        <v>-3.4492728217778117</v>
      </c>
      <c r="Z326" s="50"/>
      <c r="AA326" s="50"/>
      <c r="AB326" s="48">
        <v>0</v>
      </c>
      <c r="AC326" s="48">
        <v>48.831000000000003</v>
      </c>
      <c r="AD326" s="48">
        <v>48.831000000000003</v>
      </c>
      <c r="AE326" s="45"/>
      <c r="AF326" s="51"/>
      <c r="AG326" s="42"/>
      <c r="AH326" s="52" t="s">
        <v>7184</v>
      </c>
      <c r="AI326" s="197"/>
      <c r="AJ326" s="363"/>
      <c r="AK326" s="284" t="str">
        <f t="shared" si="145"/>
        <v>Please complete all cells in row</v>
      </c>
      <c r="AL326" s="363"/>
      <c r="AM326" s="224"/>
      <c r="AN326" s="224"/>
      <c r="AO326" s="224"/>
      <c r="AP326" s="224"/>
      <c r="AQ326" s="224"/>
      <c r="AR326" s="224"/>
      <c r="AS326" s="224"/>
      <c r="AT326" s="285">
        <f t="shared" si="146"/>
        <v>0</v>
      </c>
      <c r="AU326" s="285">
        <f t="shared" si="147"/>
        <v>1</v>
      </c>
      <c r="AV326" s="285">
        <f t="shared" si="148"/>
        <v>0</v>
      </c>
      <c r="AW326" s="285">
        <f t="shared" si="149"/>
        <v>0</v>
      </c>
      <c r="AX326" s="285">
        <f t="shared" si="150"/>
        <v>0</v>
      </c>
      <c r="AY326" s="285">
        <f t="shared" si="151"/>
        <v>0</v>
      </c>
      <c r="AZ326" s="285">
        <f t="shared" si="152"/>
        <v>0</v>
      </c>
      <c r="BA326" s="270"/>
      <c r="BB326" s="285">
        <f t="shared" si="153"/>
        <v>0</v>
      </c>
      <c r="BC326" s="270"/>
      <c r="BD326" s="270"/>
      <c r="BE326" s="270"/>
      <c r="BF326" s="270"/>
      <c r="BG326" s="270"/>
      <c r="BH326" s="270"/>
      <c r="BI326" s="270"/>
      <c r="BJ326" s="285">
        <f t="shared" si="154"/>
        <v>1</v>
      </c>
      <c r="BK326" s="285">
        <f t="shared" si="155"/>
        <v>1</v>
      </c>
      <c r="BL326" s="285">
        <f t="shared" si="156"/>
        <v>0</v>
      </c>
      <c r="BM326" s="285">
        <f t="shared" si="157"/>
        <v>0</v>
      </c>
      <c r="BN326" s="285">
        <f t="shared" si="158"/>
        <v>0</v>
      </c>
      <c r="BO326" s="285">
        <f t="shared" si="159"/>
        <v>1</v>
      </c>
      <c r="BP326" s="363"/>
      <c r="BQ326" s="224"/>
      <c r="BR326" s="224"/>
      <c r="BS326" s="778"/>
      <c r="BT326" s="778"/>
      <c r="BU326" s="778"/>
    </row>
    <row r="327" spans="1:73" s="22" customFormat="1" ht="15.75" customHeight="1" outlineLevel="1">
      <c r="A327" s="778"/>
      <c r="B327" s="44" t="s">
        <v>18720</v>
      </c>
      <c r="C327" s="45" t="s">
        <v>18646</v>
      </c>
      <c r="D327" s="46" t="s">
        <v>18716</v>
      </c>
      <c r="E327" s="46" t="s">
        <v>18648</v>
      </c>
      <c r="F327" s="45" t="s">
        <v>18721</v>
      </c>
      <c r="G327" s="46" t="s">
        <v>18643</v>
      </c>
      <c r="H327" s="45" t="s">
        <v>18650</v>
      </c>
      <c r="I327" s="45" t="s">
        <v>18645</v>
      </c>
      <c r="J327" s="47">
        <v>38562</v>
      </c>
      <c r="K327" s="48"/>
      <c r="L327" s="47">
        <v>46112</v>
      </c>
      <c r="M327" s="2048">
        <v>3</v>
      </c>
      <c r="N327" s="48">
        <v>30</v>
      </c>
      <c r="O327" s="49">
        <v>29.95</v>
      </c>
      <c r="P327" s="49">
        <v>29.95</v>
      </c>
      <c r="Q327" s="2019">
        <f t="shared" si="160"/>
        <v>89.85</v>
      </c>
      <c r="R327" s="50">
        <v>-7.0548850321557555E-2</v>
      </c>
      <c r="S327" s="2067"/>
      <c r="T327" s="2067"/>
      <c r="U327" s="2067"/>
      <c r="V327" s="2067"/>
      <c r="W327" s="2020">
        <f t="shared" si="142"/>
        <v>5.5020000000000069E-2</v>
      </c>
      <c r="X327" s="2026">
        <f t="shared" si="143"/>
        <v>1.6478490000000021</v>
      </c>
      <c r="Y327" s="2026">
        <f t="shared" si="144"/>
        <v>-2.1129380671306488</v>
      </c>
      <c r="Z327" s="50"/>
      <c r="AA327" s="50"/>
      <c r="AB327" s="48">
        <v>0</v>
      </c>
      <c r="AC327" s="48">
        <v>29.95</v>
      </c>
      <c r="AD327" s="48">
        <v>29.95</v>
      </c>
      <c r="AE327" s="45"/>
      <c r="AF327" s="51"/>
      <c r="AG327" s="42"/>
      <c r="AH327" s="52" t="s">
        <v>7185</v>
      </c>
      <c r="AI327" s="197"/>
      <c r="AJ327" s="363"/>
      <c r="AK327" s="284" t="str">
        <f t="shared" si="145"/>
        <v>Please complete all cells in row</v>
      </c>
      <c r="AL327" s="363"/>
      <c r="AM327" s="224"/>
      <c r="AN327" s="224"/>
      <c r="AO327" s="224"/>
      <c r="AP327" s="224"/>
      <c r="AQ327" s="224"/>
      <c r="AR327" s="224"/>
      <c r="AS327" s="224"/>
      <c r="AT327" s="285">
        <f t="shared" si="146"/>
        <v>0</v>
      </c>
      <c r="AU327" s="285">
        <f t="shared" si="147"/>
        <v>1</v>
      </c>
      <c r="AV327" s="285">
        <f t="shared" si="148"/>
        <v>0</v>
      </c>
      <c r="AW327" s="285">
        <f t="shared" si="149"/>
        <v>0</v>
      </c>
      <c r="AX327" s="285">
        <f t="shared" si="150"/>
        <v>0</v>
      </c>
      <c r="AY327" s="285">
        <f t="shared" si="151"/>
        <v>0</v>
      </c>
      <c r="AZ327" s="285">
        <f t="shared" si="152"/>
        <v>0</v>
      </c>
      <c r="BA327" s="270"/>
      <c r="BB327" s="285">
        <f t="shared" si="153"/>
        <v>0</v>
      </c>
      <c r="BC327" s="270"/>
      <c r="BD327" s="270"/>
      <c r="BE327" s="270"/>
      <c r="BF327" s="270"/>
      <c r="BG327" s="270"/>
      <c r="BH327" s="270"/>
      <c r="BI327" s="270"/>
      <c r="BJ327" s="285">
        <f t="shared" si="154"/>
        <v>1</v>
      </c>
      <c r="BK327" s="285">
        <f t="shared" si="155"/>
        <v>1</v>
      </c>
      <c r="BL327" s="285">
        <f t="shared" si="156"/>
        <v>0</v>
      </c>
      <c r="BM327" s="285">
        <f t="shared" si="157"/>
        <v>0</v>
      </c>
      <c r="BN327" s="285">
        <f t="shared" si="158"/>
        <v>0</v>
      </c>
      <c r="BO327" s="285">
        <f t="shared" si="159"/>
        <v>1</v>
      </c>
      <c r="BP327" s="363"/>
      <c r="BQ327" s="224"/>
      <c r="BR327" s="224"/>
      <c r="BS327" s="778"/>
      <c r="BT327" s="778"/>
      <c r="BU327" s="778"/>
    </row>
    <row r="328" spans="1:73" s="22" customFormat="1" ht="15.75" customHeight="1" outlineLevel="1">
      <c r="A328" s="778"/>
      <c r="B328" s="44" t="s">
        <v>18722</v>
      </c>
      <c r="C328" s="45" t="s">
        <v>18646</v>
      </c>
      <c r="D328" s="46" t="s">
        <v>18716</v>
      </c>
      <c r="E328" s="46" t="s">
        <v>18648</v>
      </c>
      <c r="F328" s="45" t="s">
        <v>18723</v>
      </c>
      <c r="G328" s="46" t="s">
        <v>18643</v>
      </c>
      <c r="H328" s="45" t="s">
        <v>18650</v>
      </c>
      <c r="I328" s="45" t="s">
        <v>18645</v>
      </c>
      <c r="J328" s="47">
        <v>38595</v>
      </c>
      <c r="K328" s="48"/>
      <c r="L328" s="47">
        <v>49399</v>
      </c>
      <c r="M328" s="2048">
        <v>12</v>
      </c>
      <c r="N328" s="48">
        <v>24</v>
      </c>
      <c r="O328" s="49">
        <v>18.288</v>
      </c>
      <c r="P328" s="49">
        <v>18.288</v>
      </c>
      <c r="Q328" s="2019">
        <f t="shared" si="160"/>
        <v>219.45600000000002</v>
      </c>
      <c r="R328" s="50">
        <v>-7.6980001761959294E-2</v>
      </c>
      <c r="S328" s="2067"/>
      <c r="T328" s="2067"/>
      <c r="U328" s="2067"/>
      <c r="V328" s="2067"/>
      <c r="W328" s="2020">
        <f t="shared" si="142"/>
        <v>4.7719999999999985E-2</v>
      </c>
      <c r="X328" s="2026">
        <f t="shared" si="143"/>
        <v>0.87270335999999971</v>
      </c>
      <c r="Y328" s="2026">
        <f t="shared" si="144"/>
        <v>-1.4078102722227115</v>
      </c>
      <c r="Z328" s="50"/>
      <c r="AA328" s="50"/>
      <c r="AB328" s="48">
        <v>0</v>
      </c>
      <c r="AC328" s="48">
        <v>18.288</v>
      </c>
      <c r="AD328" s="48">
        <v>18.288</v>
      </c>
      <c r="AE328" s="45"/>
      <c r="AF328" s="51"/>
      <c r="AG328" s="42"/>
      <c r="AH328" s="52" t="s">
        <v>7186</v>
      </c>
      <c r="AI328" s="197"/>
      <c r="AJ328" s="363"/>
      <c r="AK328" s="284" t="str">
        <f t="shared" si="145"/>
        <v>Please complete all cells in row</v>
      </c>
      <c r="AL328" s="363"/>
      <c r="AM328" s="224"/>
      <c r="AN328" s="224"/>
      <c r="AO328" s="224"/>
      <c r="AP328" s="224"/>
      <c r="AQ328" s="224"/>
      <c r="AR328" s="224"/>
      <c r="AS328" s="224"/>
      <c r="AT328" s="285">
        <f t="shared" si="146"/>
        <v>0</v>
      </c>
      <c r="AU328" s="285">
        <f t="shared" si="147"/>
        <v>1</v>
      </c>
      <c r="AV328" s="285">
        <f t="shared" si="148"/>
        <v>0</v>
      </c>
      <c r="AW328" s="285">
        <f t="shared" si="149"/>
        <v>0</v>
      </c>
      <c r="AX328" s="285">
        <f t="shared" si="150"/>
        <v>0</v>
      </c>
      <c r="AY328" s="285">
        <f t="shared" si="151"/>
        <v>0</v>
      </c>
      <c r="AZ328" s="285">
        <f t="shared" si="152"/>
        <v>0</v>
      </c>
      <c r="BA328" s="270"/>
      <c r="BB328" s="285">
        <f t="shared" si="153"/>
        <v>0</v>
      </c>
      <c r="BC328" s="270"/>
      <c r="BD328" s="270"/>
      <c r="BE328" s="270"/>
      <c r="BF328" s="270"/>
      <c r="BG328" s="270"/>
      <c r="BH328" s="270"/>
      <c r="BI328" s="270"/>
      <c r="BJ328" s="285">
        <f t="shared" si="154"/>
        <v>1</v>
      </c>
      <c r="BK328" s="285">
        <f t="shared" si="155"/>
        <v>1</v>
      </c>
      <c r="BL328" s="285">
        <f t="shared" si="156"/>
        <v>0</v>
      </c>
      <c r="BM328" s="285">
        <f t="shared" si="157"/>
        <v>0</v>
      </c>
      <c r="BN328" s="285">
        <f t="shared" si="158"/>
        <v>0</v>
      </c>
      <c r="BO328" s="285">
        <f t="shared" si="159"/>
        <v>1</v>
      </c>
      <c r="BP328" s="363"/>
      <c r="BQ328" s="224"/>
      <c r="BR328" s="224"/>
      <c r="BS328" s="778"/>
      <c r="BT328" s="778"/>
      <c r="BU328" s="778"/>
    </row>
    <row r="329" spans="1:73" s="22" customFormat="1" ht="15.75" customHeight="1" outlineLevel="1">
      <c r="A329" s="778"/>
      <c r="B329" s="44" t="s">
        <v>18724</v>
      </c>
      <c r="C329" s="45" t="s">
        <v>18646</v>
      </c>
      <c r="D329" s="46" t="s">
        <v>18716</v>
      </c>
      <c r="E329" s="46" t="s">
        <v>18648</v>
      </c>
      <c r="F329" s="45" t="s">
        <v>18725</v>
      </c>
      <c r="G329" s="46" t="s">
        <v>18643</v>
      </c>
      <c r="H329" s="45" t="s">
        <v>18650</v>
      </c>
      <c r="I329" s="45" t="s">
        <v>18645</v>
      </c>
      <c r="J329" s="47">
        <v>38313</v>
      </c>
      <c r="K329" s="48"/>
      <c r="L329" s="47">
        <v>45747</v>
      </c>
      <c r="M329" s="2048">
        <v>2</v>
      </c>
      <c r="N329" s="48">
        <v>125</v>
      </c>
      <c r="O329" s="49">
        <v>122.11499999999999</v>
      </c>
      <c r="P329" s="49">
        <v>122.11499999999999</v>
      </c>
      <c r="Q329" s="2019">
        <f t="shared" si="160"/>
        <v>244.23</v>
      </c>
      <c r="R329" s="50">
        <v>-7.1958417760549676E-2</v>
      </c>
      <c r="S329" s="2067"/>
      <c r="T329" s="2067"/>
      <c r="U329" s="2067"/>
      <c r="V329" s="2067"/>
      <c r="W329" s="2020">
        <f t="shared" si="142"/>
        <v>5.3420000000000023E-2</v>
      </c>
      <c r="X329" s="2026">
        <f t="shared" si="143"/>
        <v>6.5233833000000025</v>
      </c>
      <c r="Y329" s="2026">
        <f t="shared" si="144"/>
        <v>-8.787202184829523</v>
      </c>
      <c r="Z329" s="50"/>
      <c r="AA329" s="50"/>
      <c r="AB329" s="48">
        <v>0</v>
      </c>
      <c r="AC329" s="48">
        <v>122.11499999999999</v>
      </c>
      <c r="AD329" s="48">
        <v>122.11499999999999</v>
      </c>
      <c r="AE329" s="45"/>
      <c r="AF329" s="51"/>
      <c r="AG329" s="42"/>
      <c r="AH329" s="52" t="s">
        <v>7187</v>
      </c>
      <c r="AI329" s="197"/>
      <c r="AJ329" s="363"/>
      <c r="AK329" s="284" t="str">
        <f t="shared" si="145"/>
        <v>Please complete all cells in row</v>
      </c>
      <c r="AL329" s="363"/>
      <c r="AM329" s="224"/>
      <c r="AN329" s="224"/>
      <c r="AO329" s="224"/>
      <c r="AP329" s="224"/>
      <c r="AQ329" s="224"/>
      <c r="AR329" s="224"/>
      <c r="AS329" s="224"/>
      <c r="AT329" s="285">
        <f t="shared" si="146"/>
        <v>0</v>
      </c>
      <c r="AU329" s="285">
        <f t="shared" si="147"/>
        <v>1</v>
      </c>
      <c r="AV329" s="285">
        <f t="shared" si="148"/>
        <v>0</v>
      </c>
      <c r="AW329" s="285">
        <f t="shared" si="149"/>
        <v>0</v>
      </c>
      <c r="AX329" s="285">
        <f t="shared" si="150"/>
        <v>0</v>
      </c>
      <c r="AY329" s="285">
        <f t="shared" si="151"/>
        <v>0</v>
      </c>
      <c r="AZ329" s="285">
        <f t="shared" si="152"/>
        <v>0</v>
      </c>
      <c r="BA329" s="270"/>
      <c r="BB329" s="285">
        <f t="shared" si="153"/>
        <v>0</v>
      </c>
      <c r="BC329" s="270"/>
      <c r="BD329" s="270"/>
      <c r="BE329" s="270"/>
      <c r="BF329" s="270"/>
      <c r="BG329" s="270"/>
      <c r="BH329" s="270"/>
      <c r="BI329" s="270"/>
      <c r="BJ329" s="285">
        <f t="shared" si="154"/>
        <v>1</v>
      </c>
      <c r="BK329" s="285">
        <f t="shared" si="155"/>
        <v>1</v>
      </c>
      <c r="BL329" s="285">
        <f t="shared" si="156"/>
        <v>0</v>
      </c>
      <c r="BM329" s="285">
        <f t="shared" si="157"/>
        <v>0</v>
      </c>
      <c r="BN329" s="285">
        <f t="shared" si="158"/>
        <v>0</v>
      </c>
      <c r="BO329" s="285">
        <f t="shared" si="159"/>
        <v>1</v>
      </c>
      <c r="BP329" s="363"/>
      <c r="BQ329" s="224"/>
      <c r="BR329" s="224"/>
      <c r="BS329" s="778"/>
      <c r="BT329" s="778"/>
      <c r="BU329" s="778"/>
    </row>
    <row r="330" spans="1:73" s="22" customFormat="1" ht="15.75" customHeight="1" outlineLevel="1">
      <c r="A330" s="778"/>
      <c r="B330" s="44" t="s">
        <v>18726</v>
      </c>
      <c r="C330" s="45" t="s">
        <v>18646</v>
      </c>
      <c r="D330" s="46" t="s">
        <v>18716</v>
      </c>
      <c r="E330" s="46" t="s">
        <v>18648</v>
      </c>
      <c r="F330" s="45" t="s">
        <v>18727</v>
      </c>
      <c r="G330" s="46" t="s">
        <v>18643</v>
      </c>
      <c r="H330" s="45" t="s">
        <v>18650</v>
      </c>
      <c r="I330" s="45" t="s">
        <v>18645</v>
      </c>
      <c r="J330" s="47">
        <v>38656</v>
      </c>
      <c r="K330" s="48"/>
      <c r="L330" s="47">
        <v>46112</v>
      </c>
      <c r="M330" s="2048">
        <v>3</v>
      </c>
      <c r="N330" s="48">
        <v>30</v>
      </c>
      <c r="O330" s="49">
        <v>29.356000000000002</v>
      </c>
      <c r="P330" s="49">
        <v>29.356000000000002</v>
      </c>
      <c r="Q330" s="2019">
        <f t="shared" si="160"/>
        <v>88.068000000000012</v>
      </c>
      <c r="R330" s="50">
        <v>-7.4513258743723054E-2</v>
      </c>
      <c r="S330" s="2067"/>
      <c r="T330" s="2067"/>
      <c r="U330" s="2067"/>
      <c r="V330" s="2067"/>
      <c r="W330" s="2020">
        <f t="shared" si="142"/>
        <v>5.0519999999999898E-2</v>
      </c>
      <c r="X330" s="2026">
        <f t="shared" si="143"/>
        <v>1.4830651199999971</v>
      </c>
      <c r="Y330" s="2026">
        <f t="shared" si="144"/>
        <v>-2.1874112236807339</v>
      </c>
      <c r="Z330" s="50"/>
      <c r="AA330" s="50"/>
      <c r="AB330" s="48">
        <v>0</v>
      </c>
      <c r="AC330" s="48">
        <v>29.356000000000002</v>
      </c>
      <c r="AD330" s="48">
        <v>29.356000000000002</v>
      </c>
      <c r="AE330" s="45"/>
      <c r="AF330" s="51"/>
      <c r="AG330" s="42"/>
      <c r="AH330" s="52" t="s">
        <v>7188</v>
      </c>
      <c r="AI330" s="197"/>
      <c r="AJ330" s="363"/>
      <c r="AK330" s="284" t="str">
        <f t="shared" si="145"/>
        <v>Please complete all cells in row</v>
      </c>
      <c r="AL330" s="363"/>
      <c r="AM330" s="224"/>
      <c r="AN330" s="224"/>
      <c r="AO330" s="224"/>
      <c r="AP330" s="224"/>
      <c r="AQ330" s="224"/>
      <c r="AR330" s="224"/>
      <c r="AS330" s="224"/>
      <c r="AT330" s="285">
        <f t="shared" si="146"/>
        <v>0</v>
      </c>
      <c r="AU330" s="285">
        <f t="shared" si="147"/>
        <v>1</v>
      </c>
      <c r="AV330" s="285">
        <f t="shared" si="148"/>
        <v>0</v>
      </c>
      <c r="AW330" s="285">
        <f t="shared" si="149"/>
        <v>0</v>
      </c>
      <c r="AX330" s="285">
        <f t="shared" si="150"/>
        <v>0</v>
      </c>
      <c r="AY330" s="285">
        <f t="shared" si="151"/>
        <v>0</v>
      </c>
      <c r="AZ330" s="285">
        <f t="shared" si="152"/>
        <v>0</v>
      </c>
      <c r="BA330" s="270"/>
      <c r="BB330" s="285">
        <f t="shared" si="153"/>
        <v>0</v>
      </c>
      <c r="BC330" s="270"/>
      <c r="BD330" s="270"/>
      <c r="BE330" s="270"/>
      <c r="BF330" s="270"/>
      <c r="BG330" s="270"/>
      <c r="BH330" s="270"/>
      <c r="BI330" s="270"/>
      <c r="BJ330" s="285">
        <f t="shared" si="154"/>
        <v>1</v>
      </c>
      <c r="BK330" s="285">
        <f t="shared" si="155"/>
        <v>1</v>
      </c>
      <c r="BL330" s="285">
        <f t="shared" si="156"/>
        <v>0</v>
      </c>
      <c r="BM330" s="285">
        <f t="shared" si="157"/>
        <v>0</v>
      </c>
      <c r="BN330" s="285">
        <f t="shared" si="158"/>
        <v>0</v>
      </c>
      <c r="BO330" s="285">
        <f t="shared" si="159"/>
        <v>1</v>
      </c>
      <c r="BP330" s="363"/>
      <c r="BQ330" s="224"/>
      <c r="BR330" s="224"/>
      <c r="BS330" s="778"/>
      <c r="BT330" s="778"/>
      <c r="BU330" s="778"/>
    </row>
    <row r="331" spans="1:73" s="22" customFormat="1" ht="15.75" customHeight="1" outlineLevel="1">
      <c r="A331" s="778"/>
      <c r="B331" s="44" t="s">
        <v>18728</v>
      </c>
      <c r="C331" s="45" t="s">
        <v>18646</v>
      </c>
      <c r="D331" s="46" t="s">
        <v>18716</v>
      </c>
      <c r="E331" s="46" t="s">
        <v>18648</v>
      </c>
      <c r="F331" s="45" t="s">
        <v>18729</v>
      </c>
      <c r="G331" s="46" t="s">
        <v>18643</v>
      </c>
      <c r="H331" s="45" t="s">
        <v>18650</v>
      </c>
      <c r="I331" s="45" t="s">
        <v>18645</v>
      </c>
      <c r="J331" s="47">
        <v>39360</v>
      </c>
      <c r="K331" s="48"/>
      <c r="L331" s="47">
        <v>50495</v>
      </c>
      <c r="M331" s="2048">
        <v>15</v>
      </c>
      <c r="N331" s="48">
        <v>85</v>
      </c>
      <c r="O331" s="49">
        <v>80.367999999999995</v>
      </c>
      <c r="P331" s="49">
        <v>80.367999999999995</v>
      </c>
      <c r="Q331" s="2019">
        <f t="shared" si="160"/>
        <v>1205.52</v>
      </c>
      <c r="R331" s="50">
        <v>-0.11641003109595582</v>
      </c>
      <c r="S331" s="2067"/>
      <c r="T331" s="2067"/>
      <c r="U331" s="2067"/>
      <c r="V331" s="2067"/>
      <c r="W331" s="2020">
        <f t="shared" si="142"/>
        <v>2.962973702980598E-3</v>
      </c>
      <c r="X331" s="2026">
        <f t="shared" si="143"/>
        <v>0.23812827056114469</v>
      </c>
      <c r="Y331" s="2026">
        <f t="shared" si="144"/>
        <v>-9.3556413791197777</v>
      </c>
      <c r="Z331" s="50"/>
      <c r="AA331" s="50"/>
      <c r="AB331" s="48">
        <v>0</v>
      </c>
      <c r="AC331" s="48">
        <v>80.367999999999995</v>
      </c>
      <c r="AD331" s="48">
        <v>80.367999999999995</v>
      </c>
      <c r="AE331" s="45"/>
      <c r="AF331" s="51"/>
      <c r="AG331" s="42"/>
      <c r="AH331" s="52" t="s">
        <v>7189</v>
      </c>
      <c r="AI331" s="197"/>
      <c r="AJ331" s="363"/>
      <c r="AK331" s="284" t="str">
        <f t="shared" si="145"/>
        <v>Please complete all cells in row</v>
      </c>
      <c r="AL331" s="363"/>
      <c r="AM331" s="224"/>
      <c r="AN331" s="224"/>
      <c r="AO331" s="224"/>
      <c r="AP331" s="224"/>
      <c r="AQ331" s="224"/>
      <c r="AR331" s="224"/>
      <c r="AS331" s="224"/>
      <c r="AT331" s="285">
        <f t="shared" si="146"/>
        <v>0</v>
      </c>
      <c r="AU331" s="285">
        <f t="shared" si="147"/>
        <v>1</v>
      </c>
      <c r="AV331" s="285">
        <f t="shared" si="148"/>
        <v>0</v>
      </c>
      <c r="AW331" s="285">
        <f t="shared" si="149"/>
        <v>0</v>
      </c>
      <c r="AX331" s="285">
        <f t="shared" si="150"/>
        <v>0</v>
      </c>
      <c r="AY331" s="285">
        <f t="shared" si="151"/>
        <v>0</v>
      </c>
      <c r="AZ331" s="285">
        <f t="shared" si="152"/>
        <v>0</v>
      </c>
      <c r="BA331" s="270"/>
      <c r="BB331" s="285">
        <f t="shared" si="153"/>
        <v>0</v>
      </c>
      <c r="BC331" s="270"/>
      <c r="BD331" s="270"/>
      <c r="BE331" s="270"/>
      <c r="BF331" s="270"/>
      <c r="BG331" s="270"/>
      <c r="BH331" s="270"/>
      <c r="BI331" s="270"/>
      <c r="BJ331" s="285">
        <f t="shared" si="154"/>
        <v>1</v>
      </c>
      <c r="BK331" s="285">
        <f t="shared" si="155"/>
        <v>1</v>
      </c>
      <c r="BL331" s="285">
        <f t="shared" si="156"/>
        <v>0</v>
      </c>
      <c r="BM331" s="285">
        <f t="shared" si="157"/>
        <v>0</v>
      </c>
      <c r="BN331" s="285">
        <f t="shared" si="158"/>
        <v>0</v>
      </c>
      <c r="BO331" s="285">
        <f t="shared" si="159"/>
        <v>1</v>
      </c>
      <c r="BP331" s="363"/>
      <c r="BQ331" s="224"/>
      <c r="BR331" s="224"/>
      <c r="BS331" s="778"/>
      <c r="BT331" s="778"/>
      <c r="BU331" s="778"/>
    </row>
    <row r="332" spans="1:73" s="22" customFormat="1" ht="15.75" customHeight="1" outlineLevel="1">
      <c r="A332" s="778"/>
      <c r="B332" s="44" t="s">
        <v>18730</v>
      </c>
      <c r="C332" s="45" t="s">
        <v>18646</v>
      </c>
      <c r="D332" s="46" t="s">
        <v>18647</v>
      </c>
      <c r="E332" s="46" t="s">
        <v>18648</v>
      </c>
      <c r="F332" s="45" t="s">
        <v>18731</v>
      </c>
      <c r="G332" s="46" t="s">
        <v>18643</v>
      </c>
      <c r="H332" s="45" t="s">
        <v>18650</v>
      </c>
      <c r="I332" s="45" t="s">
        <v>18645</v>
      </c>
      <c r="J332" s="47">
        <v>41988</v>
      </c>
      <c r="K332" s="48"/>
      <c r="L332" s="47">
        <v>47467</v>
      </c>
      <c r="M332" s="2048">
        <v>6</v>
      </c>
      <c r="N332" s="48">
        <v>80</v>
      </c>
      <c r="O332" s="49">
        <v>78.390035999999995</v>
      </c>
      <c r="P332" s="49">
        <v>78.390035999999995</v>
      </c>
      <c r="Q332" s="2019">
        <f t="shared" si="160"/>
        <v>470.34021599999994</v>
      </c>
      <c r="R332" s="50">
        <v>1.3984349638083635E-2</v>
      </c>
      <c r="S332" s="2067"/>
      <c r="T332" s="2067"/>
      <c r="U332" s="2067"/>
      <c r="V332" s="2067"/>
      <c r="W332" s="2020">
        <f t="shared" si="142"/>
        <v>0.15097363527418861</v>
      </c>
      <c r="X332" s="2026">
        <f t="shared" si="143"/>
        <v>11.834828704194514</v>
      </c>
      <c r="Y332" s="2026">
        <f t="shared" si="144"/>
        <v>1.0962336715659631</v>
      </c>
      <c r="Z332" s="50"/>
      <c r="AA332" s="50"/>
      <c r="AB332" s="48">
        <v>0</v>
      </c>
      <c r="AC332" s="48">
        <v>78.390035999999995</v>
      </c>
      <c r="AD332" s="48">
        <v>78.390035999999995</v>
      </c>
      <c r="AE332" s="45"/>
      <c r="AF332" s="51"/>
      <c r="AG332" s="42"/>
      <c r="AH332" s="52" t="s">
        <v>7190</v>
      </c>
      <c r="AI332" s="197"/>
      <c r="AJ332" s="363"/>
      <c r="AK332" s="284" t="str">
        <f t="shared" si="145"/>
        <v>Please complete all cells in row</v>
      </c>
      <c r="AL332" s="363"/>
      <c r="AM332" s="224"/>
      <c r="AN332" s="224"/>
      <c r="AO332" s="224"/>
      <c r="AP332" s="224"/>
      <c r="AQ332" s="224"/>
      <c r="AR332" s="224"/>
      <c r="AS332" s="224"/>
      <c r="AT332" s="285">
        <f t="shared" si="146"/>
        <v>0</v>
      </c>
      <c r="AU332" s="285">
        <f t="shared" si="147"/>
        <v>1</v>
      </c>
      <c r="AV332" s="285">
        <f t="shared" si="148"/>
        <v>0</v>
      </c>
      <c r="AW332" s="285">
        <f t="shared" si="149"/>
        <v>0</v>
      </c>
      <c r="AX332" s="285">
        <f t="shared" si="150"/>
        <v>0</v>
      </c>
      <c r="AY332" s="285">
        <f t="shared" si="151"/>
        <v>0</v>
      </c>
      <c r="AZ332" s="285">
        <f t="shared" si="152"/>
        <v>0</v>
      </c>
      <c r="BA332" s="270"/>
      <c r="BB332" s="285">
        <f t="shared" si="153"/>
        <v>0</v>
      </c>
      <c r="BC332" s="270"/>
      <c r="BD332" s="270"/>
      <c r="BE332" s="270"/>
      <c r="BF332" s="270"/>
      <c r="BG332" s="270"/>
      <c r="BH332" s="270"/>
      <c r="BI332" s="270"/>
      <c r="BJ332" s="285">
        <f t="shared" si="154"/>
        <v>1</v>
      </c>
      <c r="BK332" s="285">
        <f t="shared" si="155"/>
        <v>1</v>
      </c>
      <c r="BL332" s="285">
        <f t="shared" si="156"/>
        <v>0</v>
      </c>
      <c r="BM332" s="285">
        <f t="shared" si="157"/>
        <v>0</v>
      </c>
      <c r="BN332" s="285">
        <f t="shared" si="158"/>
        <v>0</v>
      </c>
      <c r="BO332" s="285">
        <f t="shared" si="159"/>
        <v>1</v>
      </c>
      <c r="BP332" s="363"/>
      <c r="BQ332" s="224"/>
      <c r="BR332" s="224"/>
      <c r="BS332" s="778"/>
      <c r="BT332" s="778"/>
      <c r="BU332" s="778"/>
    </row>
    <row r="333" spans="1:73" s="22" customFormat="1" ht="15.75" customHeight="1" outlineLevel="1">
      <c r="A333" s="778"/>
      <c r="B333" s="44" t="s">
        <v>18732</v>
      </c>
      <c r="C333" s="45" t="s">
        <v>18646</v>
      </c>
      <c r="D333" s="46" t="s">
        <v>18647</v>
      </c>
      <c r="E333" s="46" t="s">
        <v>18648</v>
      </c>
      <c r="F333" s="45" t="s">
        <v>18733</v>
      </c>
      <c r="G333" s="46" t="s">
        <v>18643</v>
      </c>
      <c r="H333" s="45" t="s">
        <v>18650</v>
      </c>
      <c r="I333" s="45" t="s">
        <v>18645</v>
      </c>
      <c r="J333" s="47">
        <v>42019</v>
      </c>
      <c r="K333" s="48"/>
      <c r="L333" s="47">
        <v>47498</v>
      </c>
      <c r="M333" s="2048">
        <v>7</v>
      </c>
      <c r="N333" s="48">
        <v>80</v>
      </c>
      <c r="O333" s="49">
        <v>78.324276999999995</v>
      </c>
      <c r="P333" s="49">
        <v>78.324276999999995</v>
      </c>
      <c r="Q333" s="2019">
        <f t="shared" si="160"/>
        <v>548.26993900000002</v>
      </c>
      <c r="R333" s="50">
        <v>1.3996090495310493E-2</v>
      </c>
      <c r="S333" s="2067"/>
      <c r="T333" s="2067"/>
      <c r="U333" s="2067"/>
      <c r="V333" s="2067"/>
      <c r="W333" s="2020">
        <f t="shared" si="142"/>
        <v>0.15098696232122699</v>
      </c>
      <c r="X333" s="2026">
        <f t="shared" si="143"/>
        <v>11.825944660236345</v>
      </c>
      <c r="Y333" s="2026">
        <f t="shared" si="144"/>
        <v>1.0962336688717662</v>
      </c>
      <c r="Z333" s="50"/>
      <c r="AA333" s="50"/>
      <c r="AB333" s="48">
        <v>0</v>
      </c>
      <c r="AC333" s="48">
        <v>78.324276999999995</v>
      </c>
      <c r="AD333" s="48">
        <v>78.324276999999995</v>
      </c>
      <c r="AE333" s="45"/>
      <c r="AF333" s="51"/>
      <c r="AG333" s="42"/>
      <c r="AH333" s="52" t="s">
        <v>7191</v>
      </c>
      <c r="AI333" s="197"/>
      <c r="AJ333" s="363"/>
      <c r="AK333" s="284" t="str">
        <f t="shared" si="145"/>
        <v>Please complete all cells in row</v>
      </c>
      <c r="AL333" s="363"/>
      <c r="AM333" s="224"/>
      <c r="AN333" s="224"/>
      <c r="AO333" s="224"/>
      <c r="AP333" s="224"/>
      <c r="AQ333" s="224"/>
      <c r="AR333" s="224"/>
      <c r="AS333" s="224"/>
      <c r="AT333" s="285">
        <f t="shared" si="146"/>
        <v>0</v>
      </c>
      <c r="AU333" s="285">
        <f t="shared" si="147"/>
        <v>1</v>
      </c>
      <c r="AV333" s="285">
        <f t="shared" si="148"/>
        <v>0</v>
      </c>
      <c r="AW333" s="285">
        <f t="shared" si="149"/>
        <v>0</v>
      </c>
      <c r="AX333" s="285">
        <f t="shared" si="150"/>
        <v>0</v>
      </c>
      <c r="AY333" s="285">
        <f t="shared" si="151"/>
        <v>0</v>
      </c>
      <c r="AZ333" s="285">
        <f t="shared" si="152"/>
        <v>0</v>
      </c>
      <c r="BA333" s="270"/>
      <c r="BB333" s="285">
        <f t="shared" si="153"/>
        <v>0</v>
      </c>
      <c r="BC333" s="270"/>
      <c r="BD333" s="270"/>
      <c r="BE333" s="270"/>
      <c r="BF333" s="270"/>
      <c r="BG333" s="270"/>
      <c r="BH333" s="270"/>
      <c r="BI333" s="270"/>
      <c r="BJ333" s="285">
        <f t="shared" si="154"/>
        <v>1</v>
      </c>
      <c r="BK333" s="285">
        <f t="shared" si="155"/>
        <v>1</v>
      </c>
      <c r="BL333" s="285">
        <f t="shared" si="156"/>
        <v>0</v>
      </c>
      <c r="BM333" s="285">
        <f t="shared" si="157"/>
        <v>0</v>
      </c>
      <c r="BN333" s="285">
        <f t="shared" si="158"/>
        <v>0</v>
      </c>
      <c r="BO333" s="285">
        <f t="shared" si="159"/>
        <v>1</v>
      </c>
      <c r="BP333" s="363"/>
      <c r="BQ333" s="224"/>
      <c r="BR333" s="224"/>
      <c r="BS333" s="778"/>
      <c r="BT333" s="778"/>
      <c r="BU333" s="778"/>
    </row>
    <row r="334" spans="1:73" s="22" customFormat="1" ht="15.75" customHeight="1" outlineLevel="1">
      <c r="A334" s="778"/>
      <c r="B334" s="44" t="s">
        <v>18734</v>
      </c>
      <c r="C334" s="45" t="s">
        <v>18646</v>
      </c>
      <c r="D334" s="46" t="s">
        <v>18647</v>
      </c>
      <c r="E334" s="46" t="s">
        <v>18648</v>
      </c>
      <c r="F334" s="45" t="s">
        <v>18735</v>
      </c>
      <c r="G334" s="46" t="s">
        <v>18643</v>
      </c>
      <c r="H334" s="45" t="s">
        <v>18650</v>
      </c>
      <c r="I334" s="45" t="s">
        <v>18645</v>
      </c>
      <c r="J334" s="47">
        <v>42507</v>
      </c>
      <c r="K334" s="48"/>
      <c r="L334" s="47">
        <v>47983</v>
      </c>
      <c r="M334" s="2048">
        <v>7</v>
      </c>
      <c r="N334" s="48">
        <v>70</v>
      </c>
      <c r="O334" s="49">
        <v>82.286137999999994</v>
      </c>
      <c r="P334" s="49">
        <v>82.286137999999994</v>
      </c>
      <c r="Q334" s="2019">
        <f t="shared" si="160"/>
        <v>576.00296600000001</v>
      </c>
      <c r="R334" s="50">
        <v>1.3827498369521875E-2</v>
      </c>
      <c r="S334" s="2067"/>
      <c r="T334" s="2067"/>
      <c r="U334" s="2067"/>
      <c r="V334" s="2067"/>
      <c r="W334" s="2020">
        <f t="shared" si="142"/>
        <v>0.15079559339924442</v>
      </c>
      <c r="X334" s="2026">
        <f t="shared" si="143"/>
        <v>12.408387008242114</v>
      </c>
      <c r="Y334" s="2026">
        <f t="shared" si="144"/>
        <v>1.137811439029252</v>
      </c>
      <c r="Z334" s="50"/>
      <c r="AA334" s="50"/>
      <c r="AB334" s="48">
        <v>0</v>
      </c>
      <c r="AC334" s="48">
        <v>82.286137999999994</v>
      </c>
      <c r="AD334" s="48">
        <v>82.286137999999994</v>
      </c>
      <c r="AE334" s="45"/>
      <c r="AF334" s="51"/>
      <c r="AG334" s="42"/>
      <c r="AH334" s="52" t="s">
        <v>7192</v>
      </c>
      <c r="AI334" s="197"/>
      <c r="AJ334" s="363"/>
      <c r="AK334" s="284" t="str">
        <f t="shared" si="145"/>
        <v>Please complete all cells in row</v>
      </c>
      <c r="AL334" s="363"/>
      <c r="AM334" s="224"/>
      <c r="AN334" s="224"/>
      <c r="AO334" s="224"/>
      <c r="AP334" s="224"/>
      <c r="AQ334" s="224"/>
      <c r="AR334" s="224"/>
      <c r="AS334" s="224"/>
      <c r="AT334" s="285">
        <f t="shared" si="146"/>
        <v>0</v>
      </c>
      <c r="AU334" s="285">
        <f t="shared" si="147"/>
        <v>1</v>
      </c>
      <c r="AV334" s="285">
        <f t="shared" si="148"/>
        <v>0</v>
      </c>
      <c r="AW334" s="285">
        <f t="shared" si="149"/>
        <v>0</v>
      </c>
      <c r="AX334" s="285">
        <f t="shared" si="150"/>
        <v>0</v>
      </c>
      <c r="AY334" s="285">
        <f t="shared" si="151"/>
        <v>0</v>
      </c>
      <c r="AZ334" s="285">
        <f t="shared" si="152"/>
        <v>0</v>
      </c>
      <c r="BA334" s="270"/>
      <c r="BB334" s="285">
        <f t="shared" si="153"/>
        <v>0</v>
      </c>
      <c r="BC334" s="270"/>
      <c r="BD334" s="270"/>
      <c r="BE334" s="270"/>
      <c r="BF334" s="270"/>
      <c r="BG334" s="270"/>
      <c r="BH334" s="270"/>
      <c r="BI334" s="270"/>
      <c r="BJ334" s="285">
        <f t="shared" si="154"/>
        <v>1</v>
      </c>
      <c r="BK334" s="285">
        <f t="shared" si="155"/>
        <v>1</v>
      </c>
      <c r="BL334" s="285">
        <f t="shared" si="156"/>
        <v>0</v>
      </c>
      <c r="BM334" s="285">
        <f t="shared" si="157"/>
        <v>0</v>
      </c>
      <c r="BN334" s="285">
        <f t="shared" si="158"/>
        <v>0</v>
      </c>
      <c r="BO334" s="285">
        <f t="shared" si="159"/>
        <v>1</v>
      </c>
      <c r="BP334" s="363"/>
      <c r="BQ334" s="224"/>
      <c r="BR334" s="224"/>
      <c r="BS334" s="778"/>
      <c r="BT334" s="778"/>
      <c r="BU334" s="778"/>
    </row>
    <row r="335" spans="1:73" s="22" customFormat="1" ht="15.75" customHeight="1" outlineLevel="1">
      <c r="A335" s="778"/>
      <c r="B335" s="44" t="s">
        <v>18736</v>
      </c>
      <c r="C335" s="45" t="s">
        <v>18646</v>
      </c>
      <c r="D335" s="46" t="s">
        <v>4722</v>
      </c>
      <c r="E335" s="46" t="s">
        <v>4722</v>
      </c>
      <c r="F335" s="45" t="s">
        <v>18672</v>
      </c>
      <c r="G335" s="46" t="s">
        <v>18737</v>
      </c>
      <c r="H335" s="45" t="s">
        <v>18650</v>
      </c>
      <c r="I335" s="45" t="s">
        <v>18645</v>
      </c>
      <c r="J335" s="47">
        <v>38807</v>
      </c>
      <c r="K335" s="48"/>
      <c r="L335" s="47">
        <v>51226</v>
      </c>
      <c r="M335" s="2048">
        <v>17</v>
      </c>
      <c r="N335" s="48"/>
      <c r="O335" s="49">
        <v>0</v>
      </c>
      <c r="P335" s="49">
        <v>0</v>
      </c>
      <c r="Q335" s="2019">
        <f t="shared" si="160"/>
        <v>0</v>
      </c>
      <c r="R335" s="50">
        <v>0</v>
      </c>
      <c r="S335" s="2067"/>
      <c r="T335" s="2067"/>
      <c r="U335" s="2067"/>
      <c r="V335" s="2067"/>
      <c r="W335" s="2020">
        <f t="shared" si="142"/>
        <v>0</v>
      </c>
      <c r="X335" s="2026">
        <f t="shared" si="143"/>
        <v>0</v>
      </c>
      <c r="Y335" s="2026">
        <f t="shared" si="144"/>
        <v>0</v>
      </c>
      <c r="Z335" s="50"/>
      <c r="AA335" s="50"/>
      <c r="AB335" s="48">
        <v>0</v>
      </c>
      <c r="AC335" s="48">
        <v>0</v>
      </c>
      <c r="AD335" s="48">
        <v>0</v>
      </c>
      <c r="AE335" s="45"/>
      <c r="AF335" s="51"/>
      <c r="AG335" s="42"/>
      <c r="AH335" s="52" t="s">
        <v>7193</v>
      </c>
      <c r="AI335" s="197"/>
      <c r="AJ335" s="363"/>
      <c r="AK335" s="284" t="str">
        <f t="shared" si="145"/>
        <v>Please complete all cells in row</v>
      </c>
      <c r="AL335" s="363"/>
      <c r="AM335" s="224"/>
      <c r="AN335" s="224"/>
      <c r="AO335" s="224"/>
      <c r="AP335" s="224"/>
      <c r="AQ335" s="224"/>
      <c r="AR335" s="224"/>
      <c r="AS335" s="224"/>
      <c r="AT335" s="285">
        <f t="shared" si="146"/>
        <v>0</v>
      </c>
      <c r="AU335" s="285">
        <f t="shared" si="147"/>
        <v>1</v>
      </c>
      <c r="AV335" s="285">
        <f t="shared" si="148"/>
        <v>0</v>
      </c>
      <c r="AW335" s="285">
        <f t="shared" si="149"/>
        <v>0</v>
      </c>
      <c r="AX335" s="285">
        <f t="shared" si="150"/>
        <v>1</v>
      </c>
      <c r="AY335" s="285">
        <f t="shared" si="151"/>
        <v>0</v>
      </c>
      <c r="AZ335" s="285">
        <f t="shared" si="152"/>
        <v>0</v>
      </c>
      <c r="BA335" s="270"/>
      <c r="BB335" s="285">
        <f t="shared" si="153"/>
        <v>0</v>
      </c>
      <c r="BC335" s="270"/>
      <c r="BD335" s="270"/>
      <c r="BE335" s="270"/>
      <c r="BF335" s="270"/>
      <c r="BG335" s="270"/>
      <c r="BH335" s="270"/>
      <c r="BI335" s="270"/>
      <c r="BJ335" s="285">
        <f t="shared" si="154"/>
        <v>1</v>
      </c>
      <c r="BK335" s="285">
        <f t="shared" si="155"/>
        <v>1</v>
      </c>
      <c r="BL335" s="285">
        <f t="shared" si="156"/>
        <v>0</v>
      </c>
      <c r="BM335" s="285">
        <f t="shared" si="157"/>
        <v>0</v>
      </c>
      <c r="BN335" s="285">
        <f t="shared" si="158"/>
        <v>0</v>
      </c>
      <c r="BO335" s="285">
        <f t="shared" si="159"/>
        <v>1</v>
      </c>
      <c r="BP335" s="363"/>
      <c r="BQ335" s="224"/>
      <c r="BR335" s="224"/>
      <c r="BS335" s="778"/>
      <c r="BT335" s="778"/>
      <c r="BU335" s="778"/>
    </row>
    <row r="336" spans="1:73" s="22" customFormat="1" ht="15.75" customHeight="1" outlineLevel="1">
      <c r="A336" s="778"/>
      <c r="B336" s="44" t="s">
        <v>18738</v>
      </c>
      <c r="C336" s="45" t="s">
        <v>18639</v>
      </c>
      <c r="D336" s="46" t="s">
        <v>18640</v>
      </c>
      <c r="E336" s="46" t="s">
        <v>18641</v>
      </c>
      <c r="F336" s="45" t="s">
        <v>18739</v>
      </c>
      <c r="G336" s="46" t="s">
        <v>18713</v>
      </c>
      <c r="H336" s="45" t="s">
        <v>18714</v>
      </c>
      <c r="I336" s="45" t="s">
        <v>18645</v>
      </c>
      <c r="J336" s="47">
        <v>44295</v>
      </c>
      <c r="K336" s="48">
        <v>100</v>
      </c>
      <c r="L336" s="47">
        <v>49034</v>
      </c>
      <c r="M336" s="2048">
        <v>11</v>
      </c>
      <c r="N336" s="48">
        <v>300</v>
      </c>
      <c r="O336" s="49">
        <v>366.01218686526749</v>
      </c>
      <c r="P336" s="49">
        <v>366.01218686526749</v>
      </c>
      <c r="Q336" s="2019">
        <f t="shared" si="160"/>
        <v>4026.1340555179422</v>
      </c>
      <c r="R336" s="50">
        <v>-1.1493416666666666E-2</v>
      </c>
      <c r="S336" s="2067"/>
      <c r="T336" s="2067"/>
      <c r="U336" s="2067"/>
      <c r="V336" s="2067"/>
      <c r="W336" s="2020">
        <f t="shared" si="142"/>
        <v>0.12205382274166654</v>
      </c>
      <c r="X336" s="2026">
        <f t="shared" si="143"/>
        <v>44.673186576943088</v>
      </c>
      <c r="Y336" s="2026">
        <f t="shared" si="144"/>
        <v>-4.2067305687203795</v>
      </c>
      <c r="Z336" s="50"/>
      <c r="AA336" s="50"/>
      <c r="AB336" s="48">
        <v>2.4896877334994625</v>
      </c>
      <c r="AC336" s="48">
        <v>368.50187459876696</v>
      </c>
      <c r="AD336" s="48">
        <v>224.43600000000001</v>
      </c>
      <c r="AE336" s="45"/>
      <c r="AF336" s="51"/>
      <c r="AG336" s="42"/>
      <c r="AH336" s="52" t="s">
        <v>7194</v>
      </c>
      <c r="AI336" s="197"/>
      <c r="AJ336" s="363"/>
      <c r="AK336" s="284" t="str">
        <f t="shared" si="145"/>
        <v>Please complete all cells in row</v>
      </c>
      <c r="AL336" s="363"/>
      <c r="AM336" s="224"/>
      <c r="AN336" s="224"/>
      <c r="AO336" s="224"/>
      <c r="AP336" s="224"/>
      <c r="AQ336" s="224"/>
      <c r="AR336" s="224"/>
      <c r="AS336" s="224"/>
      <c r="AT336" s="285">
        <f t="shared" si="146"/>
        <v>0</v>
      </c>
      <c r="AU336" s="285">
        <f t="shared" si="147"/>
        <v>0</v>
      </c>
      <c r="AV336" s="285">
        <f t="shared" si="148"/>
        <v>0</v>
      </c>
      <c r="AW336" s="285">
        <f t="shared" si="149"/>
        <v>0</v>
      </c>
      <c r="AX336" s="285">
        <f t="shared" si="150"/>
        <v>0</v>
      </c>
      <c r="AY336" s="285">
        <f t="shared" si="151"/>
        <v>0</v>
      </c>
      <c r="AZ336" s="285">
        <f t="shared" si="152"/>
        <v>0</v>
      </c>
      <c r="BA336" s="270"/>
      <c r="BB336" s="285">
        <f t="shared" si="153"/>
        <v>0</v>
      </c>
      <c r="BC336" s="270"/>
      <c r="BD336" s="270"/>
      <c r="BE336" s="270"/>
      <c r="BF336" s="270"/>
      <c r="BG336" s="270"/>
      <c r="BH336" s="270"/>
      <c r="BI336" s="270"/>
      <c r="BJ336" s="285">
        <f t="shared" si="154"/>
        <v>1</v>
      </c>
      <c r="BK336" s="285">
        <f t="shared" si="155"/>
        <v>1</v>
      </c>
      <c r="BL336" s="285">
        <f t="shared" si="156"/>
        <v>0</v>
      </c>
      <c r="BM336" s="285">
        <f t="shared" si="157"/>
        <v>0</v>
      </c>
      <c r="BN336" s="285">
        <f t="shared" si="158"/>
        <v>0</v>
      </c>
      <c r="BO336" s="285">
        <f t="shared" si="159"/>
        <v>1</v>
      </c>
      <c r="BP336" s="363"/>
      <c r="BQ336" s="224"/>
      <c r="BR336" s="224"/>
      <c r="BS336" s="778"/>
      <c r="BT336" s="778"/>
      <c r="BU336" s="778"/>
    </row>
    <row r="337" spans="1:73" s="22" customFormat="1" ht="15.75" customHeight="1" outlineLevel="1">
      <c r="A337" s="778"/>
      <c r="B337" s="44" t="s">
        <v>18740</v>
      </c>
      <c r="C337" s="45" t="s">
        <v>18646</v>
      </c>
      <c r="D337" s="46" t="s">
        <v>18741</v>
      </c>
      <c r="E337" s="46" t="s">
        <v>4722</v>
      </c>
      <c r="F337" s="45" t="s">
        <v>18742</v>
      </c>
      <c r="G337" s="46" t="s">
        <v>18643</v>
      </c>
      <c r="H337" s="45" t="s">
        <v>18650</v>
      </c>
      <c r="I337" s="45" t="s">
        <v>18645</v>
      </c>
      <c r="J337" s="47">
        <v>38807</v>
      </c>
      <c r="K337" s="48"/>
      <c r="L337" s="47">
        <v>51226</v>
      </c>
      <c r="M337" s="2048">
        <v>17</v>
      </c>
      <c r="N337" s="48">
        <v>30.699314999999999</v>
      </c>
      <c r="O337" s="49">
        <v>30.38250455</v>
      </c>
      <c r="P337" s="49">
        <v>30.38250455</v>
      </c>
      <c r="Q337" s="2019">
        <f t="shared" si="160"/>
        <v>516.50257735000002</v>
      </c>
      <c r="R337" s="50">
        <v>1.55E-2</v>
      </c>
      <c r="S337" s="2067"/>
      <c r="T337" s="2067"/>
      <c r="U337" s="2067"/>
      <c r="V337" s="2067"/>
      <c r="W337" s="2020">
        <f t="shared" si="142"/>
        <v>0.15269405000000003</v>
      </c>
      <c r="X337" s="2026">
        <f t="shared" si="143"/>
        <v>4.6392276688829286</v>
      </c>
      <c r="Y337" s="2026">
        <f t="shared" si="144"/>
        <v>0.47092882052500001</v>
      </c>
      <c r="Z337" s="50"/>
      <c r="AA337" s="50"/>
      <c r="AB337" s="48"/>
      <c r="AC337" s="48">
        <v>3.8484934100000001</v>
      </c>
      <c r="AD337" s="48">
        <v>3.8484934100000001</v>
      </c>
      <c r="AE337" s="45" t="s">
        <v>18768</v>
      </c>
      <c r="AF337" s="51" t="s">
        <v>18769</v>
      </c>
      <c r="AG337" s="42"/>
      <c r="AH337" s="52" t="s">
        <v>7195</v>
      </c>
      <c r="AI337" s="197"/>
      <c r="AJ337" s="363"/>
      <c r="AK337" s="284" t="str">
        <f t="shared" si="145"/>
        <v>Please complete all cells in row</v>
      </c>
      <c r="AL337" s="363"/>
      <c r="AM337" s="224"/>
      <c r="AN337" s="224"/>
      <c r="AO337" s="224"/>
      <c r="AP337" s="224"/>
      <c r="AQ337" s="224"/>
      <c r="AR337" s="224"/>
      <c r="AS337" s="224"/>
      <c r="AT337" s="285">
        <f t="shared" si="146"/>
        <v>0</v>
      </c>
      <c r="AU337" s="285">
        <f t="shared" si="147"/>
        <v>1</v>
      </c>
      <c r="AV337" s="285">
        <f t="shared" si="148"/>
        <v>0</v>
      </c>
      <c r="AW337" s="285">
        <f t="shared" si="149"/>
        <v>0</v>
      </c>
      <c r="AX337" s="285">
        <f t="shared" si="150"/>
        <v>0</v>
      </c>
      <c r="AY337" s="285">
        <f t="shared" si="151"/>
        <v>0</v>
      </c>
      <c r="AZ337" s="285">
        <f t="shared" si="152"/>
        <v>0</v>
      </c>
      <c r="BA337" s="270"/>
      <c r="BB337" s="285">
        <f t="shared" si="153"/>
        <v>0</v>
      </c>
      <c r="BC337" s="270"/>
      <c r="BD337" s="270"/>
      <c r="BE337" s="270"/>
      <c r="BF337" s="270"/>
      <c r="BG337" s="270"/>
      <c r="BH337" s="270"/>
      <c r="BI337" s="270"/>
      <c r="BJ337" s="285">
        <f t="shared" si="154"/>
        <v>1</v>
      </c>
      <c r="BK337" s="285">
        <f t="shared" si="155"/>
        <v>1</v>
      </c>
      <c r="BL337" s="285">
        <f t="shared" si="156"/>
        <v>1</v>
      </c>
      <c r="BM337" s="285">
        <f t="shared" si="157"/>
        <v>0</v>
      </c>
      <c r="BN337" s="285">
        <f t="shared" si="158"/>
        <v>0</v>
      </c>
      <c r="BO337" s="285">
        <f t="shared" si="159"/>
        <v>1</v>
      </c>
      <c r="BP337" s="363"/>
      <c r="BQ337" s="224"/>
      <c r="BR337" s="224"/>
      <c r="BS337" s="778"/>
      <c r="BT337" s="778"/>
      <c r="BU337" s="778"/>
    </row>
    <row r="338" spans="1:73" s="22" customFormat="1" ht="15.75" customHeight="1" outlineLevel="1">
      <c r="A338" s="778"/>
      <c r="B338" s="44" t="s">
        <v>18743</v>
      </c>
      <c r="C338" s="45" t="s">
        <v>18646</v>
      </c>
      <c r="D338" s="46" t="s">
        <v>18741</v>
      </c>
      <c r="E338" s="46" t="s">
        <v>4722</v>
      </c>
      <c r="F338" s="45" t="s">
        <v>18744</v>
      </c>
      <c r="G338" s="46" t="s">
        <v>18643</v>
      </c>
      <c r="H338" s="45" t="s">
        <v>18650</v>
      </c>
      <c r="I338" s="45" t="s">
        <v>18645</v>
      </c>
      <c r="J338" s="47">
        <v>38807</v>
      </c>
      <c r="K338" s="48"/>
      <c r="L338" s="47">
        <v>50860</v>
      </c>
      <c r="M338" s="2048">
        <v>16</v>
      </c>
      <c r="N338" s="48">
        <v>126.377951</v>
      </c>
      <c r="O338" s="49">
        <v>124.003725</v>
      </c>
      <c r="P338" s="49">
        <v>124.003725</v>
      </c>
      <c r="Q338" s="2019">
        <f t="shared" si="160"/>
        <v>1984.0596</v>
      </c>
      <c r="R338" s="50">
        <v>1.7299999999999999E-2</v>
      </c>
      <c r="S338" s="2067"/>
      <c r="T338" s="2067"/>
      <c r="U338" s="2067"/>
      <c r="V338" s="2067"/>
      <c r="W338" s="2020">
        <f t="shared" si="142"/>
        <v>0.15473723000000006</v>
      </c>
      <c r="X338" s="2026">
        <f t="shared" si="143"/>
        <v>19.187992916181759</v>
      </c>
      <c r="Y338" s="2026">
        <f t="shared" si="144"/>
        <v>2.1452644424999998</v>
      </c>
      <c r="Z338" s="50"/>
      <c r="AA338" s="50"/>
      <c r="AB338" s="48"/>
      <c r="AC338" s="48">
        <v>16.80395609</v>
      </c>
      <c r="AD338" s="48">
        <v>16.80395609</v>
      </c>
      <c r="AE338" s="45" t="s">
        <v>18768</v>
      </c>
      <c r="AF338" s="51" t="s">
        <v>18769</v>
      </c>
      <c r="AG338" s="42"/>
      <c r="AH338" s="52" t="s">
        <v>7196</v>
      </c>
      <c r="AI338" s="197"/>
      <c r="AJ338" s="363"/>
      <c r="AK338" s="284" t="str">
        <f t="shared" si="145"/>
        <v>Please complete all cells in row</v>
      </c>
      <c r="AL338" s="363"/>
      <c r="AM338" s="224"/>
      <c r="AN338" s="224"/>
      <c r="AO338" s="224"/>
      <c r="AP338" s="224"/>
      <c r="AQ338" s="224"/>
      <c r="AR338" s="224"/>
      <c r="AS338" s="224"/>
      <c r="AT338" s="285">
        <f t="shared" si="146"/>
        <v>0</v>
      </c>
      <c r="AU338" s="285">
        <f t="shared" si="147"/>
        <v>1</v>
      </c>
      <c r="AV338" s="285">
        <f t="shared" si="148"/>
        <v>0</v>
      </c>
      <c r="AW338" s="285">
        <f t="shared" si="149"/>
        <v>0</v>
      </c>
      <c r="AX338" s="285">
        <f t="shared" si="150"/>
        <v>0</v>
      </c>
      <c r="AY338" s="285">
        <f t="shared" si="151"/>
        <v>0</v>
      </c>
      <c r="AZ338" s="285">
        <f t="shared" si="152"/>
        <v>0</v>
      </c>
      <c r="BA338" s="270"/>
      <c r="BB338" s="285">
        <f t="shared" si="153"/>
        <v>0</v>
      </c>
      <c r="BC338" s="270"/>
      <c r="BD338" s="270"/>
      <c r="BE338" s="270"/>
      <c r="BF338" s="270"/>
      <c r="BG338" s="270"/>
      <c r="BH338" s="270"/>
      <c r="BI338" s="270"/>
      <c r="BJ338" s="285">
        <f t="shared" si="154"/>
        <v>1</v>
      </c>
      <c r="BK338" s="285">
        <f t="shared" si="155"/>
        <v>1</v>
      </c>
      <c r="BL338" s="285">
        <f t="shared" si="156"/>
        <v>1</v>
      </c>
      <c r="BM338" s="285">
        <f t="shared" si="157"/>
        <v>0</v>
      </c>
      <c r="BN338" s="285">
        <f t="shared" si="158"/>
        <v>0</v>
      </c>
      <c r="BO338" s="285">
        <f t="shared" si="159"/>
        <v>1</v>
      </c>
      <c r="BP338" s="363"/>
      <c r="BQ338" s="224"/>
      <c r="BR338" s="224"/>
      <c r="BS338" s="778"/>
      <c r="BT338" s="778"/>
      <c r="BU338" s="778"/>
    </row>
    <row r="339" spans="1:73" s="22" customFormat="1" ht="15.75" customHeight="1" outlineLevel="1">
      <c r="A339" s="778"/>
      <c r="B339" s="44" t="s">
        <v>18745</v>
      </c>
      <c r="C339" s="45" t="s">
        <v>18646</v>
      </c>
      <c r="D339" s="46" t="s">
        <v>18741</v>
      </c>
      <c r="E339" s="46" t="s">
        <v>4722</v>
      </c>
      <c r="F339" s="45" t="s">
        <v>18746</v>
      </c>
      <c r="G339" s="46" t="s">
        <v>18643</v>
      </c>
      <c r="H339" s="45" t="s">
        <v>18650</v>
      </c>
      <c r="I339" s="45" t="s">
        <v>18645</v>
      </c>
      <c r="J339" s="47">
        <v>38807</v>
      </c>
      <c r="K339" s="48"/>
      <c r="L339" s="47">
        <v>49399</v>
      </c>
      <c r="M339" s="2048">
        <v>12</v>
      </c>
      <c r="N339" s="48">
        <v>16.060220000000001</v>
      </c>
      <c r="O339" s="49">
        <v>15.314679999999999</v>
      </c>
      <c r="P339" s="49">
        <v>15.314679999999999</v>
      </c>
      <c r="Q339" s="2019">
        <f t="shared" si="160"/>
        <v>183.77616</v>
      </c>
      <c r="R339" s="50">
        <v>1.7850000000000001E-2</v>
      </c>
      <c r="S339" s="2067"/>
      <c r="T339" s="2067"/>
      <c r="U339" s="2067"/>
      <c r="V339" s="2067"/>
      <c r="W339" s="2020">
        <f t="shared" si="142"/>
        <v>0.15536153499999994</v>
      </c>
      <c r="X339" s="2026">
        <f t="shared" si="143"/>
        <v>2.3793121928337988</v>
      </c>
      <c r="Y339" s="2026">
        <f t="shared" si="144"/>
        <v>0.27336703800000001</v>
      </c>
      <c r="Z339" s="50"/>
      <c r="AA339" s="50"/>
      <c r="AB339" s="48"/>
      <c r="AC339" s="48">
        <v>1.65479734</v>
      </c>
      <c r="AD339" s="48">
        <v>1.65479734</v>
      </c>
      <c r="AE339" s="45" t="s">
        <v>18768</v>
      </c>
      <c r="AF339" s="51" t="s">
        <v>18769</v>
      </c>
      <c r="AG339" s="42"/>
      <c r="AH339" s="52" t="s">
        <v>7197</v>
      </c>
      <c r="AI339" s="197"/>
      <c r="AJ339" s="363"/>
      <c r="AK339" s="284" t="str">
        <f t="shared" si="145"/>
        <v>Please complete all cells in row</v>
      </c>
      <c r="AL339" s="363"/>
      <c r="AM339" s="224"/>
      <c r="AN339" s="224"/>
      <c r="AO339" s="224"/>
      <c r="AP339" s="224"/>
      <c r="AQ339" s="224"/>
      <c r="AR339" s="224"/>
      <c r="AS339" s="224"/>
      <c r="AT339" s="285">
        <f t="shared" si="146"/>
        <v>0</v>
      </c>
      <c r="AU339" s="285">
        <f t="shared" si="147"/>
        <v>1</v>
      </c>
      <c r="AV339" s="285">
        <f t="shared" si="148"/>
        <v>0</v>
      </c>
      <c r="AW339" s="285">
        <f t="shared" si="149"/>
        <v>0</v>
      </c>
      <c r="AX339" s="285">
        <f t="shared" si="150"/>
        <v>0</v>
      </c>
      <c r="AY339" s="285">
        <f t="shared" si="151"/>
        <v>0</v>
      </c>
      <c r="AZ339" s="285">
        <f t="shared" si="152"/>
        <v>0</v>
      </c>
      <c r="BA339" s="270"/>
      <c r="BB339" s="285">
        <f t="shared" si="153"/>
        <v>0</v>
      </c>
      <c r="BC339" s="270"/>
      <c r="BD339" s="270"/>
      <c r="BE339" s="270"/>
      <c r="BF339" s="270"/>
      <c r="BG339" s="270"/>
      <c r="BH339" s="270"/>
      <c r="BI339" s="270"/>
      <c r="BJ339" s="285">
        <f t="shared" si="154"/>
        <v>1</v>
      </c>
      <c r="BK339" s="285">
        <f t="shared" si="155"/>
        <v>1</v>
      </c>
      <c r="BL339" s="285">
        <f t="shared" si="156"/>
        <v>1</v>
      </c>
      <c r="BM339" s="285">
        <f t="shared" si="157"/>
        <v>0</v>
      </c>
      <c r="BN339" s="285">
        <f t="shared" si="158"/>
        <v>0</v>
      </c>
      <c r="BO339" s="285">
        <f t="shared" si="159"/>
        <v>1</v>
      </c>
      <c r="BP339" s="363"/>
      <c r="BQ339" s="224"/>
      <c r="BR339" s="224"/>
      <c r="BS339" s="778"/>
      <c r="BT339" s="778"/>
      <c r="BU339" s="778"/>
    </row>
    <row r="340" spans="1:73" s="22" customFormat="1" ht="15.75" customHeight="1" outlineLevel="1">
      <c r="A340" s="778"/>
      <c r="B340" s="44" t="s">
        <v>18747</v>
      </c>
      <c r="C340" s="45" t="s">
        <v>18646</v>
      </c>
      <c r="D340" s="46" t="s">
        <v>18741</v>
      </c>
      <c r="E340" s="46" t="s">
        <v>4722</v>
      </c>
      <c r="F340" s="45" t="s">
        <v>18748</v>
      </c>
      <c r="G340" s="46" t="s">
        <v>18643</v>
      </c>
      <c r="H340" s="45" t="s">
        <v>18650</v>
      </c>
      <c r="I340" s="45" t="s">
        <v>18645</v>
      </c>
      <c r="J340" s="47">
        <v>44147</v>
      </c>
      <c r="K340" s="48"/>
      <c r="L340" s="47">
        <v>50860</v>
      </c>
      <c r="M340" s="2048">
        <v>16</v>
      </c>
      <c r="N340" s="48">
        <v>50.93065</v>
      </c>
      <c r="O340" s="49">
        <v>50.115614549999997</v>
      </c>
      <c r="P340" s="49">
        <v>50.115614549999997</v>
      </c>
      <c r="Q340" s="2019">
        <f t="shared" si="160"/>
        <v>801.84983279999994</v>
      </c>
      <c r="R340" s="50">
        <v>1.7600000000000001E-2</v>
      </c>
      <c r="S340" s="2067"/>
      <c r="T340" s="2067"/>
      <c r="U340" s="2067"/>
      <c r="V340" s="2067"/>
      <c r="W340" s="2020">
        <f t="shared" si="142"/>
        <v>0.15507776000000018</v>
      </c>
      <c r="X340" s="2026">
        <f t="shared" si="143"/>
        <v>7.7718172454374166</v>
      </c>
      <c r="Y340" s="2026">
        <f t="shared" si="144"/>
        <v>0.88203481608000001</v>
      </c>
      <c r="Z340" s="50"/>
      <c r="AA340" s="50"/>
      <c r="AB340" s="48"/>
      <c r="AC340" s="48">
        <v>6.8855989299999996</v>
      </c>
      <c r="AD340" s="48">
        <v>6.8855989299999996</v>
      </c>
      <c r="AE340" s="45" t="s">
        <v>18768</v>
      </c>
      <c r="AF340" s="51" t="s">
        <v>18769</v>
      </c>
      <c r="AG340" s="42"/>
      <c r="AH340" s="52" t="s">
        <v>7198</v>
      </c>
      <c r="AI340" s="197"/>
      <c r="AJ340" s="363"/>
      <c r="AK340" s="284" t="str">
        <f t="shared" si="145"/>
        <v>Please complete all cells in row</v>
      </c>
      <c r="AL340" s="363"/>
      <c r="AM340" s="224"/>
      <c r="AN340" s="224"/>
      <c r="AO340" s="224"/>
      <c r="AP340" s="224"/>
      <c r="AQ340" s="224"/>
      <c r="AR340" s="224"/>
      <c r="AS340" s="224"/>
      <c r="AT340" s="285">
        <f t="shared" si="146"/>
        <v>0</v>
      </c>
      <c r="AU340" s="285">
        <f t="shared" si="147"/>
        <v>1</v>
      </c>
      <c r="AV340" s="285">
        <f t="shared" si="148"/>
        <v>0</v>
      </c>
      <c r="AW340" s="285">
        <f t="shared" si="149"/>
        <v>0</v>
      </c>
      <c r="AX340" s="285">
        <f t="shared" si="150"/>
        <v>0</v>
      </c>
      <c r="AY340" s="285">
        <f t="shared" si="151"/>
        <v>0</v>
      </c>
      <c r="AZ340" s="285">
        <f t="shared" si="152"/>
        <v>0</v>
      </c>
      <c r="BA340" s="270"/>
      <c r="BB340" s="285">
        <f t="shared" si="153"/>
        <v>0</v>
      </c>
      <c r="BC340" s="270"/>
      <c r="BD340" s="270"/>
      <c r="BE340" s="270"/>
      <c r="BF340" s="270"/>
      <c r="BG340" s="270"/>
      <c r="BH340" s="270"/>
      <c r="BI340" s="270"/>
      <c r="BJ340" s="285">
        <f t="shared" si="154"/>
        <v>1</v>
      </c>
      <c r="BK340" s="285">
        <f t="shared" si="155"/>
        <v>1</v>
      </c>
      <c r="BL340" s="285">
        <f t="shared" si="156"/>
        <v>1</v>
      </c>
      <c r="BM340" s="285">
        <f t="shared" si="157"/>
        <v>0</v>
      </c>
      <c r="BN340" s="285">
        <f t="shared" si="158"/>
        <v>0</v>
      </c>
      <c r="BO340" s="285">
        <f t="shared" si="159"/>
        <v>1</v>
      </c>
      <c r="BP340" s="363"/>
      <c r="BQ340" s="224"/>
      <c r="BR340" s="224"/>
      <c r="BS340" s="778"/>
      <c r="BT340" s="778"/>
      <c r="BU340" s="778"/>
    </row>
    <row r="341" spans="1:73" s="22" customFormat="1" ht="15.75" customHeight="1" outlineLevel="1">
      <c r="A341" s="778"/>
      <c r="B341" s="44" t="s">
        <v>18749</v>
      </c>
      <c r="C341" s="45" t="s">
        <v>18646</v>
      </c>
      <c r="D341" s="46" t="s">
        <v>18741</v>
      </c>
      <c r="E341" s="46" t="s">
        <v>4722</v>
      </c>
      <c r="F341" s="45" t="s">
        <v>18750</v>
      </c>
      <c r="G341" s="46" t="s">
        <v>18643</v>
      </c>
      <c r="H341" s="45" t="s">
        <v>18650</v>
      </c>
      <c r="I341" s="45" t="s">
        <v>18645</v>
      </c>
      <c r="J341" s="47">
        <v>38569</v>
      </c>
      <c r="K341" s="48"/>
      <c r="L341" s="47">
        <v>50860</v>
      </c>
      <c r="M341" s="2048">
        <v>16</v>
      </c>
      <c r="N341" s="48">
        <v>30.445066000000001</v>
      </c>
      <c r="O341" s="49">
        <v>31.412123640000001</v>
      </c>
      <c r="P341" s="49">
        <v>31.412123640000001</v>
      </c>
      <c r="Q341" s="2019">
        <f t="shared" si="160"/>
        <v>502.59397824000001</v>
      </c>
      <c r="R341" s="50">
        <v>1.8474999999999998E-2</v>
      </c>
      <c r="S341" s="2067"/>
      <c r="T341" s="2067"/>
      <c r="U341" s="2067"/>
      <c r="V341" s="2067"/>
      <c r="W341" s="2020">
        <f t="shared" si="142"/>
        <v>0.15607097250000002</v>
      </c>
      <c r="X341" s="2026">
        <f t="shared" si="143"/>
        <v>4.9025206847850402</v>
      </c>
      <c r="Y341" s="2026">
        <f t="shared" si="144"/>
        <v>0.58033898424899999</v>
      </c>
      <c r="Z341" s="50"/>
      <c r="AA341" s="50"/>
      <c r="AB341" s="48"/>
      <c r="AC341" s="48">
        <v>0.49741639999999998</v>
      </c>
      <c r="AD341" s="48">
        <v>0.49741639999999998</v>
      </c>
      <c r="AE341" s="45" t="s">
        <v>18768</v>
      </c>
      <c r="AF341" s="51" t="s">
        <v>18769</v>
      </c>
      <c r="AG341" s="42"/>
      <c r="AH341" s="52" t="s">
        <v>7199</v>
      </c>
      <c r="AI341" s="197"/>
      <c r="AJ341" s="363"/>
      <c r="AK341" s="284" t="str">
        <f t="shared" si="145"/>
        <v>Please complete all cells in row</v>
      </c>
      <c r="AL341" s="363"/>
      <c r="AM341" s="224"/>
      <c r="AN341" s="224"/>
      <c r="AO341" s="224"/>
      <c r="AP341" s="224"/>
      <c r="AQ341" s="224"/>
      <c r="AR341" s="224"/>
      <c r="AS341" s="224"/>
      <c r="AT341" s="285">
        <f t="shared" si="146"/>
        <v>0</v>
      </c>
      <c r="AU341" s="285">
        <f t="shared" si="147"/>
        <v>1</v>
      </c>
      <c r="AV341" s="285">
        <f t="shared" si="148"/>
        <v>0</v>
      </c>
      <c r="AW341" s="285">
        <f t="shared" si="149"/>
        <v>0</v>
      </c>
      <c r="AX341" s="285">
        <f t="shared" si="150"/>
        <v>0</v>
      </c>
      <c r="AY341" s="285">
        <f t="shared" si="151"/>
        <v>0</v>
      </c>
      <c r="AZ341" s="285">
        <f t="shared" si="152"/>
        <v>0</v>
      </c>
      <c r="BA341" s="270"/>
      <c r="BB341" s="285">
        <f t="shared" si="153"/>
        <v>0</v>
      </c>
      <c r="BC341" s="270"/>
      <c r="BD341" s="270"/>
      <c r="BE341" s="270"/>
      <c r="BF341" s="270"/>
      <c r="BG341" s="270"/>
      <c r="BH341" s="270"/>
      <c r="BI341" s="270"/>
      <c r="BJ341" s="285">
        <f t="shared" si="154"/>
        <v>1</v>
      </c>
      <c r="BK341" s="285">
        <f t="shared" si="155"/>
        <v>1</v>
      </c>
      <c r="BL341" s="285">
        <f t="shared" si="156"/>
        <v>1</v>
      </c>
      <c r="BM341" s="285">
        <f t="shared" si="157"/>
        <v>0</v>
      </c>
      <c r="BN341" s="285">
        <f t="shared" si="158"/>
        <v>0</v>
      </c>
      <c r="BO341" s="285">
        <f t="shared" si="159"/>
        <v>1</v>
      </c>
      <c r="BP341" s="363"/>
      <c r="BQ341" s="224"/>
      <c r="BR341" s="224"/>
      <c r="BS341" s="778"/>
      <c r="BT341" s="778"/>
      <c r="BU341" s="778"/>
    </row>
    <row r="342" spans="1:73" s="22" customFormat="1" ht="15.75" customHeight="1" outlineLevel="1">
      <c r="A342" s="778"/>
      <c r="B342" s="44" t="s">
        <v>18751</v>
      </c>
      <c r="C342" s="45" t="s">
        <v>18646</v>
      </c>
      <c r="D342" s="46" t="s">
        <v>18741</v>
      </c>
      <c r="E342" s="46" t="s">
        <v>4722</v>
      </c>
      <c r="F342" s="45" t="s">
        <v>18752</v>
      </c>
      <c r="G342" s="46" t="s">
        <v>18643</v>
      </c>
      <c r="H342" s="45" t="s">
        <v>18650</v>
      </c>
      <c r="I342" s="45" t="s">
        <v>18645</v>
      </c>
      <c r="J342" s="47">
        <v>38538</v>
      </c>
      <c r="K342" s="48"/>
      <c r="L342" s="47">
        <v>45618</v>
      </c>
      <c r="M342" s="2048">
        <v>1</v>
      </c>
      <c r="N342" s="48">
        <v>50.820734999999999</v>
      </c>
      <c r="O342" s="49">
        <v>52.457551130000006</v>
      </c>
      <c r="P342" s="49">
        <v>52.457551130000006</v>
      </c>
      <c r="Q342" s="2019">
        <f t="shared" si="160"/>
        <v>52.457551130000006</v>
      </c>
      <c r="R342" s="50">
        <v>1.8474999999999998E-2</v>
      </c>
      <c r="S342" s="2067"/>
      <c r="T342" s="2067"/>
      <c r="U342" s="2067"/>
      <c r="V342" s="2067"/>
      <c r="W342" s="2020">
        <f t="shared" si="142"/>
        <v>0.15607097250000002</v>
      </c>
      <c r="X342" s="2026">
        <f t="shared" si="143"/>
        <v>8.1871010198275762</v>
      </c>
      <c r="Y342" s="2026">
        <f t="shared" si="144"/>
        <v>0.96915325712675005</v>
      </c>
      <c r="Z342" s="50"/>
      <c r="AA342" s="50"/>
      <c r="AB342" s="48"/>
      <c r="AC342" s="48">
        <v>0.82038025000000003</v>
      </c>
      <c r="AD342" s="48">
        <v>0.82038025000000003</v>
      </c>
      <c r="AE342" s="45" t="s">
        <v>18768</v>
      </c>
      <c r="AF342" s="51" t="s">
        <v>18769</v>
      </c>
      <c r="AG342" s="42"/>
      <c r="AH342" s="52" t="s">
        <v>7200</v>
      </c>
      <c r="AI342" s="197"/>
      <c r="AJ342" s="363"/>
      <c r="AK342" s="284" t="str">
        <f t="shared" si="145"/>
        <v>Please complete all cells in row</v>
      </c>
      <c r="AL342" s="363"/>
      <c r="AM342" s="224"/>
      <c r="AN342" s="224"/>
      <c r="AO342" s="224"/>
      <c r="AP342" s="224"/>
      <c r="AQ342" s="224"/>
      <c r="AR342" s="224"/>
      <c r="AS342" s="224"/>
      <c r="AT342" s="285">
        <f t="shared" si="146"/>
        <v>0</v>
      </c>
      <c r="AU342" s="285">
        <f t="shared" si="147"/>
        <v>1</v>
      </c>
      <c r="AV342" s="285">
        <f t="shared" si="148"/>
        <v>0</v>
      </c>
      <c r="AW342" s="285">
        <f t="shared" si="149"/>
        <v>0</v>
      </c>
      <c r="AX342" s="285">
        <f t="shared" si="150"/>
        <v>0</v>
      </c>
      <c r="AY342" s="285">
        <f t="shared" si="151"/>
        <v>0</v>
      </c>
      <c r="AZ342" s="285">
        <f t="shared" si="152"/>
        <v>0</v>
      </c>
      <c r="BA342" s="270"/>
      <c r="BB342" s="285">
        <f t="shared" si="153"/>
        <v>0</v>
      </c>
      <c r="BC342" s="270"/>
      <c r="BD342" s="270"/>
      <c r="BE342" s="270"/>
      <c r="BF342" s="270"/>
      <c r="BG342" s="270"/>
      <c r="BH342" s="270"/>
      <c r="BI342" s="270"/>
      <c r="BJ342" s="285">
        <f t="shared" si="154"/>
        <v>1</v>
      </c>
      <c r="BK342" s="285">
        <f t="shared" si="155"/>
        <v>1</v>
      </c>
      <c r="BL342" s="285">
        <f t="shared" si="156"/>
        <v>1</v>
      </c>
      <c r="BM342" s="285">
        <f t="shared" si="157"/>
        <v>0</v>
      </c>
      <c r="BN342" s="285">
        <f t="shared" si="158"/>
        <v>0</v>
      </c>
      <c r="BO342" s="285">
        <f t="shared" si="159"/>
        <v>1</v>
      </c>
      <c r="BP342" s="363"/>
      <c r="BQ342" s="224"/>
      <c r="BR342" s="224"/>
      <c r="BS342" s="778"/>
      <c r="BT342" s="778"/>
      <c r="BU342" s="778"/>
    </row>
    <row r="343" spans="1:73" s="22" customFormat="1" ht="15.75" customHeight="1" outlineLevel="1">
      <c r="A343" s="778"/>
      <c r="B343" s="44" t="s">
        <v>18753</v>
      </c>
      <c r="C343" s="45" t="s">
        <v>18646</v>
      </c>
      <c r="D343" s="46" t="s">
        <v>18741</v>
      </c>
      <c r="E343" s="46" t="s">
        <v>4722</v>
      </c>
      <c r="F343" s="45" t="s">
        <v>18754</v>
      </c>
      <c r="G343" s="46" t="s">
        <v>18643</v>
      </c>
      <c r="H343" s="45" t="s">
        <v>18650</v>
      </c>
      <c r="I343" s="45" t="s">
        <v>18645</v>
      </c>
      <c r="J343" s="47">
        <v>39538</v>
      </c>
      <c r="K343" s="48"/>
      <c r="L343" s="47">
        <v>50495</v>
      </c>
      <c r="M343" s="2048">
        <v>15</v>
      </c>
      <c r="N343" s="48">
        <v>80.400000000000006</v>
      </c>
      <c r="O343" s="49">
        <v>80.400000000000006</v>
      </c>
      <c r="P343" s="49">
        <v>80.400000000000006</v>
      </c>
      <c r="Q343" s="2019">
        <f t="shared" si="160"/>
        <v>1206</v>
      </c>
      <c r="R343" s="50">
        <v>1.1979999999999999E-2</v>
      </c>
      <c r="S343" s="2067"/>
      <c r="T343" s="2067"/>
      <c r="U343" s="2067"/>
      <c r="V343" s="2067"/>
      <c r="W343" s="2020">
        <f t="shared" si="142"/>
        <v>0.14869849800000012</v>
      </c>
      <c r="X343" s="2026">
        <f t="shared" si="143"/>
        <v>11.955359239200011</v>
      </c>
      <c r="Y343" s="2026">
        <f t="shared" si="144"/>
        <v>0.96319200000000005</v>
      </c>
      <c r="Z343" s="50"/>
      <c r="AA343" s="50"/>
      <c r="AB343" s="48"/>
      <c r="AC343" s="48">
        <v>13.06340398</v>
      </c>
      <c r="AD343" s="48">
        <v>13.06340398</v>
      </c>
      <c r="AE343" s="45" t="s">
        <v>18768</v>
      </c>
      <c r="AF343" s="51" t="s">
        <v>18769</v>
      </c>
      <c r="AG343" s="42"/>
      <c r="AH343" s="52" t="s">
        <v>7201</v>
      </c>
      <c r="AI343" s="197"/>
      <c r="AJ343" s="363"/>
      <c r="AK343" s="284" t="str">
        <f t="shared" si="145"/>
        <v>Please complete all cells in row</v>
      </c>
      <c r="AL343" s="363"/>
      <c r="AM343" s="224"/>
      <c r="AN343" s="224"/>
      <c r="AO343" s="224"/>
      <c r="AP343" s="224"/>
      <c r="AQ343" s="224"/>
      <c r="AR343" s="224"/>
      <c r="AS343" s="224"/>
      <c r="AT343" s="285">
        <f t="shared" si="146"/>
        <v>0</v>
      </c>
      <c r="AU343" s="285">
        <f t="shared" si="147"/>
        <v>1</v>
      </c>
      <c r="AV343" s="285">
        <f t="shared" si="148"/>
        <v>0</v>
      </c>
      <c r="AW343" s="285">
        <f t="shared" si="149"/>
        <v>0</v>
      </c>
      <c r="AX343" s="285">
        <f t="shared" si="150"/>
        <v>0</v>
      </c>
      <c r="AY343" s="285">
        <f t="shared" si="151"/>
        <v>0</v>
      </c>
      <c r="AZ343" s="285">
        <f t="shared" si="152"/>
        <v>0</v>
      </c>
      <c r="BA343" s="270"/>
      <c r="BB343" s="285">
        <f t="shared" si="153"/>
        <v>0</v>
      </c>
      <c r="BC343" s="270"/>
      <c r="BD343" s="270"/>
      <c r="BE343" s="270"/>
      <c r="BF343" s="270"/>
      <c r="BG343" s="270"/>
      <c r="BH343" s="270"/>
      <c r="BI343" s="270"/>
      <c r="BJ343" s="285">
        <f t="shared" si="154"/>
        <v>1</v>
      </c>
      <c r="BK343" s="285">
        <f t="shared" si="155"/>
        <v>1</v>
      </c>
      <c r="BL343" s="285">
        <f t="shared" si="156"/>
        <v>1</v>
      </c>
      <c r="BM343" s="285">
        <f t="shared" si="157"/>
        <v>0</v>
      </c>
      <c r="BN343" s="285">
        <f t="shared" si="158"/>
        <v>0</v>
      </c>
      <c r="BO343" s="285">
        <f t="shared" si="159"/>
        <v>1</v>
      </c>
      <c r="BP343" s="363"/>
      <c r="BQ343" s="224"/>
      <c r="BR343" s="224"/>
      <c r="BS343" s="778"/>
      <c r="BT343" s="778"/>
      <c r="BU343" s="778"/>
    </row>
    <row r="344" spans="1:73" s="22" customFormat="1" ht="15.75" customHeight="1" outlineLevel="1">
      <c r="A344" s="778"/>
      <c r="B344" s="44" t="s">
        <v>18755</v>
      </c>
      <c r="C344" s="45" t="s">
        <v>18646</v>
      </c>
      <c r="D344" s="46" t="s">
        <v>18741</v>
      </c>
      <c r="E344" s="46" t="s">
        <v>4722</v>
      </c>
      <c r="F344" s="45" t="s">
        <v>18756</v>
      </c>
      <c r="G344" s="46" t="s">
        <v>18643</v>
      </c>
      <c r="H344" s="45" t="s">
        <v>18650</v>
      </c>
      <c r="I344" s="45" t="s">
        <v>18645</v>
      </c>
      <c r="J344" s="47">
        <v>38804</v>
      </c>
      <c r="K344" s="48"/>
      <c r="L344" s="47">
        <v>48304</v>
      </c>
      <c r="M344" s="2048">
        <v>9</v>
      </c>
      <c r="N344" s="48">
        <v>2.75</v>
      </c>
      <c r="O344" s="49">
        <v>49.562001270000003</v>
      </c>
      <c r="P344" s="49">
        <v>49.562001270000003</v>
      </c>
      <c r="Q344" s="2019">
        <f t="shared" si="160"/>
        <v>446.05801143000002</v>
      </c>
      <c r="R344" s="50">
        <v>1.3249E-2</v>
      </c>
      <c r="S344" s="2067"/>
      <c r="T344" s="2067"/>
      <c r="U344" s="2067"/>
      <c r="V344" s="2067"/>
      <c r="W344" s="2020">
        <f t="shared" si="142"/>
        <v>0.15013893990000016</v>
      </c>
      <c r="X344" s="2026">
        <f t="shared" si="143"/>
        <v>7.4411863300002619</v>
      </c>
      <c r="Y344" s="2026">
        <f t="shared" si="144"/>
        <v>0.65664695482623003</v>
      </c>
      <c r="Z344" s="50"/>
      <c r="AA344" s="50"/>
      <c r="AB344" s="48"/>
      <c r="AC344" s="48">
        <v>3.2544511699999998</v>
      </c>
      <c r="AD344" s="48">
        <v>3.2544511699999998</v>
      </c>
      <c r="AE344" s="45" t="s">
        <v>18768</v>
      </c>
      <c r="AF344" s="51" t="s">
        <v>18769</v>
      </c>
      <c r="AG344" s="42"/>
      <c r="AH344" s="52" t="s">
        <v>7202</v>
      </c>
      <c r="AI344" s="197"/>
      <c r="AJ344" s="363"/>
      <c r="AK344" s="284" t="str">
        <f t="shared" si="145"/>
        <v>Please complete all cells in row</v>
      </c>
      <c r="AL344" s="363"/>
      <c r="AM344" s="224"/>
      <c r="AN344" s="224"/>
      <c r="AO344" s="224"/>
      <c r="AP344" s="224"/>
      <c r="AQ344" s="224"/>
      <c r="AR344" s="224"/>
      <c r="AS344" s="224"/>
      <c r="AT344" s="285">
        <f t="shared" si="146"/>
        <v>0</v>
      </c>
      <c r="AU344" s="285">
        <f t="shared" si="147"/>
        <v>1</v>
      </c>
      <c r="AV344" s="285">
        <f t="shared" si="148"/>
        <v>0</v>
      </c>
      <c r="AW344" s="285">
        <f t="shared" si="149"/>
        <v>0</v>
      </c>
      <c r="AX344" s="285">
        <f t="shared" si="150"/>
        <v>0</v>
      </c>
      <c r="AY344" s="285">
        <f t="shared" si="151"/>
        <v>0</v>
      </c>
      <c r="AZ344" s="285">
        <f t="shared" si="152"/>
        <v>0</v>
      </c>
      <c r="BA344" s="270"/>
      <c r="BB344" s="285">
        <f t="shared" si="153"/>
        <v>0</v>
      </c>
      <c r="BC344" s="270"/>
      <c r="BD344" s="270"/>
      <c r="BE344" s="270"/>
      <c r="BF344" s="270"/>
      <c r="BG344" s="270"/>
      <c r="BH344" s="270"/>
      <c r="BI344" s="270"/>
      <c r="BJ344" s="285">
        <f t="shared" si="154"/>
        <v>1</v>
      </c>
      <c r="BK344" s="285">
        <f t="shared" si="155"/>
        <v>1</v>
      </c>
      <c r="BL344" s="285">
        <f t="shared" si="156"/>
        <v>1</v>
      </c>
      <c r="BM344" s="285">
        <f t="shared" si="157"/>
        <v>0</v>
      </c>
      <c r="BN344" s="285">
        <f t="shared" si="158"/>
        <v>0</v>
      </c>
      <c r="BO344" s="285">
        <f t="shared" si="159"/>
        <v>1</v>
      </c>
      <c r="BP344" s="363"/>
      <c r="BQ344" s="224"/>
      <c r="BR344" s="224"/>
      <c r="BS344" s="778"/>
      <c r="BT344" s="778"/>
      <c r="BU344" s="778"/>
    </row>
    <row r="345" spans="1:73" s="22" customFormat="1" ht="15.75" customHeight="1" outlineLevel="1">
      <c r="A345" s="778"/>
      <c r="B345" s="44" t="s">
        <v>18757</v>
      </c>
      <c r="C345" s="45" t="s">
        <v>18646</v>
      </c>
      <c r="D345" s="46" t="s">
        <v>18758</v>
      </c>
      <c r="E345" s="46" t="s">
        <v>4722</v>
      </c>
      <c r="F345" s="45" t="s">
        <v>18742</v>
      </c>
      <c r="G345" s="46" t="s">
        <v>18643</v>
      </c>
      <c r="H345" s="45" t="s">
        <v>18650</v>
      </c>
      <c r="I345" s="45" t="s">
        <v>18645</v>
      </c>
      <c r="J345" s="47">
        <v>38807</v>
      </c>
      <c r="K345" s="48"/>
      <c r="L345" s="47">
        <v>51226</v>
      </c>
      <c r="M345" s="2048">
        <v>17</v>
      </c>
      <c r="N345" s="48">
        <v>-30.699314999999999</v>
      </c>
      <c r="O345" s="49">
        <v>-30.38250455</v>
      </c>
      <c r="P345" s="49">
        <v>-30.38250455</v>
      </c>
      <c r="Q345" s="2019">
        <f t="shared" si="160"/>
        <v>-516.50257735000002</v>
      </c>
      <c r="R345" s="50">
        <v>-7.9000000000000001E-2</v>
      </c>
      <c r="S345" s="2067"/>
      <c r="T345" s="2067"/>
      <c r="U345" s="2067"/>
      <c r="V345" s="2067"/>
      <c r="W345" s="2020">
        <f t="shared" si="142"/>
        <v>4.5427099999999943E-2</v>
      </c>
      <c r="X345" s="2026">
        <f t="shared" si="143"/>
        <v>-1.3801890724433032</v>
      </c>
      <c r="Y345" s="2026">
        <f t="shared" si="144"/>
        <v>2.4002178594500001</v>
      </c>
      <c r="Z345" s="50"/>
      <c r="AA345" s="50"/>
      <c r="AB345" s="48"/>
      <c r="AC345" s="48">
        <v>-3.8484934100000001</v>
      </c>
      <c r="AD345" s="48">
        <v>-3.8484934100000001</v>
      </c>
      <c r="AE345" s="45" t="s">
        <v>18768</v>
      </c>
      <c r="AF345" s="51" t="s">
        <v>18769</v>
      </c>
      <c r="AG345" s="42"/>
      <c r="AH345" s="52" t="s">
        <v>7203</v>
      </c>
      <c r="AI345" s="197"/>
      <c r="AJ345" s="363"/>
      <c r="AK345" s="284" t="str">
        <f t="shared" si="145"/>
        <v>Please complete all cells in row</v>
      </c>
      <c r="AL345" s="363"/>
      <c r="AM345" s="224"/>
      <c r="AN345" s="224"/>
      <c r="AO345" s="224"/>
      <c r="AP345" s="224"/>
      <c r="AQ345" s="224"/>
      <c r="AR345" s="224"/>
      <c r="AS345" s="224"/>
      <c r="AT345" s="285">
        <f t="shared" si="146"/>
        <v>0</v>
      </c>
      <c r="AU345" s="285">
        <f t="shared" si="147"/>
        <v>1</v>
      </c>
      <c r="AV345" s="285">
        <f t="shared" si="148"/>
        <v>0</v>
      </c>
      <c r="AW345" s="285">
        <f t="shared" si="149"/>
        <v>0</v>
      </c>
      <c r="AX345" s="285">
        <f t="shared" si="150"/>
        <v>0</v>
      </c>
      <c r="AY345" s="285">
        <f t="shared" si="151"/>
        <v>0</v>
      </c>
      <c r="AZ345" s="285">
        <f t="shared" si="152"/>
        <v>0</v>
      </c>
      <c r="BA345" s="270"/>
      <c r="BB345" s="285">
        <f t="shared" si="153"/>
        <v>0</v>
      </c>
      <c r="BC345" s="270"/>
      <c r="BD345" s="270"/>
      <c r="BE345" s="270"/>
      <c r="BF345" s="270"/>
      <c r="BG345" s="270"/>
      <c r="BH345" s="270"/>
      <c r="BI345" s="270"/>
      <c r="BJ345" s="285">
        <f t="shared" si="154"/>
        <v>1</v>
      </c>
      <c r="BK345" s="285">
        <f t="shared" si="155"/>
        <v>1</v>
      </c>
      <c r="BL345" s="285">
        <f t="shared" si="156"/>
        <v>1</v>
      </c>
      <c r="BM345" s="285">
        <f t="shared" si="157"/>
        <v>0</v>
      </c>
      <c r="BN345" s="285">
        <f t="shared" si="158"/>
        <v>0</v>
      </c>
      <c r="BO345" s="285">
        <f t="shared" si="159"/>
        <v>1</v>
      </c>
      <c r="BP345" s="363"/>
      <c r="BQ345" s="224"/>
      <c r="BR345" s="224"/>
      <c r="BS345" s="778"/>
      <c r="BT345" s="778"/>
      <c r="BU345" s="778"/>
    </row>
    <row r="346" spans="1:73" s="22" customFormat="1" ht="15.75" customHeight="1" outlineLevel="1">
      <c r="A346" s="778"/>
      <c r="B346" s="44" t="s">
        <v>18759</v>
      </c>
      <c r="C346" s="45" t="s">
        <v>18646</v>
      </c>
      <c r="D346" s="46" t="s">
        <v>18758</v>
      </c>
      <c r="E346" s="46" t="s">
        <v>4722</v>
      </c>
      <c r="F346" s="45" t="s">
        <v>18744</v>
      </c>
      <c r="G346" s="46" t="s">
        <v>18643</v>
      </c>
      <c r="H346" s="45" t="s">
        <v>18650</v>
      </c>
      <c r="I346" s="45" t="s">
        <v>18645</v>
      </c>
      <c r="J346" s="47">
        <v>38807</v>
      </c>
      <c r="K346" s="48"/>
      <c r="L346" s="47">
        <v>50860</v>
      </c>
      <c r="M346" s="2048">
        <v>16</v>
      </c>
      <c r="N346" s="48">
        <v>-126.377951</v>
      </c>
      <c r="O346" s="49">
        <v>-124.003725</v>
      </c>
      <c r="P346" s="49">
        <v>-124.003725</v>
      </c>
      <c r="Q346" s="2019">
        <f t="shared" si="160"/>
        <v>-1984.0596</v>
      </c>
      <c r="R346" s="50">
        <v>-7.9009999999999997E-2</v>
      </c>
      <c r="S346" s="2067"/>
      <c r="T346" s="2067"/>
      <c r="U346" s="2067"/>
      <c r="V346" s="2067"/>
      <c r="W346" s="2020">
        <f t="shared" si="142"/>
        <v>4.5415749000000005E-2</v>
      </c>
      <c r="X346" s="2026">
        <f t="shared" si="143"/>
        <v>-5.6317220496650258</v>
      </c>
      <c r="Y346" s="2026">
        <f t="shared" si="144"/>
        <v>9.7975343122500007</v>
      </c>
      <c r="Z346" s="50"/>
      <c r="AA346" s="50"/>
      <c r="AB346" s="48"/>
      <c r="AC346" s="48">
        <v>-16.80395609</v>
      </c>
      <c r="AD346" s="48">
        <v>-16.80395609</v>
      </c>
      <c r="AE346" s="45" t="s">
        <v>18768</v>
      </c>
      <c r="AF346" s="51" t="s">
        <v>18769</v>
      </c>
      <c r="AG346" s="42"/>
      <c r="AH346" s="52" t="s">
        <v>7204</v>
      </c>
      <c r="AI346" s="197"/>
      <c r="AJ346" s="363"/>
      <c r="AK346" s="284" t="str">
        <f t="shared" si="145"/>
        <v>Please complete all cells in row</v>
      </c>
      <c r="AL346" s="363"/>
      <c r="AM346" s="224"/>
      <c r="AN346" s="224"/>
      <c r="AO346" s="224"/>
      <c r="AP346" s="224"/>
      <c r="AQ346" s="224"/>
      <c r="AR346" s="224"/>
      <c r="AS346" s="224"/>
      <c r="AT346" s="285">
        <f t="shared" si="146"/>
        <v>0</v>
      </c>
      <c r="AU346" s="285">
        <f t="shared" si="147"/>
        <v>1</v>
      </c>
      <c r="AV346" s="285">
        <f t="shared" si="148"/>
        <v>0</v>
      </c>
      <c r="AW346" s="285">
        <f t="shared" si="149"/>
        <v>0</v>
      </c>
      <c r="AX346" s="285">
        <f t="shared" si="150"/>
        <v>0</v>
      </c>
      <c r="AY346" s="285">
        <f t="shared" si="151"/>
        <v>0</v>
      </c>
      <c r="AZ346" s="285">
        <f t="shared" si="152"/>
        <v>0</v>
      </c>
      <c r="BA346" s="270"/>
      <c r="BB346" s="285">
        <f t="shared" si="153"/>
        <v>0</v>
      </c>
      <c r="BC346" s="270"/>
      <c r="BD346" s="270"/>
      <c r="BE346" s="270"/>
      <c r="BF346" s="270"/>
      <c r="BG346" s="270"/>
      <c r="BH346" s="270"/>
      <c r="BI346" s="270"/>
      <c r="BJ346" s="285">
        <f t="shared" si="154"/>
        <v>1</v>
      </c>
      <c r="BK346" s="285">
        <f t="shared" si="155"/>
        <v>1</v>
      </c>
      <c r="BL346" s="285">
        <f t="shared" si="156"/>
        <v>1</v>
      </c>
      <c r="BM346" s="285">
        <f t="shared" si="157"/>
        <v>0</v>
      </c>
      <c r="BN346" s="285">
        <f t="shared" si="158"/>
        <v>0</v>
      </c>
      <c r="BO346" s="285">
        <f t="shared" si="159"/>
        <v>1</v>
      </c>
      <c r="BP346" s="363"/>
      <c r="BQ346" s="224"/>
      <c r="BR346" s="224"/>
      <c r="BS346" s="778"/>
      <c r="BT346" s="778"/>
      <c r="BU346" s="778"/>
    </row>
    <row r="347" spans="1:73" s="22" customFormat="1" ht="15.75" customHeight="1" outlineLevel="1">
      <c r="A347" s="778"/>
      <c r="B347" s="44" t="s">
        <v>18760</v>
      </c>
      <c r="C347" s="45" t="s">
        <v>18646</v>
      </c>
      <c r="D347" s="46" t="s">
        <v>18758</v>
      </c>
      <c r="E347" s="46" t="s">
        <v>4722</v>
      </c>
      <c r="F347" s="45" t="s">
        <v>18746</v>
      </c>
      <c r="G347" s="46" t="s">
        <v>18643</v>
      </c>
      <c r="H347" s="45" t="s">
        <v>18650</v>
      </c>
      <c r="I347" s="45" t="s">
        <v>18645</v>
      </c>
      <c r="J347" s="47">
        <v>38807</v>
      </c>
      <c r="K347" s="48"/>
      <c r="L347" s="47">
        <v>49399</v>
      </c>
      <c r="M347" s="2048">
        <v>12</v>
      </c>
      <c r="N347" s="48">
        <v>-16.060220000000001</v>
      </c>
      <c r="O347" s="49">
        <v>-15.314679999999999</v>
      </c>
      <c r="P347" s="49">
        <v>-15.314679999999999</v>
      </c>
      <c r="Q347" s="2019">
        <f t="shared" si="160"/>
        <v>-183.77616</v>
      </c>
      <c r="R347" s="50">
        <v>-7.9000000000000001E-2</v>
      </c>
      <c r="S347" s="2067"/>
      <c r="T347" s="2067"/>
      <c r="U347" s="2067"/>
      <c r="V347" s="2067"/>
      <c r="W347" s="2020">
        <f t="shared" si="142"/>
        <v>4.5427099999999943E-2</v>
      </c>
      <c r="X347" s="2026">
        <f t="shared" si="143"/>
        <v>-0.69570149982799911</v>
      </c>
      <c r="Y347" s="2026">
        <f t="shared" si="144"/>
        <v>1.2098597199999999</v>
      </c>
      <c r="Z347" s="50"/>
      <c r="AA347" s="50"/>
      <c r="AB347" s="48"/>
      <c r="AC347" s="48">
        <v>-1.65479734</v>
      </c>
      <c r="AD347" s="48">
        <v>-1.65479734</v>
      </c>
      <c r="AE347" s="45" t="s">
        <v>18768</v>
      </c>
      <c r="AF347" s="51" t="s">
        <v>18769</v>
      </c>
      <c r="AG347" s="42"/>
      <c r="AH347" s="52" t="s">
        <v>7205</v>
      </c>
      <c r="AI347" s="197"/>
      <c r="AJ347" s="363"/>
      <c r="AK347" s="284" t="str">
        <f t="shared" si="145"/>
        <v>Please complete all cells in row</v>
      </c>
      <c r="AL347" s="363"/>
      <c r="AM347" s="224"/>
      <c r="AN347" s="224"/>
      <c r="AO347" s="224"/>
      <c r="AP347" s="224"/>
      <c r="AQ347" s="224"/>
      <c r="AR347" s="224"/>
      <c r="AS347" s="224"/>
      <c r="AT347" s="285">
        <f t="shared" si="146"/>
        <v>0</v>
      </c>
      <c r="AU347" s="285">
        <f t="shared" si="147"/>
        <v>1</v>
      </c>
      <c r="AV347" s="285">
        <f t="shared" si="148"/>
        <v>0</v>
      </c>
      <c r="AW347" s="285">
        <f t="shared" si="149"/>
        <v>0</v>
      </c>
      <c r="AX347" s="285">
        <f t="shared" si="150"/>
        <v>0</v>
      </c>
      <c r="AY347" s="285">
        <f t="shared" si="151"/>
        <v>0</v>
      </c>
      <c r="AZ347" s="285">
        <f t="shared" si="152"/>
        <v>0</v>
      </c>
      <c r="BA347" s="270"/>
      <c r="BB347" s="285">
        <f t="shared" si="153"/>
        <v>0</v>
      </c>
      <c r="BC347" s="270"/>
      <c r="BD347" s="270"/>
      <c r="BE347" s="270"/>
      <c r="BF347" s="270"/>
      <c r="BG347" s="270"/>
      <c r="BH347" s="270"/>
      <c r="BI347" s="270"/>
      <c r="BJ347" s="285">
        <f t="shared" si="154"/>
        <v>1</v>
      </c>
      <c r="BK347" s="285">
        <f t="shared" si="155"/>
        <v>1</v>
      </c>
      <c r="BL347" s="285">
        <f t="shared" si="156"/>
        <v>1</v>
      </c>
      <c r="BM347" s="285">
        <f t="shared" si="157"/>
        <v>0</v>
      </c>
      <c r="BN347" s="285">
        <f t="shared" si="158"/>
        <v>0</v>
      </c>
      <c r="BO347" s="285">
        <f t="shared" si="159"/>
        <v>1</v>
      </c>
      <c r="BP347" s="363"/>
      <c r="BQ347" s="224"/>
      <c r="BR347" s="224"/>
      <c r="BS347" s="778"/>
      <c r="BT347" s="778"/>
      <c r="BU347" s="778"/>
    </row>
    <row r="348" spans="1:73" s="22" customFormat="1" ht="15.75" customHeight="1" outlineLevel="1">
      <c r="A348" s="778"/>
      <c r="B348" s="44" t="s">
        <v>18761</v>
      </c>
      <c r="C348" s="45" t="s">
        <v>18646</v>
      </c>
      <c r="D348" s="46" t="s">
        <v>18758</v>
      </c>
      <c r="E348" s="46" t="s">
        <v>4722</v>
      </c>
      <c r="F348" s="45" t="s">
        <v>18748</v>
      </c>
      <c r="G348" s="46" t="s">
        <v>18643</v>
      </c>
      <c r="H348" s="45" t="s">
        <v>18650</v>
      </c>
      <c r="I348" s="45" t="s">
        <v>18645</v>
      </c>
      <c r="J348" s="47">
        <v>44147</v>
      </c>
      <c r="K348" s="48"/>
      <c r="L348" s="47">
        <v>50860</v>
      </c>
      <c r="M348" s="2048">
        <v>16</v>
      </c>
      <c r="N348" s="48">
        <v>-50.93065</v>
      </c>
      <c r="O348" s="49">
        <v>-50.115614549999997</v>
      </c>
      <c r="P348" s="49">
        <v>-50.115614549999997</v>
      </c>
      <c r="Q348" s="2019">
        <f t="shared" si="160"/>
        <v>-801.84983279999994</v>
      </c>
      <c r="R348" s="50">
        <v>-7.9009999999999997E-2</v>
      </c>
      <c r="S348" s="2067"/>
      <c r="T348" s="2067"/>
      <c r="U348" s="2067"/>
      <c r="V348" s="2067"/>
      <c r="W348" s="2020">
        <f t="shared" si="142"/>
        <v>4.5415749000000005E-2</v>
      </c>
      <c r="X348" s="2026">
        <f t="shared" si="143"/>
        <v>-2.276038171383548</v>
      </c>
      <c r="Y348" s="2026">
        <f t="shared" si="144"/>
        <v>3.9596347055954997</v>
      </c>
      <c r="Z348" s="50"/>
      <c r="AA348" s="50"/>
      <c r="AB348" s="48"/>
      <c r="AC348" s="48">
        <v>-6.8855989299999996</v>
      </c>
      <c r="AD348" s="48">
        <v>-6.8855989299999996</v>
      </c>
      <c r="AE348" s="45" t="s">
        <v>18768</v>
      </c>
      <c r="AF348" s="51" t="s">
        <v>18769</v>
      </c>
      <c r="AG348" s="42"/>
      <c r="AH348" s="52" t="s">
        <v>7206</v>
      </c>
      <c r="AI348" s="197"/>
      <c r="AJ348" s="363"/>
      <c r="AK348" s="284" t="str">
        <f t="shared" si="145"/>
        <v>Please complete all cells in row</v>
      </c>
      <c r="AL348" s="363"/>
      <c r="AM348" s="224"/>
      <c r="AN348" s="224"/>
      <c r="AO348" s="224"/>
      <c r="AP348" s="224"/>
      <c r="AQ348" s="224"/>
      <c r="AR348" s="224"/>
      <c r="AS348" s="224"/>
      <c r="AT348" s="285">
        <f t="shared" si="146"/>
        <v>0</v>
      </c>
      <c r="AU348" s="285">
        <f t="shared" si="147"/>
        <v>1</v>
      </c>
      <c r="AV348" s="285">
        <f t="shared" si="148"/>
        <v>0</v>
      </c>
      <c r="AW348" s="285">
        <f t="shared" si="149"/>
        <v>0</v>
      </c>
      <c r="AX348" s="285">
        <f t="shared" si="150"/>
        <v>0</v>
      </c>
      <c r="AY348" s="285">
        <f t="shared" si="151"/>
        <v>0</v>
      </c>
      <c r="AZ348" s="285">
        <f t="shared" si="152"/>
        <v>0</v>
      </c>
      <c r="BA348" s="270"/>
      <c r="BB348" s="285">
        <f t="shared" si="153"/>
        <v>0</v>
      </c>
      <c r="BC348" s="270"/>
      <c r="BD348" s="270"/>
      <c r="BE348" s="270"/>
      <c r="BF348" s="270"/>
      <c r="BG348" s="270"/>
      <c r="BH348" s="270"/>
      <c r="BI348" s="270"/>
      <c r="BJ348" s="285">
        <f t="shared" si="154"/>
        <v>1</v>
      </c>
      <c r="BK348" s="285">
        <f t="shared" si="155"/>
        <v>1</v>
      </c>
      <c r="BL348" s="285">
        <f t="shared" si="156"/>
        <v>1</v>
      </c>
      <c r="BM348" s="285">
        <f t="shared" si="157"/>
        <v>0</v>
      </c>
      <c r="BN348" s="285">
        <f t="shared" si="158"/>
        <v>0</v>
      </c>
      <c r="BO348" s="285">
        <f t="shared" si="159"/>
        <v>1</v>
      </c>
      <c r="BP348" s="363"/>
      <c r="BQ348" s="224"/>
      <c r="BR348" s="224"/>
      <c r="BS348" s="778"/>
      <c r="BT348" s="778"/>
      <c r="BU348" s="778"/>
    </row>
    <row r="349" spans="1:73" s="22" customFormat="1" ht="15.75" customHeight="1" outlineLevel="1">
      <c r="A349" s="778"/>
      <c r="B349" s="44" t="s">
        <v>18762</v>
      </c>
      <c r="C349" s="45" t="s">
        <v>18646</v>
      </c>
      <c r="D349" s="46" t="s">
        <v>18758</v>
      </c>
      <c r="E349" s="46" t="s">
        <v>4722</v>
      </c>
      <c r="F349" s="45" t="s">
        <v>18750</v>
      </c>
      <c r="G349" s="46" t="s">
        <v>18643</v>
      </c>
      <c r="H349" s="45" t="s">
        <v>18650</v>
      </c>
      <c r="I349" s="45" t="s">
        <v>18645</v>
      </c>
      <c r="J349" s="47">
        <v>38569</v>
      </c>
      <c r="K349" s="48"/>
      <c r="L349" s="47">
        <v>50860</v>
      </c>
      <c r="M349" s="2048">
        <v>16</v>
      </c>
      <c r="N349" s="48">
        <v>-30.445066000000001</v>
      </c>
      <c r="O349" s="49">
        <v>-31.412123640000001</v>
      </c>
      <c r="P349" s="49">
        <v>-31.412123640000001</v>
      </c>
      <c r="Q349" s="2019">
        <f t="shared" si="160"/>
        <v>-502.59397824000001</v>
      </c>
      <c r="R349" s="50">
        <v>-7.9000000000000001E-2</v>
      </c>
      <c r="S349" s="2067"/>
      <c r="T349" s="2067"/>
      <c r="U349" s="2067"/>
      <c r="V349" s="2067"/>
      <c r="W349" s="2020">
        <f t="shared" si="142"/>
        <v>4.5427099999999943E-2</v>
      </c>
      <c r="X349" s="2026">
        <f t="shared" si="143"/>
        <v>-1.4269616818066422</v>
      </c>
      <c r="Y349" s="2026">
        <f t="shared" si="144"/>
        <v>2.48155776756</v>
      </c>
      <c r="Z349" s="50"/>
      <c r="AA349" s="50"/>
      <c r="AB349" s="48"/>
      <c r="AC349" s="48">
        <v>-0.49741639999999998</v>
      </c>
      <c r="AD349" s="48">
        <v>-0.49741639999999998</v>
      </c>
      <c r="AE349" s="45" t="s">
        <v>18768</v>
      </c>
      <c r="AF349" s="51" t="s">
        <v>18769</v>
      </c>
      <c r="AG349" s="42"/>
      <c r="AH349" s="52" t="s">
        <v>7207</v>
      </c>
      <c r="AI349" s="197"/>
      <c r="AJ349" s="363"/>
      <c r="AK349" s="284" t="str">
        <f t="shared" si="145"/>
        <v>Please complete all cells in row</v>
      </c>
      <c r="AL349" s="363"/>
      <c r="AM349" s="224"/>
      <c r="AN349" s="224"/>
      <c r="AO349" s="224"/>
      <c r="AP349" s="224"/>
      <c r="AQ349" s="224"/>
      <c r="AR349" s="224"/>
      <c r="AS349" s="224"/>
      <c r="AT349" s="285">
        <f t="shared" si="146"/>
        <v>0</v>
      </c>
      <c r="AU349" s="285">
        <f t="shared" si="147"/>
        <v>1</v>
      </c>
      <c r="AV349" s="285">
        <f t="shared" si="148"/>
        <v>0</v>
      </c>
      <c r="AW349" s="285">
        <f t="shared" si="149"/>
        <v>0</v>
      </c>
      <c r="AX349" s="285">
        <f t="shared" si="150"/>
        <v>0</v>
      </c>
      <c r="AY349" s="285">
        <f t="shared" si="151"/>
        <v>0</v>
      </c>
      <c r="AZ349" s="285">
        <f t="shared" si="152"/>
        <v>0</v>
      </c>
      <c r="BA349" s="270"/>
      <c r="BB349" s="285">
        <f t="shared" si="153"/>
        <v>0</v>
      </c>
      <c r="BC349" s="270"/>
      <c r="BD349" s="270"/>
      <c r="BE349" s="270"/>
      <c r="BF349" s="270"/>
      <c r="BG349" s="270"/>
      <c r="BH349" s="270"/>
      <c r="BI349" s="270"/>
      <c r="BJ349" s="285">
        <f t="shared" si="154"/>
        <v>1</v>
      </c>
      <c r="BK349" s="285">
        <f t="shared" si="155"/>
        <v>1</v>
      </c>
      <c r="BL349" s="285">
        <f t="shared" si="156"/>
        <v>1</v>
      </c>
      <c r="BM349" s="285">
        <f t="shared" si="157"/>
        <v>0</v>
      </c>
      <c r="BN349" s="285">
        <f t="shared" si="158"/>
        <v>0</v>
      </c>
      <c r="BO349" s="285">
        <f t="shared" si="159"/>
        <v>1</v>
      </c>
      <c r="BP349" s="363"/>
      <c r="BQ349" s="224"/>
      <c r="BR349" s="224"/>
      <c r="BS349" s="778"/>
      <c r="BT349" s="778"/>
      <c r="BU349" s="778"/>
    </row>
    <row r="350" spans="1:73" s="22" customFormat="1" ht="15.75" customHeight="1" outlineLevel="1">
      <c r="A350" s="778"/>
      <c r="B350" s="44" t="s">
        <v>18763</v>
      </c>
      <c r="C350" s="45" t="s">
        <v>18646</v>
      </c>
      <c r="D350" s="46" t="s">
        <v>18758</v>
      </c>
      <c r="E350" s="46" t="s">
        <v>4722</v>
      </c>
      <c r="F350" s="45" t="s">
        <v>18752</v>
      </c>
      <c r="G350" s="46" t="s">
        <v>18643</v>
      </c>
      <c r="H350" s="45" t="s">
        <v>18650</v>
      </c>
      <c r="I350" s="45" t="s">
        <v>18645</v>
      </c>
      <c r="J350" s="47">
        <v>38538</v>
      </c>
      <c r="K350" s="48"/>
      <c r="L350" s="47">
        <v>45618</v>
      </c>
      <c r="M350" s="2048">
        <v>1</v>
      </c>
      <c r="N350" s="48">
        <v>-50.820734999999999</v>
      </c>
      <c r="O350" s="49">
        <v>-52.457551130000006</v>
      </c>
      <c r="P350" s="49">
        <v>-52.457551130000006</v>
      </c>
      <c r="Q350" s="2019">
        <f t="shared" si="160"/>
        <v>-52.457551130000006</v>
      </c>
      <c r="R350" s="50">
        <v>-7.9000000000000001E-2</v>
      </c>
      <c r="S350" s="2067"/>
      <c r="T350" s="2067"/>
      <c r="U350" s="2067"/>
      <c r="V350" s="2067"/>
      <c r="W350" s="2020">
        <f t="shared" si="142"/>
        <v>4.5427099999999943E-2</v>
      </c>
      <c r="X350" s="2026">
        <f t="shared" si="143"/>
        <v>-2.3829944209376204</v>
      </c>
      <c r="Y350" s="2026">
        <f t="shared" si="144"/>
        <v>4.1441465392700003</v>
      </c>
      <c r="Z350" s="50"/>
      <c r="AA350" s="50"/>
      <c r="AB350" s="48"/>
      <c r="AC350" s="48">
        <v>-0.82038025000000003</v>
      </c>
      <c r="AD350" s="48">
        <v>-0.82038025000000003</v>
      </c>
      <c r="AE350" s="45" t="s">
        <v>18768</v>
      </c>
      <c r="AF350" s="51" t="s">
        <v>18769</v>
      </c>
      <c r="AG350" s="42"/>
      <c r="AH350" s="52" t="s">
        <v>7208</v>
      </c>
      <c r="AI350" s="197"/>
      <c r="AJ350" s="363"/>
      <c r="AK350" s="284" t="str">
        <f t="shared" si="145"/>
        <v>Please complete all cells in row</v>
      </c>
      <c r="AL350" s="363"/>
      <c r="AM350" s="224"/>
      <c r="AN350" s="224"/>
      <c r="AO350" s="224"/>
      <c r="AP350" s="224"/>
      <c r="AQ350" s="224"/>
      <c r="AR350" s="224"/>
      <c r="AS350" s="224"/>
      <c r="AT350" s="285">
        <f t="shared" si="146"/>
        <v>0</v>
      </c>
      <c r="AU350" s="285">
        <f t="shared" si="147"/>
        <v>1</v>
      </c>
      <c r="AV350" s="285">
        <f t="shared" si="148"/>
        <v>0</v>
      </c>
      <c r="AW350" s="285">
        <f t="shared" si="149"/>
        <v>0</v>
      </c>
      <c r="AX350" s="285">
        <f t="shared" si="150"/>
        <v>0</v>
      </c>
      <c r="AY350" s="285">
        <f t="shared" si="151"/>
        <v>0</v>
      </c>
      <c r="AZ350" s="285">
        <f t="shared" si="152"/>
        <v>0</v>
      </c>
      <c r="BA350" s="270"/>
      <c r="BB350" s="285">
        <f t="shared" si="153"/>
        <v>0</v>
      </c>
      <c r="BC350" s="270"/>
      <c r="BD350" s="270"/>
      <c r="BE350" s="270"/>
      <c r="BF350" s="270"/>
      <c r="BG350" s="270"/>
      <c r="BH350" s="270"/>
      <c r="BI350" s="270"/>
      <c r="BJ350" s="285">
        <f t="shared" si="154"/>
        <v>1</v>
      </c>
      <c r="BK350" s="285">
        <f t="shared" si="155"/>
        <v>1</v>
      </c>
      <c r="BL350" s="285">
        <f t="shared" si="156"/>
        <v>1</v>
      </c>
      <c r="BM350" s="285">
        <f t="shared" si="157"/>
        <v>0</v>
      </c>
      <c r="BN350" s="285">
        <f t="shared" si="158"/>
        <v>0</v>
      </c>
      <c r="BO350" s="285">
        <f t="shared" si="159"/>
        <v>1</v>
      </c>
      <c r="BP350" s="363"/>
      <c r="BQ350" s="224"/>
      <c r="BR350" s="224"/>
      <c r="BS350" s="778"/>
      <c r="BT350" s="778"/>
      <c r="BU350" s="778"/>
    </row>
    <row r="351" spans="1:73" s="22" customFormat="1" ht="15.75" customHeight="1" outlineLevel="1">
      <c r="A351" s="778"/>
      <c r="B351" s="44" t="s">
        <v>18764</v>
      </c>
      <c r="C351" s="45" t="s">
        <v>18646</v>
      </c>
      <c r="D351" s="46" t="s">
        <v>18758</v>
      </c>
      <c r="E351" s="46" t="s">
        <v>4722</v>
      </c>
      <c r="F351" s="45" t="s">
        <v>18754</v>
      </c>
      <c r="G351" s="46" t="s">
        <v>18643</v>
      </c>
      <c r="H351" s="45" t="s">
        <v>18650</v>
      </c>
      <c r="I351" s="45" t="s">
        <v>18645</v>
      </c>
      <c r="J351" s="47">
        <v>39538</v>
      </c>
      <c r="K351" s="48"/>
      <c r="L351" s="47">
        <v>50495</v>
      </c>
      <c r="M351" s="2048">
        <v>15</v>
      </c>
      <c r="N351" s="48">
        <v>-80.400000000000006</v>
      </c>
      <c r="O351" s="49">
        <v>-80.400000000000006</v>
      </c>
      <c r="P351" s="49">
        <v>-80.400000000000006</v>
      </c>
      <c r="Q351" s="2019">
        <f t="shared" si="160"/>
        <v>-1206</v>
      </c>
      <c r="R351" s="50">
        <v>-8.0600000000000005E-2</v>
      </c>
      <c r="S351" s="2067"/>
      <c r="T351" s="2067"/>
      <c r="U351" s="2067"/>
      <c r="V351" s="2067"/>
      <c r="W351" s="2020">
        <f t="shared" si="142"/>
        <v>4.3610939999999987E-2</v>
      </c>
      <c r="X351" s="2026">
        <f t="shared" si="143"/>
        <v>-3.5063195759999992</v>
      </c>
      <c r="Y351" s="2026">
        <f t="shared" si="144"/>
        <v>6.4802400000000011</v>
      </c>
      <c r="Z351" s="50"/>
      <c r="AA351" s="50"/>
      <c r="AB351" s="48"/>
      <c r="AC351" s="48">
        <v>-13.06340398</v>
      </c>
      <c r="AD351" s="48">
        <v>-13.06340398</v>
      </c>
      <c r="AE351" s="45" t="s">
        <v>18768</v>
      </c>
      <c r="AF351" s="51" t="s">
        <v>18769</v>
      </c>
      <c r="AG351" s="42"/>
      <c r="AH351" s="52" t="s">
        <v>7209</v>
      </c>
      <c r="AI351" s="197"/>
      <c r="AJ351" s="363"/>
      <c r="AK351" s="284" t="str">
        <f t="shared" si="145"/>
        <v>Please complete all cells in row</v>
      </c>
      <c r="AL351" s="363"/>
      <c r="AM351" s="224"/>
      <c r="AN351" s="224"/>
      <c r="AO351" s="224"/>
      <c r="AP351" s="224"/>
      <c r="AQ351" s="224"/>
      <c r="AR351" s="224"/>
      <c r="AS351" s="224"/>
      <c r="AT351" s="285">
        <f t="shared" si="146"/>
        <v>0</v>
      </c>
      <c r="AU351" s="285">
        <f t="shared" si="147"/>
        <v>1</v>
      </c>
      <c r="AV351" s="285">
        <f t="shared" si="148"/>
        <v>0</v>
      </c>
      <c r="AW351" s="285">
        <f t="shared" si="149"/>
        <v>0</v>
      </c>
      <c r="AX351" s="285">
        <f t="shared" si="150"/>
        <v>0</v>
      </c>
      <c r="AY351" s="285">
        <f t="shared" si="151"/>
        <v>0</v>
      </c>
      <c r="AZ351" s="285">
        <f t="shared" si="152"/>
        <v>0</v>
      </c>
      <c r="BA351" s="270"/>
      <c r="BB351" s="285">
        <f t="shared" si="153"/>
        <v>0</v>
      </c>
      <c r="BC351" s="270"/>
      <c r="BD351" s="270"/>
      <c r="BE351" s="270"/>
      <c r="BF351" s="270"/>
      <c r="BG351" s="270"/>
      <c r="BH351" s="270"/>
      <c r="BI351" s="270"/>
      <c r="BJ351" s="285">
        <f t="shared" si="154"/>
        <v>1</v>
      </c>
      <c r="BK351" s="285">
        <f t="shared" si="155"/>
        <v>1</v>
      </c>
      <c r="BL351" s="285">
        <f t="shared" si="156"/>
        <v>1</v>
      </c>
      <c r="BM351" s="285">
        <f t="shared" si="157"/>
        <v>0</v>
      </c>
      <c r="BN351" s="285">
        <f t="shared" si="158"/>
        <v>0</v>
      </c>
      <c r="BO351" s="285">
        <f t="shared" si="159"/>
        <v>1</v>
      </c>
      <c r="BP351" s="363"/>
      <c r="BQ351" s="224"/>
      <c r="BR351" s="224"/>
      <c r="BS351" s="778"/>
      <c r="BT351" s="778"/>
      <c r="BU351" s="778"/>
    </row>
    <row r="352" spans="1:73" s="22" customFormat="1" ht="15.75" customHeight="1" outlineLevel="1">
      <c r="A352" s="778"/>
      <c r="B352" s="44" t="s">
        <v>18765</v>
      </c>
      <c r="C352" s="45" t="s">
        <v>18646</v>
      </c>
      <c r="D352" s="46" t="s">
        <v>18758</v>
      </c>
      <c r="E352" s="46" t="s">
        <v>4722</v>
      </c>
      <c r="F352" s="45" t="s">
        <v>18756</v>
      </c>
      <c r="G352" s="46" t="s">
        <v>18643</v>
      </c>
      <c r="H352" s="45" t="s">
        <v>18650</v>
      </c>
      <c r="I352" s="45" t="s">
        <v>18645</v>
      </c>
      <c r="J352" s="47">
        <v>38804</v>
      </c>
      <c r="K352" s="48"/>
      <c r="L352" s="47">
        <v>48304</v>
      </c>
      <c r="M352" s="2048">
        <v>9</v>
      </c>
      <c r="N352" s="48">
        <v>-2.75</v>
      </c>
      <c r="O352" s="49">
        <v>-49.562001270000003</v>
      </c>
      <c r="P352" s="49">
        <v>-49.562001270000003</v>
      </c>
      <c r="Q352" s="2019">
        <f t="shared" si="160"/>
        <v>-446.05801143000002</v>
      </c>
      <c r="R352" s="50">
        <v>-7.9000000000000001E-2</v>
      </c>
      <c r="S352" s="2067"/>
      <c r="T352" s="2067"/>
      <c r="U352" s="2067"/>
      <c r="V352" s="2067"/>
      <c r="W352" s="2020">
        <f t="shared" si="142"/>
        <v>4.5427099999999943E-2</v>
      </c>
      <c r="X352" s="2026">
        <f t="shared" si="143"/>
        <v>-2.2514579878924144</v>
      </c>
      <c r="Y352" s="2026">
        <f t="shared" si="144"/>
        <v>3.9153981003300005</v>
      </c>
      <c r="Z352" s="50"/>
      <c r="AA352" s="50"/>
      <c r="AB352" s="48"/>
      <c r="AC352" s="48">
        <v>-3.2544511699999998</v>
      </c>
      <c r="AD352" s="48">
        <v>-3.2544511699999998</v>
      </c>
      <c r="AE352" s="45" t="s">
        <v>18768</v>
      </c>
      <c r="AF352" s="51" t="s">
        <v>18769</v>
      </c>
      <c r="AG352" s="42"/>
      <c r="AH352" s="52" t="s">
        <v>7210</v>
      </c>
      <c r="AI352" s="197"/>
      <c r="AJ352" s="363"/>
      <c r="AK352" s="284" t="str">
        <f t="shared" si="145"/>
        <v>Please complete all cells in row</v>
      </c>
      <c r="AL352" s="363"/>
      <c r="AM352" s="224"/>
      <c r="AN352" s="224"/>
      <c r="AO352" s="224"/>
      <c r="AP352" s="224"/>
      <c r="AQ352" s="224"/>
      <c r="AR352" s="224"/>
      <c r="AS352" s="224"/>
      <c r="AT352" s="285">
        <f t="shared" si="146"/>
        <v>0</v>
      </c>
      <c r="AU352" s="285">
        <f t="shared" si="147"/>
        <v>1</v>
      </c>
      <c r="AV352" s="285">
        <f t="shared" si="148"/>
        <v>0</v>
      </c>
      <c r="AW352" s="285">
        <f t="shared" si="149"/>
        <v>0</v>
      </c>
      <c r="AX352" s="285">
        <f t="shared" si="150"/>
        <v>0</v>
      </c>
      <c r="AY352" s="285">
        <f t="shared" si="151"/>
        <v>0</v>
      </c>
      <c r="AZ352" s="285">
        <f t="shared" si="152"/>
        <v>0</v>
      </c>
      <c r="BA352" s="270"/>
      <c r="BB352" s="285">
        <f t="shared" si="153"/>
        <v>0</v>
      </c>
      <c r="BC352" s="270"/>
      <c r="BD352" s="270"/>
      <c r="BE352" s="270"/>
      <c r="BF352" s="270"/>
      <c r="BG352" s="270"/>
      <c r="BH352" s="270"/>
      <c r="BI352" s="270"/>
      <c r="BJ352" s="285">
        <f t="shared" si="154"/>
        <v>1</v>
      </c>
      <c r="BK352" s="285">
        <f t="shared" si="155"/>
        <v>1</v>
      </c>
      <c r="BL352" s="285">
        <f t="shared" si="156"/>
        <v>1</v>
      </c>
      <c r="BM352" s="285">
        <f t="shared" si="157"/>
        <v>0</v>
      </c>
      <c r="BN352" s="285">
        <f t="shared" si="158"/>
        <v>0</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7211</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7212</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7213</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7214</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7215</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7216</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7217</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7218</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7219</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7220</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7221</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7222</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hidden="1"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7223</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7224</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7225</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7226</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7227</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7228</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7229</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7230</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7231</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7232</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7233</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7234</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7235</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7236</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7237</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7238</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7239</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7240</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7241</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7242</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7243</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7244</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7245</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7246</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7247</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7248</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7249</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7250</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7251</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7252</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7253</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7254</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7255</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7256</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7257</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7258</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7259</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7260</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7261</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7262</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7263</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7264</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7265</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7266</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7267</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7268</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7269</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7270</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7271</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7272</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hidden="1"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7273</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7274</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7275</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7276</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7277</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7278</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7279</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7280</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7281</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7282</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7283</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7284</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7285</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7286</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7287</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7288</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7289</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7290</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7291</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7292</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7293</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7294</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7295</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7296</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7297</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7298</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7299</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7300</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7301</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7302</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7303</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7304</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7305</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7306</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7307</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7308</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7309</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7310</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7311</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7312</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7313</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7314</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7315</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7316</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7317</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7318</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7319</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7320</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7321</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7322</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7323</v>
      </c>
      <c r="C465" s="2050"/>
      <c r="D465" s="2050"/>
      <c r="E465" s="2050"/>
      <c r="F465" s="2051"/>
      <c r="G465" s="2051"/>
      <c r="H465" s="2052"/>
      <c r="I465" s="2052"/>
      <c r="J465" s="2053"/>
      <c r="K465" s="2054"/>
      <c r="L465" s="2053"/>
      <c r="M465" s="2055"/>
      <c r="N465" s="2022">
        <f>SUM(N315:N464)</f>
        <v>2731.6</v>
      </c>
      <c r="O465" s="2022">
        <f>SUM(O315:O464)</f>
        <v>3819.3164144975703</v>
      </c>
      <c r="P465" s="2022">
        <f>SUM(P315:P464)</f>
        <v>3819.3164144975703</v>
      </c>
      <c r="Q465" s="2021">
        <f>SUM(Q315:Q464)</f>
        <v>40346.332829438892</v>
      </c>
      <c r="R465" s="2055"/>
      <c r="S465" s="2055"/>
      <c r="T465" s="2055"/>
      <c r="U465" s="2055"/>
      <c r="V465" s="2055"/>
      <c r="W465" s="2055"/>
      <c r="X465" s="2022">
        <f>SUM(X315:X464)</f>
        <v>593.32241148713081</v>
      </c>
      <c r="Y465" s="2022">
        <f>SUM(Y315:Y464)</f>
        <v>68.128591215319261</v>
      </c>
      <c r="Z465" s="2055"/>
      <c r="AA465" s="2055"/>
      <c r="AB465" s="2022">
        <f>SUM(AB315:AB464)</f>
        <v>9.679025975530454</v>
      </c>
      <c r="AC465" s="2022">
        <f>SUM(AC315:AC464)</f>
        <v>3828.9954404731002</v>
      </c>
      <c r="AD465" s="2022">
        <f>SUM(AD315:AD464)</f>
        <v>3356.4250490000004</v>
      </c>
      <c r="AE465" s="2052"/>
      <c r="AF465" s="2057"/>
      <c r="AG465" s="42"/>
      <c r="AH465" s="54" t="s">
        <v>7324</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7325</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6"/>
      <c r="S468" s="40"/>
      <c r="T468" s="2066"/>
      <c r="U468" s="2066"/>
      <c r="V468" s="2066"/>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7326</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7327</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7328</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7329</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7330</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7331</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7332</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7333</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7334</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7335</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7336</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7337</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7338</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7339</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7340</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7341</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7342</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7343</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7344</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7345</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7346</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7347</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7348</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7349</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7350</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7351</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7352</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7353</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7354</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7355</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7356</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7357</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7358</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7359</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7360</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7361</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7362</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7363</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7364</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7365</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7366</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7367</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7368</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7369</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7370</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7371</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7372</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7373</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7374</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7375</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7376</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7377</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7378</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7379</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7380</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7381</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7382</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7383</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7384</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7385</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7386</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7387</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7388</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7389</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7390</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7391</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7392</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7393</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7394</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7395</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7396</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7397</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7398</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7399</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7400</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7401</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7402</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7403</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7404</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7405</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7406</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7407</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7408</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7409</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7410</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7411</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7412</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7413</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7414</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7415</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7416</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7417</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7418</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7419</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7420</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7421</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7422</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7423</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7424</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7425</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7426</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7427</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7428</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7429</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7430</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7431</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7432</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7433</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7434</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7435</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7436</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7437</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7438</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7439</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7440</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7441</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7442</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7443</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7444</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7445</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7446</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7447</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7448</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7449</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7450</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7451</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7452</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7453</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7454</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7455</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7456</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7457</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7458</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7459</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7460</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7461</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7462</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7463</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7464</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7465</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7466</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7467</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7468</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7469</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7470</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7471</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7472</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7473</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7474</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7475</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7476</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7"/>
      <c r="AG618" s="42"/>
      <c r="AH618" s="54" t="s">
        <v>7477</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7478</v>
      </c>
      <c r="C620" s="2071"/>
      <c r="D620" s="2071"/>
      <c r="E620" s="2071"/>
      <c r="F620" s="2072"/>
      <c r="G620" s="2072"/>
      <c r="H620" s="2073"/>
      <c r="I620" s="2073"/>
      <c r="J620" s="2074"/>
      <c r="K620" s="2075"/>
      <c r="L620" s="2074"/>
      <c r="M620" s="2076"/>
      <c r="N620" s="2023">
        <f>SUM(N159,N312,N465,N618)</f>
        <v>3883.5</v>
      </c>
      <c r="O620" s="2023">
        <f>SUM(O159,O312,O465,O618)</f>
        <v>4489.7604144975703</v>
      </c>
      <c r="P620" s="2023">
        <f>SUM(P159,P312,P465,P618)</f>
        <v>4824.7614144975705</v>
      </c>
      <c r="Q620" s="2024">
        <f>SUM(Q159,Q312,Q465,Q618)</f>
        <v>47248.726829438892</v>
      </c>
      <c r="R620" s="2076"/>
      <c r="S620" s="2076"/>
      <c r="T620" s="2076"/>
      <c r="U620" s="2076"/>
      <c r="V620" s="2076"/>
      <c r="W620" s="2076"/>
      <c r="X620" s="2023">
        <f>SUM(X159,X312,X465,X618)</f>
        <v>623.69982452713077</v>
      </c>
      <c r="Y620" s="2023">
        <f>SUM(Y159,Y312,Y465,Y618)</f>
        <v>98.506004255319255</v>
      </c>
      <c r="Z620" s="2076"/>
      <c r="AA620" s="2076"/>
      <c r="AB620" s="2023">
        <f>SUM(AB159,AB312,AB465,AB618)</f>
        <v>12.405025975530453</v>
      </c>
      <c r="AC620" s="2023">
        <f>SUM(AC159,AC312,AC465,AC618)</f>
        <v>4502.1664404731</v>
      </c>
      <c r="AD620" s="2023">
        <f>SUM(AD159,AD312,AD465,AD618)</f>
        <v>3961.0770490000004</v>
      </c>
      <c r="AE620" s="2073"/>
      <c r="AF620" s="2077"/>
      <c r="AG620" s="42"/>
      <c r="AH620" s="59" t="s">
        <v>7479</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7480</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7481</v>
      </c>
      <c r="C623" s="63">
        <v>45016</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7482</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7483</v>
      </c>
      <c r="C626" s="65">
        <v>0.1351</v>
      </c>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7484</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7485</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7486</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0.1389160594211632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7487</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2.194014717071326E-2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7488</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7489</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7490</v>
      </c>
      <c r="C634" s="2029">
        <f>IF($O$312=0,0,$O$312/$O$620)</f>
        <v>3.9700113935800405E-2</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7491</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7492</v>
      </c>
      <c r="C635" s="2030">
        <f>IF($O$159=0,0,$O$159/$O$620)</f>
        <v>0.10962723053343147</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7493</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7494</v>
      </c>
      <c r="C636" s="2030">
        <f>IF($O$465=0,0,$O$465/$O$620)</f>
        <v>0.8506726555307681</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7495</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7496</v>
      </c>
      <c r="C637" s="2030">
        <f>IF($O$618=0,0,$O$618/$O$620)</f>
        <v>0</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7497</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7498</v>
      </c>
      <c r="C638" s="2030">
        <f>IF(($O$465+$O$618)=0,0,($O$465+$O$618)/$O$620)</f>
        <v>0.8506726555307681</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7499</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7500</v>
      </c>
      <c r="C639" s="2031">
        <f>C638+C635</f>
        <v>0.96029988606419958</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7501</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10.523663284319436</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7502</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2"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49" priority="8" operator="equal">
      <formula>0</formula>
    </cfRule>
  </conditionalFormatting>
  <conditionalFormatting sqref="AK159">
    <cfRule type="cellIs" dxfId="148" priority="7" operator="equal">
      <formula>0</formula>
    </cfRule>
  </conditionalFormatting>
  <conditionalFormatting sqref="AK162:AK312">
    <cfRule type="cellIs" dxfId="147" priority="6" operator="equal">
      <formula>0</formula>
    </cfRule>
  </conditionalFormatting>
  <conditionalFormatting sqref="AK315:AK465">
    <cfRule type="cellIs" dxfId="146" priority="5" operator="equal">
      <formula>0</formula>
    </cfRule>
  </conditionalFormatting>
  <conditionalFormatting sqref="AK468:AK618">
    <cfRule type="cellIs" dxfId="145" priority="4" operator="equal">
      <formula>0</formula>
    </cfRule>
  </conditionalFormatting>
  <conditionalFormatting sqref="AK620">
    <cfRule type="cellIs" dxfId="14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50" zoomScaleNormal="50" zoomScaleSheetLayoutView="100" workbookViewId="0">
      <pane ySplit="6" topLeftCell="A10" activePane="bottomLeft" state="frozen"/>
      <selection pane="bottomLeft" activeCell="R19" sqref="R19"/>
    </sheetView>
  </sheetViews>
  <sheetFormatPr defaultColWidth="9" defaultRowHeight="15.6"/>
  <cols>
    <col min="1" max="1" width="1.59765625" style="224" customWidth="1"/>
    <col min="2" max="2" width="61.09765625" style="224" customWidth="1"/>
    <col min="3" max="3" width="7" style="224" customWidth="1"/>
    <col min="4" max="4" width="5.09765625" style="224" customWidth="1"/>
    <col min="5" max="9" width="12.5" style="224" customWidth="1"/>
    <col min="10" max="14" width="12.5" style="260" customWidth="1"/>
    <col min="15" max="15" width="1.59765625" style="260" customWidth="1"/>
    <col min="16" max="16" width="12.5" style="224" customWidth="1"/>
    <col min="17" max="17" width="1.59765625" style="224" customWidth="1"/>
    <col min="18" max="18" width="26.69921875" style="224" customWidth="1"/>
    <col min="19" max="20" width="1.59765625" style="224" customWidth="1"/>
    <col min="21" max="21" width="25.09765625" style="224" customWidth="1"/>
    <col min="22" max="22" width="1.59765625" style="263" customWidth="1"/>
    <col min="23" max="32" width="8.09765625" style="263" hidden="1" customWidth="1"/>
    <col min="33" max="33" width="1.59765625" style="263" hidden="1" customWidth="1"/>
    <col min="34" max="34" width="1.59765625" style="224" customWidth="1"/>
    <col min="35" max="35" width="43.59765625" style="224" customWidth="1"/>
    <col min="36" max="45" width="16.09765625" style="224" customWidth="1"/>
    <col min="46" max="46" width="1.59765625" style="224" customWidth="1"/>
    <col min="47" max="16384" width="9" style="224"/>
  </cols>
  <sheetData>
    <row r="1" spans="1:45" s="389" customFormat="1" ht="29.25" customHeight="1">
      <c r="B1" s="479" t="s">
        <v>7503</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Dŵr Cymru</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37" t="s">
        <v>7504</v>
      </c>
      <c r="C3" s="2837"/>
      <c r="D3" s="2837"/>
      <c r="E3" s="2837"/>
      <c r="F3" s="2837"/>
      <c r="G3" s="2837"/>
      <c r="H3" s="2837"/>
      <c r="I3" s="2837"/>
      <c r="J3" s="2837"/>
      <c r="K3" s="2837"/>
      <c r="L3" s="2837"/>
      <c r="M3" s="2837"/>
      <c r="N3" s="2837"/>
      <c r="O3" s="2837"/>
      <c r="P3" s="2837"/>
      <c r="Q3" s="2837"/>
      <c r="R3" s="2837"/>
      <c r="T3" s="342"/>
      <c r="U3" s="265" t="s">
        <v>4200</v>
      </c>
      <c r="V3" s="361"/>
      <c r="AG3" s="361"/>
      <c r="AI3" s="2837" t="s">
        <v>7504</v>
      </c>
      <c r="AJ3" s="2837"/>
      <c r="AK3" s="2837"/>
      <c r="AL3" s="2837"/>
      <c r="AM3" s="2837"/>
      <c r="AN3" s="2837"/>
      <c r="AO3" s="2837"/>
      <c r="AP3" s="2837"/>
      <c r="AQ3" s="2837"/>
      <c r="AR3" s="2837"/>
      <c r="AS3" s="2837"/>
    </row>
    <row r="4" spans="1:45" ht="15" customHeight="1" thickBot="1">
      <c r="B4" s="690"/>
      <c r="C4" s="690"/>
      <c r="D4" s="690"/>
      <c r="E4" s="690"/>
      <c r="F4" s="690"/>
      <c r="G4" s="690"/>
      <c r="H4" s="690"/>
      <c r="I4" s="690"/>
      <c r="J4" s="690"/>
      <c r="K4" s="690"/>
      <c r="L4" s="690"/>
      <c r="M4" s="690"/>
      <c r="N4" s="690"/>
      <c r="O4" s="690"/>
      <c r="P4" s="260"/>
      <c r="T4" s="345"/>
      <c r="U4" s="267"/>
      <c r="V4" s="361"/>
      <c r="W4" s="2710" t="s">
        <v>4201</v>
      </c>
      <c r="X4" s="2710"/>
      <c r="Y4" s="2710"/>
      <c r="Z4" s="2710"/>
      <c r="AA4" s="2710"/>
      <c r="AB4" s="2710"/>
      <c r="AC4" s="2710"/>
      <c r="AD4" s="2710"/>
      <c r="AE4" s="2710"/>
      <c r="AF4" s="2710"/>
      <c r="AG4" s="361"/>
      <c r="AI4" s="690"/>
      <c r="AJ4" s="690"/>
      <c r="AK4" s="690"/>
      <c r="AL4" s="690"/>
      <c r="AM4" s="690"/>
      <c r="AN4" s="690"/>
      <c r="AO4" s="690"/>
      <c r="AP4" s="690"/>
      <c r="AQ4" s="690"/>
      <c r="AR4" s="690"/>
      <c r="AS4" s="690"/>
    </row>
    <row r="5" spans="1:45" ht="15" customHeight="1" thickTop="1">
      <c r="A5" s="197"/>
      <c r="B5" s="2833" t="s">
        <v>4202</v>
      </c>
      <c r="C5" s="2715" t="s">
        <v>4203</v>
      </c>
      <c r="D5" s="2715" t="s">
        <v>4204</v>
      </c>
      <c r="E5" s="2835" t="s">
        <v>4852</v>
      </c>
      <c r="F5" s="2835"/>
      <c r="G5" s="2835"/>
      <c r="H5" s="2835"/>
      <c r="I5" s="2835"/>
      <c r="J5" s="2835" t="s">
        <v>7505</v>
      </c>
      <c r="K5" s="2835"/>
      <c r="L5" s="2835"/>
      <c r="M5" s="2835"/>
      <c r="N5" s="2836"/>
      <c r="O5" s="781"/>
      <c r="P5" s="2811" t="s">
        <v>4208</v>
      </c>
      <c r="Q5" s="197"/>
      <c r="R5" s="2811" t="s">
        <v>4209</v>
      </c>
      <c r="S5" s="197"/>
      <c r="T5" s="345"/>
      <c r="U5" s="267"/>
      <c r="V5" s="361"/>
      <c r="W5" s="269" t="s">
        <v>4210</v>
      </c>
      <c r="X5" s="270"/>
      <c r="Y5" s="270"/>
      <c r="Z5" s="270"/>
      <c r="AA5" s="270"/>
      <c r="AB5" s="270"/>
      <c r="AC5" s="270"/>
      <c r="AD5" s="270"/>
      <c r="AE5" s="270"/>
      <c r="AF5" s="270"/>
      <c r="AG5" s="361"/>
      <c r="AI5" s="2833" t="s">
        <v>4202</v>
      </c>
      <c r="AJ5" s="2835" t="s">
        <v>4852</v>
      </c>
      <c r="AK5" s="2835"/>
      <c r="AL5" s="2835"/>
      <c r="AM5" s="2835"/>
      <c r="AN5" s="2835"/>
      <c r="AO5" s="2835" t="s">
        <v>7505</v>
      </c>
      <c r="AP5" s="2835"/>
      <c r="AQ5" s="2835"/>
      <c r="AR5" s="2835"/>
      <c r="AS5" s="2836"/>
    </row>
    <row r="6" spans="1:45" ht="56.25" customHeight="1" thickBot="1">
      <c r="A6" s="197"/>
      <c r="B6" s="2834"/>
      <c r="C6" s="2838"/>
      <c r="D6" s="2838"/>
      <c r="E6" s="782" t="s">
        <v>5141</v>
      </c>
      <c r="F6" s="782" t="s">
        <v>7506</v>
      </c>
      <c r="G6" s="782" t="s">
        <v>7507</v>
      </c>
      <c r="H6" s="782" t="s">
        <v>5144</v>
      </c>
      <c r="I6" s="782" t="s">
        <v>5145</v>
      </c>
      <c r="J6" s="782" t="s">
        <v>5141</v>
      </c>
      <c r="K6" s="782" t="s">
        <v>7506</v>
      </c>
      <c r="L6" s="782" t="s">
        <v>7507</v>
      </c>
      <c r="M6" s="782" t="s">
        <v>5144</v>
      </c>
      <c r="N6" s="783" t="s">
        <v>5145</v>
      </c>
      <c r="O6" s="349"/>
      <c r="P6" s="2813"/>
      <c r="Q6" s="197"/>
      <c r="R6" s="2813"/>
      <c r="S6" s="197"/>
      <c r="T6" s="345"/>
      <c r="U6" s="267"/>
      <c r="V6" s="361"/>
      <c r="W6" s="224"/>
      <c r="X6" s="224"/>
      <c r="Y6" s="224"/>
      <c r="Z6" s="224"/>
      <c r="AA6" s="224"/>
      <c r="AB6" s="224"/>
      <c r="AC6" s="224"/>
      <c r="AD6" s="224"/>
      <c r="AE6" s="224"/>
      <c r="AF6" s="224"/>
      <c r="AG6" s="361"/>
      <c r="AI6" s="2834"/>
      <c r="AJ6" s="782" t="s">
        <v>5141</v>
      </c>
      <c r="AK6" s="782" t="s">
        <v>7506</v>
      </c>
      <c r="AL6" s="782" t="s">
        <v>7507</v>
      </c>
      <c r="AM6" s="782" t="s">
        <v>5144</v>
      </c>
      <c r="AN6" s="782" t="s">
        <v>7508</v>
      </c>
      <c r="AO6" s="782" t="s">
        <v>5141</v>
      </c>
      <c r="AP6" s="782" t="s">
        <v>7506</v>
      </c>
      <c r="AQ6" s="782" t="s">
        <v>7507</v>
      </c>
      <c r="AR6" s="782" t="s">
        <v>5144</v>
      </c>
      <c r="AS6" s="783" t="s">
        <v>7508</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2" thickTop="1" thickBot="1">
      <c r="A8" s="197"/>
      <c r="B8" s="784" t="s">
        <v>7509</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7509</v>
      </c>
      <c r="AJ8" s="786"/>
      <c r="AK8" s="349"/>
      <c r="AL8" s="349"/>
      <c r="AM8" s="349"/>
      <c r="AN8" s="349"/>
      <c r="AO8" s="349"/>
      <c r="AP8" s="349"/>
      <c r="AQ8" s="349"/>
      <c r="AR8" s="349"/>
      <c r="AS8" s="349"/>
    </row>
    <row r="9" spans="1:45" ht="45.6" thickTop="1">
      <c r="A9" s="197"/>
      <c r="B9" s="787" t="s">
        <v>7510</v>
      </c>
      <c r="C9" s="788" t="s">
        <v>4215</v>
      </c>
      <c r="D9" s="788">
        <v>3</v>
      </c>
      <c r="E9" s="789">
        <v>60.395000000000003</v>
      </c>
      <c r="F9" s="789">
        <v>234.035</v>
      </c>
      <c r="G9" s="789">
        <v>289.03399999999999</v>
      </c>
      <c r="H9" s="789">
        <v>29.338000000000001</v>
      </c>
      <c r="I9" s="789">
        <v>0</v>
      </c>
      <c r="J9" s="789">
        <v>168.584</v>
      </c>
      <c r="K9" s="789">
        <v>687.41599999999994</v>
      </c>
      <c r="L9" s="789">
        <v>814.91</v>
      </c>
      <c r="M9" s="789">
        <v>82.222999999999999</v>
      </c>
      <c r="N9" s="790">
        <v>0</v>
      </c>
      <c r="O9" s="349"/>
      <c r="P9" s="791" t="s">
        <v>7511</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7512</v>
      </c>
      <c r="AJ9" s="789" t="s">
        <v>7513</v>
      </c>
      <c r="AK9" s="789" t="s">
        <v>7514</v>
      </c>
      <c r="AL9" s="789" t="s">
        <v>7515</v>
      </c>
      <c r="AM9" s="789" t="s">
        <v>7516</v>
      </c>
      <c r="AN9" s="789" t="s">
        <v>7517</v>
      </c>
      <c r="AO9" s="789" t="s">
        <v>7518</v>
      </c>
      <c r="AP9" s="789" t="s">
        <v>7519</v>
      </c>
      <c r="AQ9" s="789" t="s">
        <v>7520</v>
      </c>
      <c r="AR9" s="789" t="s">
        <v>7521</v>
      </c>
      <c r="AS9" s="790" t="s">
        <v>7522</v>
      </c>
    </row>
    <row r="10" spans="1:45" ht="32.25" customHeight="1">
      <c r="A10" s="197"/>
      <c r="B10" s="792" t="s">
        <v>7523</v>
      </c>
      <c r="C10" s="325" t="s">
        <v>4215</v>
      </c>
      <c r="D10" s="325">
        <v>3</v>
      </c>
      <c r="E10" s="793">
        <v>60.048999999999999</v>
      </c>
      <c r="F10" s="793">
        <v>305.64699999999999</v>
      </c>
      <c r="G10" s="793">
        <v>277.47399999999999</v>
      </c>
      <c r="H10" s="793">
        <v>33.225000000000001</v>
      </c>
      <c r="I10" s="793">
        <v>0</v>
      </c>
      <c r="J10" s="793">
        <v>157.32599999999999</v>
      </c>
      <c r="K10" s="793">
        <v>780.52700000000004</v>
      </c>
      <c r="L10" s="793">
        <v>764.89700000000005</v>
      </c>
      <c r="M10" s="793">
        <v>102.02799999999999</v>
      </c>
      <c r="N10" s="794">
        <v>0</v>
      </c>
      <c r="O10" s="349"/>
      <c r="P10" s="795" t="s">
        <v>7524</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7525</v>
      </c>
      <c r="AJ10" s="793" t="s">
        <v>7526</v>
      </c>
      <c r="AK10" s="793" t="s">
        <v>7527</v>
      </c>
      <c r="AL10" s="793" t="s">
        <v>7528</v>
      </c>
      <c r="AM10" s="793" t="s">
        <v>7529</v>
      </c>
      <c r="AN10" s="793" t="s">
        <v>7530</v>
      </c>
      <c r="AO10" s="793" t="s">
        <v>7531</v>
      </c>
      <c r="AP10" s="793" t="s">
        <v>7532</v>
      </c>
      <c r="AQ10" s="793" t="s">
        <v>7533</v>
      </c>
      <c r="AR10" s="793" t="s">
        <v>7534</v>
      </c>
      <c r="AS10" s="794" t="s">
        <v>7535</v>
      </c>
    </row>
    <row r="11" spans="1:45" ht="15.75" customHeight="1">
      <c r="A11" s="197"/>
      <c r="B11" s="792" t="s">
        <v>7536</v>
      </c>
      <c r="C11" s="325" t="s">
        <v>4215</v>
      </c>
      <c r="D11" s="325">
        <v>3</v>
      </c>
      <c r="E11" s="793">
        <v>0</v>
      </c>
      <c r="F11" s="793">
        <v>0</v>
      </c>
      <c r="G11" s="793">
        <v>0</v>
      </c>
      <c r="H11" s="793">
        <v>0</v>
      </c>
      <c r="I11" s="793">
        <v>0</v>
      </c>
      <c r="J11" s="793">
        <v>0</v>
      </c>
      <c r="K11" s="793">
        <v>0</v>
      </c>
      <c r="L11" s="793">
        <v>25.751999999999999</v>
      </c>
      <c r="M11" s="793">
        <v>0</v>
      </c>
      <c r="N11" s="794">
        <v>0</v>
      </c>
      <c r="O11" s="349"/>
      <c r="P11" s="795" t="s">
        <v>7537</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7536</v>
      </c>
      <c r="AJ11" s="793" t="s">
        <v>7538</v>
      </c>
      <c r="AK11" s="793" t="s">
        <v>7539</v>
      </c>
      <c r="AL11" s="793" t="s">
        <v>7540</v>
      </c>
      <c r="AM11" s="793" t="s">
        <v>7541</v>
      </c>
      <c r="AN11" s="793" t="s">
        <v>7542</v>
      </c>
      <c r="AO11" s="793" t="s">
        <v>7543</v>
      </c>
      <c r="AP11" s="793" t="s">
        <v>7544</v>
      </c>
      <c r="AQ11" s="793" t="s">
        <v>7545</v>
      </c>
      <c r="AR11" s="793" t="s">
        <v>7546</v>
      </c>
      <c r="AS11" s="794" t="s">
        <v>7547</v>
      </c>
    </row>
    <row r="12" spans="1:45" ht="15.75" customHeight="1">
      <c r="A12" s="197"/>
      <c r="B12" s="792" t="s">
        <v>7548</v>
      </c>
      <c r="C12" s="325" t="s">
        <v>4215</v>
      </c>
      <c r="D12" s="325">
        <v>3</v>
      </c>
      <c r="E12" s="793">
        <v>9.5790000000000006</v>
      </c>
      <c r="F12" s="793">
        <v>21.96</v>
      </c>
      <c r="G12" s="793">
        <v>10.693000000000001</v>
      </c>
      <c r="H12" s="793">
        <v>0</v>
      </c>
      <c r="I12" s="793">
        <v>0</v>
      </c>
      <c r="J12" s="793">
        <v>16.432000000000002</v>
      </c>
      <c r="K12" s="793">
        <v>64.819999999999993</v>
      </c>
      <c r="L12" s="793">
        <v>26.333000000000002</v>
      </c>
      <c r="M12" s="793">
        <v>0.82500000000000007</v>
      </c>
      <c r="N12" s="796">
        <v>0</v>
      </c>
      <c r="O12" s="349"/>
      <c r="P12" s="795" t="s">
        <v>7549</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7548</v>
      </c>
      <c r="AJ12" s="793" t="s">
        <v>7550</v>
      </c>
      <c r="AK12" s="793" t="s">
        <v>7551</v>
      </c>
      <c r="AL12" s="793" t="s">
        <v>7552</v>
      </c>
      <c r="AM12" s="793" t="s">
        <v>7553</v>
      </c>
      <c r="AN12" s="793" t="s">
        <v>7554</v>
      </c>
      <c r="AO12" s="793" t="s">
        <v>7555</v>
      </c>
      <c r="AP12" s="793" t="s">
        <v>7556</v>
      </c>
      <c r="AQ12" s="793" t="s">
        <v>7557</v>
      </c>
      <c r="AR12" s="793" t="s">
        <v>7558</v>
      </c>
      <c r="AS12" s="796" t="s">
        <v>7559</v>
      </c>
    </row>
    <row r="13" spans="1:45" ht="33" customHeight="1">
      <c r="A13" s="197"/>
      <c r="B13" s="792" t="s">
        <v>7560</v>
      </c>
      <c r="C13" s="325" t="s">
        <v>4215</v>
      </c>
      <c r="D13" s="325">
        <v>3</v>
      </c>
      <c r="E13" s="797">
        <f>IFERROR(E10 + E11 - E12, 0)</f>
        <v>50.47</v>
      </c>
      <c r="F13" s="797">
        <f t="shared" ref="F13:N13" si="12">IFERROR(F10 + F11 - F12, 0)</f>
        <v>283.68700000000001</v>
      </c>
      <c r="G13" s="797">
        <f t="shared" si="12"/>
        <v>266.78100000000001</v>
      </c>
      <c r="H13" s="797">
        <f t="shared" ref="H13" si="13">IFERROR(H10 + H11 - H12, 0)</f>
        <v>33.225000000000001</v>
      </c>
      <c r="I13" s="797">
        <f t="shared" si="12"/>
        <v>0</v>
      </c>
      <c r="J13" s="797">
        <f t="shared" si="12"/>
        <v>140.89400000000001</v>
      </c>
      <c r="K13" s="797">
        <f t="shared" si="12"/>
        <v>715.70700000000011</v>
      </c>
      <c r="L13" s="797">
        <f t="shared" si="12"/>
        <v>764.31600000000003</v>
      </c>
      <c r="M13" s="797">
        <f t="shared" ref="M13" si="14">IFERROR(M10 + M11 - M12, 0)</f>
        <v>101.20299999999999</v>
      </c>
      <c r="N13" s="798">
        <f t="shared" si="12"/>
        <v>0</v>
      </c>
      <c r="O13" s="349"/>
      <c r="P13" s="795" t="s">
        <v>7561</v>
      </c>
      <c r="Q13" s="197"/>
      <c r="R13" s="291"/>
      <c r="S13" s="197"/>
      <c r="T13" s="363"/>
      <c r="U13" s="267"/>
      <c r="V13" s="361"/>
      <c r="W13" s="224"/>
      <c r="X13" s="224"/>
      <c r="Y13" s="224"/>
      <c r="Z13" s="224"/>
      <c r="AA13" s="224"/>
      <c r="AB13" s="224"/>
      <c r="AC13" s="224"/>
      <c r="AD13" s="224"/>
      <c r="AE13" s="224"/>
      <c r="AF13" s="224"/>
      <c r="AG13" s="361"/>
      <c r="AI13" s="792" t="s">
        <v>7560</v>
      </c>
      <c r="AJ13" s="797" t="s">
        <v>7562</v>
      </c>
      <c r="AK13" s="797" t="s">
        <v>7563</v>
      </c>
      <c r="AL13" s="797" t="s">
        <v>7564</v>
      </c>
      <c r="AM13" s="797" t="s">
        <v>7565</v>
      </c>
      <c r="AN13" s="797" t="s">
        <v>7566</v>
      </c>
      <c r="AO13" s="797" t="s">
        <v>7567</v>
      </c>
      <c r="AP13" s="797" t="s">
        <v>7568</v>
      </c>
      <c r="AQ13" s="797" t="s">
        <v>7569</v>
      </c>
      <c r="AR13" s="797" t="s">
        <v>7570</v>
      </c>
      <c r="AS13" s="798" t="s">
        <v>7571</v>
      </c>
    </row>
    <row r="14" spans="1:45" ht="15.75" customHeight="1">
      <c r="A14" s="197"/>
      <c r="B14" s="792" t="s">
        <v>7572</v>
      </c>
      <c r="C14" s="325" t="s">
        <v>4215</v>
      </c>
      <c r="D14" s="325">
        <v>3</v>
      </c>
      <c r="E14" s="797">
        <f>IFERROR(E13 - E9, 0)</f>
        <v>-9.9250000000000043</v>
      </c>
      <c r="F14" s="797">
        <f>IFERROR(F13 - F9, 0)</f>
        <v>49.652000000000015</v>
      </c>
      <c r="G14" s="797">
        <f t="shared" ref="G14:N14" si="15">IFERROR(G13 - G9, 0)</f>
        <v>-22.252999999999986</v>
      </c>
      <c r="H14" s="797">
        <f t="shared" ref="H14" si="16">IFERROR(H13 - H9, 0)</f>
        <v>3.8870000000000005</v>
      </c>
      <c r="I14" s="797">
        <f t="shared" si="15"/>
        <v>0</v>
      </c>
      <c r="J14" s="797">
        <f t="shared" si="15"/>
        <v>-27.689999999999998</v>
      </c>
      <c r="K14" s="797">
        <f t="shared" si="15"/>
        <v>28.291000000000167</v>
      </c>
      <c r="L14" s="797">
        <f t="shared" si="15"/>
        <v>-50.593999999999937</v>
      </c>
      <c r="M14" s="797">
        <f t="shared" ref="M14" si="17">IFERROR(M13 - M9, 0)</f>
        <v>18.97999999999999</v>
      </c>
      <c r="N14" s="798">
        <f t="shared" si="15"/>
        <v>0</v>
      </c>
      <c r="O14" s="349"/>
      <c r="P14" s="795" t="s">
        <v>7573</v>
      </c>
      <c r="Q14" s="197"/>
      <c r="R14" s="291"/>
      <c r="S14" s="197"/>
      <c r="T14" s="363"/>
      <c r="U14" s="267"/>
      <c r="V14" s="361"/>
      <c r="W14" s="224"/>
      <c r="X14" s="224"/>
      <c r="Y14" s="224"/>
      <c r="Z14" s="224"/>
      <c r="AA14" s="224"/>
      <c r="AB14" s="224"/>
      <c r="AC14" s="224"/>
      <c r="AD14" s="224"/>
      <c r="AE14" s="224"/>
      <c r="AF14" s="224"/>
      <c r="AG14" s="361"/>
      <c r="AI14" s="792" t="s">
        <v>7572</v>
      </c>
      <c r="AJ14" s="797" t="s">
        <v>7574</v>
      </c>
      <c r="AK14" s="797" t="s">
        <v>7575</v>
      </c>
      <c r="AL14" s="797" t="s">
        <v>7576</v>
      </c>
      <c r="AM14" s="797" t="s">
        <v>7577</v>
      </c>
      <c r="AN14" s="797" t="s">
        <v>7578</v>
      </c>
      <c r="AO14" s="797" t="s">
        <v>7579</v>
      </c>
      <c r="AP14" s="797" t="s">
        <v>7580</v>
      </c>
      <c r="AQ14" s="797" t="s">
        <v>7581</v>
      </c>
      <c r="AR14" s="797" t="s">
        <v>7582</v>
      </c>
      <c r="AS14" s="798" t="s">
        <v>7583</v>
      </c>
    </row>
    <row r="15" spans="1:45" ht="15.75" customHeight="1">
      <c r="A15" s="197"/>
      <c r="B15" s="792" t="s">
        <v>7584</v>
      </c>
      <c r="C15" s="325" t="s">
        <v>4215</v>
      </c>
      <c r="D15" s="325">
        <v>3</v>
      </c>
      <c r="E15" s="799">
        <v>0.68</v>
      </c>
      <c r="F15" s="799">
        <v>-7.74</v>
      </c>
      <c r="G15" s="799">
        <v>-29.38</v>
      </c>
      <c r="H15" s="799">
        <v>0.72</v>
      </c>
      <c r="I15" s="799">
        <v>0</v>
      </c>
      <c r="J15" s="799">
        <v>6.931</v>
      </c>
      <c r="K15" s="799">
        <v>-40.862000000000002</v>
      </c>
      <c r="L15" s="799">
        <v>-67.256</v>
      </c>
      <c r="M15" s="799">
        <v>1.06</v>
      </c>
      <c r="N15" s="800">
        <v>0</v>
      </c>
      <c r="O15" s="349"/>
      <c r="P15" s="795" t="s">
        <v>7585</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7584</v>
      </c>
      <c r="AJ15" s="799" t="s">
        <v>7586</v>
      </c>
      <c r="AK15" s="799" t="s">
        <v>7587</v>
      </c>
      <c r="AL15" s="799" t="s">
        <v>7588</v>
      </c>
      <c r="AM15" s="799" t="s">
        <v>7589</v>
      </c>
      <c r="AN15" s="799" t="s">
        <v>7590</v>
      </c>
      <c r="AO15" s="799" t="s">
        <v>7591</v>
      </c>
      <c r="AP15" s="799" t="s">
        <v>7592</v>
      </c>
      <c r="AQ15" s="799" t="s">
        <v>7593</v>
      </c>
      <c r="AR15" s="799" t="s">
        <v>7594</v>
      </c>
      <c r="AS15" s="800" t="s">
        <v>7595</v>
      </c>
    </row>
    <row r="16" spans="1:45" ht="15.75" customHeight="1">
      <c r="A16" s="197"/>
      <c r="B16" s="792" t="s">
        <v>7596</v>
      </c>
      <c r="C16" s="325" t="s">
        <v>4215</v>
      </c>
      <c r="D16" s="325">
        <v>3</v>
      </c>
      <c r="E16" s="797">
        <f>IFERROR(E14 - E15, 0)</f>
        <v>-10.605000000000004</v>
      </c>
      <c r="F16" s="797">
        <f t="shared" ref="F16:L16" si="28">IFERROR(F14 - F15, 0)</f>
        <v>57.392000000000017</v>
      </c>
      <c r="G16" s="797">
        <f t="shared" si="28"/>
        <v>7.1270000000000131</v>
      </c>
      <c r="H16" s="797">
        <f>IFERROR(H14 - H15, 0)</f>
        <v>3.1670000000000007</v>
      </c>
      <c r="I16" s="797">
        <f t="shared" si="28"/>
        <v>0</v>
      </c>
      <c r="J16" s="797">
        <f t="shared" si="28"/>
        <v>-34.620999999999995</v>
      </c>
      <c r="K16" s="797">
        <f t="shared" si="28"/>
        <v>69.153000000000162</v>
      </c>
      <c r="L16" s="797">
        <f t="shared" si="28"/>
        <v>16.662000000000063</v>
      </c>
      <c r="M16" s="797">
        <f t="shared" ref="M16" si="29">IFERROR(M14 - M15, 0)</f>
        <v>17.919999999999991</v>
      </c>
      <c r="N16" s="798">
        <f>IFERROR(N14 - N15, 0)</f>
        <v>0</v>
      </c>
      <c r="O16" s="349"/>
      <c r="P16" s="795" t="s">
        <v>7597</v>
      </c>
      <c r="Q16" s="197"/>
      <c r="R16" s="291"/>
      <c r="S16" s="197"/>
      <c r="T16" s="363"/>
      <c r="U16" s="267"/>
      <c r="V16" s="361"/>
      <c r="W16" s="224"/>
      <c r="X16" s="224"/>
      <c r="Y16" s="224"/>
      <c r="Z16" s="224"/>
      <c r="AA16" s="224"/>
      <c r="AB16" s="224"/>
      <c r="AC16" s="224"/>
      <c r="AD16" s="224"/>
      <c r="AE16" s="224"/>
      <c r="AF16" s="224"/>
      <c r="AG16" s="361"/>
      <c r="AI16" s="792" t="s">
        <v>7596</v>
      </c>
      <c r="AJ16" s="797" t="s">
        <v>7598</v>
      </c>
      <c r="AK16" s="797" t="s">
        <v>7599</v>
      </c>
      <c r="AL16" s="797" t="s">
        <v>7600</v>
      </c>
      <c r="AM16" s="797" t="s">
        <v>7601</v>
      </c>
      <c r="AN16" s="797" t="s">
        <v>7602</v>
      </c>
      <c r="AO16" s="797" t="s">
        <v>7603</v>
      </c>
      <c r="AP16" s="797" t="s">
        <v>7604</v>
      </c>
      <c r="AQ16" s="797" t="s">
        <v>7605</v>
      </c>
      <c r="AR16" s="797" t="s">
        <v>7606</v>
      </c>
      <c r="AS16" s="798" t="s">
        <v>7607</v>
      </c>
    </row>
    <row r="17" spans="1:45" ht="15.75" customHeight="1">
      <c r="A17" s="197"/>
      <c r="B17" s="792" t="s">
        <v>7608</v>
      </c>
      <c r="C17" s="325" t="s">
        <v>4805</v>
      </c>
      <c r="D17" s="325">
        <v>2</v>
      </c>
      <c r="E17" s="2088">
        <v>0.57340000000000002</v>
      </c>
      <c r="F17" s="2088">
        <v>0.57340000000000002</v>
      </c>
      <c r="G17" s="2088">
        <v>0.58489999999999998</v>
      </c>
      <c r="H17" s="2088">
        <v>0</v>
      </c>
      <c r="I17" s="2088">
        <v>0</v>
      </c>
      <c r="J17" s="2088">
        <v>0.57340000000000002</v>
      </c>
      <c r="K17" s="2088">
        <v>0.57340000000000002</v>
      </c>
      <c r="L17" s="2088">
        <v>0.58489999999999998</v>
      </c>
      <c r="M17" s="2088">
        <v>0</v>
      </c>
      <c r="N17" s="2089">
        <v>0</v>
      </c>
      <c r="O17" s="349"/>
      <c r="P17" s="803" t="s">
        <v>7609</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7608</v>
      </c>
      <c r="AJ17" s="801" t="s">
        <v>7610</v>
      </c>
      <c r="AK17" s="801" t="s">
        <v>7611</v>
      </c>
      <c r="AL17" s="801" t="s">
        <v>7612</v>
      </c>
      <c r="AM17" s="801" t="s">
        <v>7613</v>
      </c>
      <c r="AN17" s="801" t="s">
        <v>7614</v>
      </c>
      <c r="AO17" s="801" t="s">
        <v>7615</v>
      </c>
      <c r="AP17" s="801" t="s">
        <v>7616</v>
      </c>
      <c r="AQ17" s="801" t="s">
        <v>7617</v>
      </c>
      <c r="AR17" s="801" t="s">
        <v>7618</v>
      </c>
      <c r="AS17" s="802" t="s">
        <v>7619</v>
      </c>
    </row>
    <row r="18" spans="1:45" ht="15.75" customHeight="1">
      <c r="A18" s="197"/>
      <c r="B18" s="792" t="s">
        <v>7620</v>
      </c>
      <c r="C18" s="325" t="s">
        <v>4805</v>
      </c>
      <c r="D18" s="325">
        <v>2</v>
      </c>
      <c r="E18" s="804">
        <v>0.42659999999999998</v>
      </c>
      <c r="F18" s="804">
        <v>0.42659999999999998</v>
      </c>
      <c r="G18" s="804">
        <v>0.41510000000000002</v>
      </c>
      <c r="H18" s="804">
        <v>0</v>
      </c>
      <c r="I18" s="804">
        <v>0</v>
      </c>
      <c r="J18" s="804">
        <v>0.42659999999999998</v>
      </c>
      <c r="K18" s="804">
        <v>0.42659999999999998</v>
      </c>
      <c r="L18" s="804">
        <v>0.41510000000000002</v>
      </c>
      <c r="M18" s="2088">
        <v>0</v>
      </c>
      <c r="N18" s="805">
        <v>0</v>
      </c>
      <c r="O18" s="349"/>
      <c r="P18" s="803" t="s">
        <v>7621</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7620</v>
      </c>
      <c r="AJ18" s="804" t="s">
        <v>7622</v>
      </c>
      <c r="AK18" s="804" t="s">
        <v>7623</v>
      </c>
      <c r="AL18" s="804" t="s">
        <v>7624</v>
      </c>
      <c r="AM18" s="804" t="s">
        <v>7625</v>
      </c>
      <c r="AN18" s="804" t="s">
        <v>7626</v>
      </c>
      <c r="AO18" s="804" t="s">
        <v>7627</v>
      </c>
      <c r="AP18" s="804" t="s">
        <v>7628</v>
      </c>
      <c r="AQ18" s="804" t="s">
        <v>7629</v>
      </c>
      <c r="AR18" s="801" t="s">
        <v>7630</v>
      </c>
      <c r="AS18" s="805" t="s">
        <v>7631</v>
      </c>
    </row>
    <row r="19" spans="1:45" ht="15.75" customHeight="1">
      <c r="A19" s="197"/>
      <c r="B19" s="792" t="s">
        <v>7632</v>
      </c>
      <c r="C19" s="325" t="s">
        <v>4215</v>
      </c>
      <c r="D19" s="325">
        <v>3</v>
      </c>
      <c r="E19" s="797">
        <f>IF(E16&gt;0, E16*E18,0)</f>
        <v>0</v>
      </c>
      <c r="F19" s="797">
        <f>IF(F16&gt;0, F16*F18,0)</f>
        <v>24.483427200000005</v>
      </c>
      <c r="G19" s="797">
        <f>IF(G16&gt;0, G16*G18,0)</f>
        <v>2.9584177000000058</v>
      </c>
      <c r="H19" s="797">
        <f>IF(H16&gt;0, H16*H17,0)</f>
        <v>0</v>
      </c>
      <c r="I19" s="797">
        <f>IF(I16&gt;0, I16*I17,0)</f>
        <v>0</v>
      </c>
      <c r="J19" s="797">
        <f>IF(J16&gt;0, J16*J18,0)</f>
        <v>0</v>
      </c>
      <c r="K19" s="797">
        <f>IF(K16&gt;0, K16*K18,0)</f>
        <v>29.500669800000068</v>
      </c>
      <c r="L19" s="797">
        <f>IF(L16&gt;0, L16*L18,0)</f>
        <v>6.916396200000027</v>
      </c>
      <c r="M19" s="797">
        <f>IF(M16&gt;0, M16*M18,0)</f>
        <v>0</v>
      </c>
      <c r="N19" s="798">
        <f t="shared" ref="N19" si="41">IF(N16&gt;0, N16*N17,0)</f>
        <v>0</v>
      </c>
      <c r="O19" s="349"/>
      <c r="P19" s="803" t="s">
        <v>7633</v>
      </c>
      <c r="Q19" s="197"/>
      <c r="R19" s="291" t="s">
        <v>18770</v>
      </c>
      <c r="S19" s="197"/>
      <c r="T19" s="363"/>
      <c r="U19" s="267"/>
      <c r="V19" s="361"/>
      <c r="W19" s="224"/>
      <c r="X19" s="224"/>
      <c r="Y19" s="224"/>
      <c r="Z19" s="224"/>
      <c r="AA19" s="224"/>
      <c r="AB19" s="224"/>
      <c r="AC19" s="224"/>
      <c r="AD19" s="224"/>
      <c r="AE19" s="224"/>
      <c r="AF19" s="224"/>
      <c r="AG19" s="361"/>
      <c r="AI19" s="792" t="s">
        <v>7632</v>
      </c>
      <c r="AJ19" s="797" t="s">
        <v>7634</v>
      </c>
      <c r="AK19" s="797" t="s">
        <v>7635</v>
      </c>
      <c r="AL19" s="797" t="s">
        <v>7636</v>
      </c>
      <c r="AM19" s="797" t="s">
        <v>7637</v>
      </c>
      <c r="AN19" s="797" t="s">
        <v>7638</v>
      </c>
      <c r="AO19" s="797" t="s">
        <v>7639</v>
      </c>
      <c r="AP19" s="797" t="s">
        <v>7640</v>
      </c>
      <c r="AQ19" s="797" t="s">
        <v>7641</v>
      </c>
      <c r="AR19" s="797" t="s">
        <v>7642</v>
      </c>
      <c r="AS19" s="798" t="s">
        <v>7643</v>
      </c>
    </row>
    <row r="20" spans="1:45" ht="15.75" customHeight="1">
      <c r="A20" s="197"/>
      <c r="B20" s="792" t="s">
        <v>7644</v>
      </c>
      <c r="C20" s="325" t="s">
        <v>4215</v>
      </c>
      <c r="D20" s="325">
        <v>3</v>
      </c>
      <c r="E20" s="797">
        <f>IF(E16&lt;0, E16*E17, 0)</f>
        <v>-6.0809070000000025</v>
      </c>
      <c r="F20" s="797">
        <f>IF(F16&lt;0, F16*F17, 0)</f>
        <v>0</v>
      </c>
      <c r="G20" s="797">
        <f>IF(G16&lt;0, G16*G17, 0)</f>
        <v>0</v>
      </c>
      <c r="H20" s="797">
        <f>IF(H16&lt;0, H16*H17, 0)</f>
        <v>0</v>
      </c>
      <c r="I20" s="797">
        <f t="shared" ref="I20:N20" si="42">IF(I16&lt;0, I16*I17, 0)</f>
        <v>0</v>
      </c>
      <c r="J20" s="797">
        <f t="shared" si="42"/>
        <v>-19.851681399999997</v>
      </c>
      <c r="K20" s="797">
        <f t="shared" si="42"/>
        <v>0</v>
      </c>
      <c r="L20" s="797">
        <f t="shared" si="42"/>
        <v>0</v>
      </c>
      <c r="M20" s="797">
        <f t="shared" si="42"/>
        <v>0</v>
      </c>
      <c r="N20" s="798">
        <f t="shared" si="42"/>
        <v>0</v>
      </c>
      <c r="O20" s="349"/>
      <c r="P20" s="803" t="s">
        <v>7645</v>
      </c>
      <c r="Q20" s="197"/>
      <c r="R20" s="291"/>
      <c r="S20" s="197"/>
      <c r="T20" s="363"/>
      <c r="U20" s="267"/>
      <c r="V20" s="361"/>
      <c r="W20" s="224"/>
      <c r="X20" s="224"/>
      <c r="Y20" s="224"/>
      <c r="Z20" s="224"/>
      <c r="AA20" s="224"/>
      <c r="AB20" s="224"/>
      <c r="AC20" s="224"/>
      <c r="AD20" s="224"/>
      <c r="AE20" s="224"/>
      <c r="AF20" s="224"/>
      <c r="AG20" s="361"/>
      <c r="AI20" s="792" t="s">
        <v>7644</v>
      </c>
      <c r="AJ20" s="797" t="s">
        <v>7646</v>
      </c>
      <c r="AK20" s="797" t="s">
        <v>7647</v>
      </c>
      <c r="AL20" s="797" t="s">
        <v>7648</v>
      </c>
      <c r="AM20" s="797" t="s">
        <v>7649</v>
      </c>
      <c r="AN20" s="797" t="s">
        <v>7650</v>
      </c>
      <c r="AO20" s="797" t="s">
        <v>7651</v>
      </c>
      <c r="AP20" s="797" t="s">
        <v>7652</v>
      </c>
      <c r="AQ20" s="797" t="s">
        <v>7653</v>
      </c>
      <c r="AR20" s="797" t="s">
        <v>7654</v>
      </c>
      <c r="AS20" s="798" t="s">
        <v>7655</v>
      </c>
    </row>
    <row r="21" spans="1:45" ht="15.75" customHeight="1">
      <c r="A21" s="197"/>
      <c r="B21" s="792" t="s">
        <v>7656</v>
      </c>
      <c r="C21" s="325" t="s">
        <v>4215</v>
      </c>
      <c r="D21" s="325">
        <v>3</v>
      </c>
      <c r="E21" s="797">
        <f t="shared" ref="E21:N21" si="43">IF(E19=0, 0, E16-E19)</f>
        <v>0</v>
      </c>
      <c r="F21" s="797">
        <f t="shared" si="43"/>
        <v>32.908572800000016</v>
      </c>
      <c r="G21" s="797">
        <f t="shared" si="43"/>
        <v>4.1685823000000077</v>
      </c>
      <c r="H21" s="797">
        <f>IF(H16&gt;0, H16,0)</f>
        <v>3.1670000000000007</v>
      </c>
      <c r="I21" s="797">
        <f t="shared" si="43"/>
        <v>0</v>
      </c>
      <c r="J21" s="797">
        <f t="shared" si="43"/>
        <v>0</v>
      </c>
      <c r="K21" s="797">
        <f t="shared" si="43"/>
        <v>39.652330200000094</v>
      </c>
      <c r="L21" s="797">
        <f t="shared" si="43"/>
        <v>9.7456038000000369</v>
      </c>
      <c r="M21" s="797">
        <f>IF(M16&gt;0, M16,0)</f>
        <v>17.919999999999991</v>
      </c>
      <c r="N21" s="798">
        <f t="shared" si="43"/>
        <v>0</v>
      </c>
      <c r="O21" s="349"/>
      <c r="P21" s="803" t="s">
        <v>7657</v>
      </c>
      <c r="Q21" s="197"/>
      <c r="R21" s="291"/>
      <c r="S21" s="197"/>
      <c r="T21" s="363"/>
      <c r="U21" s="267"/>
      <c r="V21" s="361"/>
      <c r="W21" s="224"/>
      <c r="X21" s="224"/>
      <c r="Y21" s="224"/>
      <c r="Z21" s="224"/>
      <c r="AA21" s="224"/>
      <c r="AB21" s="224"/>
      <c r="AC21" s="224"/>
      <c r="AD21" s="224"/>
      <c r="AE21" s="224"/>
      <c r="AF21" s="224"/>
      <c r="AG21" s="361"/>
      <c r="AI21" s="792" t="s">
        <v>7656</v>
      </c>
      <c r="AJ21" s="797" t="s">
        <v>7658</v>
      </c>
      <c r="AK21" s="797" t="s">
        <v>7659</v>
      </c>
      <c r="AL21" s="797" t="s">
        <v>7660</v>
      </c>
      <c r="AM21" s="797" t="s">
        <v>7661</v>
      </c>
      <c r="AN21" s="797" t="s">
        <v>7662</v>
      </c>
      <c r="AO21" s="797" t="s">
        <v>7663</v>
      </c>
      <c r="AP21" s="797" t="s">
        <v>7664</v>
      </c>
      <c r="AQ21" s="797" t="s">
        <v>7665</v>
      </c>
      <c r="AR21" s="797" t="s">
        <v>7666</v>
      </c>
      <c r="AS21" s="798" t="s">
        <v>7667</v>
      </c>
    </row>
    <row r="22" spans="1:45" ht="15.75" customHeight="1" thickBot="1">
      <c r="A22" s="197"/>
      <c r="B22" s="453" t="s">
        <v>7668</v>
      </c>
      <c r="C22" s="332" t="s">
        <v>4215</v>
      </c>
      <c r="D22" s="332">
        <v>3</v>
      </c>
      <c r="E22" s="806">
        <f t="shared" ref="E22:N22" si="44">IF(E20=0, 0, E16-E20)</f>
        <v>-4.5240930000000015</v>
      </c>
      <c r="F22" s="806">
        <f t="shared" si="44"/>
        <v>0</v>
      </c>
      <c r="G22" s="806">
        <f t="shared" si="44"/>
        <v>0</v>
      </c>
      <c r="H22" s="806">
        <f>IF(H16&lt;0, H16,0)</f>
        <v>0</v>
      </c>
      <c r="I22" s="806">
        <f t="shared" si="44"/>
        <v>0</v>
      </c>
      <c r="J22" s="806">
        <f t="shared" si="44"/>
        <v>-14.769318599999998</v>
      </c>
      <c r="K22" s="806">
        <f t="shared" si="44"/>
        <v>0</v>
      </c>
      <c r="L22" s="806">
        <f t="shared" si="44"/>
        <v>0</v>
      </c>
      <c r="M22" s="806">
        <f>IF(M16&lt;0, M16,0)</f>
        <v>0</v>
      </c>
      <c r="N22" s="807">
        <f t="shared" si="44"/>
        <v>0</v>
      </c>
      <c r="O22" s="349"/>
      <c r="P22" s="808" t="s">
        <v>7669</v>
      </c>
      <c r="Q22" s="197"/>
      <c r="R22" s="302"/>
      <c r="S22" s="197"/>
      <c r="T22" s="363"/>
      <c r="U22" s="267"/>
      <c r="V22" s="361"/>
      <c r="W22" s="224"/>
      <c r="X22" s="224"/>
      <c r="Y22" s="224"/>
      <c r="Z22" s="224"/>
      <c r="AA22" s="224"/>
      <c r="AB22" s="224"/>
      <c r="AC22" s="224"/>
      <c r="AD22" s="224"/>
      <c r="AE22" s="224"/>
      <c r="AF22" s="224"/>
      <c r="AG22" s="361"/>
      <c r="AI22" s="453" t="s">
        <v>7668</v>
      </c>
      <c r="AJ22" s="806" t="s">
        <v>7670</v>
      </c>
      <c r="AK22" s="806" t="s">
        <v>7671</v>
      </c>
      <c r="AL22" s="806" t="s">
        <v>7672</v>
      </c>
      <c r="AM22" s="806" t="s">
        <v>7673</v>
      </c>
      <c r="AN22" s="806" t="s">
        <v>7674</v>
      </c>
      <c r="AO22" s="806" t="s">
        <v>7675</v>
      </c>
      <c r="AP22" s="806" t="s">
        <v>7676</v>
      </c>
      <c r="AQ22" s="806" t="s">
        <v>7677</v>
      </c>
      <c r="AR22" s="806" t="s">
        <v>7678</v>
      </c>
      <c r="AS22" s="807" t="s">
        <v>7679</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7680</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7680</v>
      </c>
      <c r="AJ24" s="34"/>
      <c r="AK24" s="349"/>
      <c r="AL24" s="349"/>
      <c r="AM24" s="349"/>
      <c r="AN24" s="349"/>
      <c r="AO24" s="349"/>
      <c r="AP24" s="349"/>
      <c r="AQ24" s="349"/>
      <c r="AR24" s="349"/>
      <c r="AS24" s="349"/>
    </row>
    <row r="25" spans="1:45" ht="30.6" thickTop="1">
      <c r="A25" s="197"/>
      <c r="B25" s="787" t="s">
        <v>7681</v>
      </c>
      <c r="C25" s="788" t="s">
        <v>4215</v>
      </c>
      <c r="D25" s="788">
        <v>3</v>
      </c>
      <c r="E25" s="809">
        <v>9.9339999999999993</v>
      </c>
      <c r="F25" s="809">
        <v>17.399000000000001</v>
      </c>
      <c r="G25" s="809">
        <v>10.343</v>
      </c>
      <c r="H25" s="809">
        <v>0.58799999999999997</v>
      </c>
      <c r="I25" s="809">
        <v>0</v>
      </c>
      <c r="J25" s="809">
        <v>27.876999999999995</v>
      </c>
      <c r="K25" s="809">
        <v>48.825000000000003</v>
      </c>
      <c r="L25" s="809">
        <v>29.025000000000002</v>
      </c>
      <c r="M25" s="809">
        <v>1.6510000000000002</v>
      </c>
      <c r="N25" s="810">
        <v>0</v>
      </c>
      <c r="O25" s="349"/>
      <c r="P25" s="791" t="s">
        <v>7682</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7681</v>
      </c>
      <c r="AJ25" s="809" t="s">
        <v>7683</v>
      </c>
      <c r="AK25" s="809" t="s">
        <v>7684</v>
      </c>
      <c r="AL25" s="809" t="s">
        <v>7685</v>
      </c>
      <c r="AM25" s="809" t="s">
        <v>7686</v>
      </c>
      <c r="AN25" s="809" t="s">
        <v>7687</v>
      </c>
      <c r="AO25" s="809" t="s">
        <v>7688</v>
      </c>
      <c r="AP25" s="809" t="s">
        <v>7689</v>
      </c>
      <c r="AQ25" s="809" t="s">
        <v>7690</v>
      </c>
      <c r="AR25" s="809" t="s">
        <v>7691</v>
      </c>
      <c r="AS25" s="810" t="s">
        <v>7692</v>
      </c>
    </row>
    <row r="26" spans="1:45" ht="15.75" customHeight="1">
      <c r="A26" s="197"/>
      <c r="B26" s="792" t="s">
        <v>7693</v>
      </c>
      <c r="C26" s="325" t="s">
        <v>4215</v>
      </c>
      <c r="D26" s="325">
        <v>3</v>
      </c>
      <c r="E26" s="799">
        <v>11.894</v>
      </c>
      <c r="F26" s="799">
        <v>14.153</v>
      </c>
      <c r="G26" s="799">
        <v>8.2910000000000004</v>
      </c>
      <c r="H26" s="799">
        <v>0.64</v>
      </c>
      <c r="I26" s="799">
        <v>0</v>
      </c>
      <c r="J26" s="799">
        <v>32.481999999999999</v>
      </c>
      <c r="K26" s="799">
        <v>45.408999999999999</v>
      </c>
      <c r="L26" s="799">
        <v>24.295999999999999</v>
      </c>
      <c r="M26" s="799">
        <v>1.8520000000000001</v>
      </c>
      <c r="N26" s="800">
        <v>0</v>
      </c>
      <c r="O26" s="349"/>
      <c r="P26" s="795" t="s">
        <v>7694</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7693</v>
      </c>
      <c r="AJ26" s="799" t="s">
        <v>7695</v>
      </c>
      <c r="AK26" s="799" t="s">
        <v>7696</v>
      </c>
      <c r="AL26" s="799" t="s">
        <v>7697</v>
      </c>
      <c r="AM26" s="799" t="s">
        <v>7698</v>
      </c>
      <c r="AN26" s="799" t="s">
        <v>7699</v>
      </c>
      <c r="AO26" s="799" t="s">
        <v>7700</v>
      </c>
      <c r="AP26" s="799" t="s">
        <v>7701</v>
      </c>
      <c r="AQ26" s="799" t="s">
        <v>7702</v>
      </c>
      <c r="AR26" s="799" t="s">
        <v>7703</v>
      </c>
      <c r="AS26" s="800" t="s">
        <v>7704</v>
      </c>
    </row>
    <row r="27" spans="1:45" ht="15.75" customHeight="1">
      <c r="A27" s="197"/>
      <c r="B27" s="792" t="s">
        <v>7705</v>
      </c>
      <c r="C27" s="325" t="s">
        <v>4215</v>
      </c>
      <c r="D27" s="325">
        <v>3</v>
      </c>
      <c r="E27" s="797">
        <f>IFERROR(E26 - E25, 0)</f>
        <v>1.9600000000000009</v>
      </c>
      <c r="F27" s="797">
        <f t="shared" ref="F27:N27" si="56">IFERROR(F26 - F25, 0)</f>
        <v>-3.2460000000000004</v>
      </c>
      <c r="G27" s="797">
        <f t="shared" si="56"/>
        <v>-2.0519999999999996</v>
      </c>
      <c r="H27" s="797">
        <f t="shared" si="56"/>
        <v>5.2000000000000046E-2</v>
      </c>
      <c r="I27" s="797">
        <f t="shared" si="56"/>
        <v>0</v>
      </c>
      <c r="J27" s="797">
        <f t="shared" si="56"/>
        <v>4.605000000000004</v>
      </c>
      <c r="K27" s="797">
        <f t="shared" si="56"/>
        <v>-3.4160000000000039</v>
      </c>
      <c r="L27" s="797">
        <f t="shared" si="56"/>
        <v>-4.7290000000000028</v>
      </c>
      <c r="M27" s="797">
        <f t="shared" si="56"/>
        <v>0.20099999999999985</v>
      </c>
      <c r="N27" s="798">
        <f t="shared" si="56"/>
        <v>0</v>
      </c>
      <c r="O27" s="349"/>
      <c r="P27" s="795" t="s">
        <v>7706</v>
      </c>
      <c r="Q27" s="197"/>
      <c r="R27" s="291"/>
      <c r="S27" s="197"/>
      <c r="T27" s="363"/>
      <c r="U27" s="267"/>
      <c r="V27" s="361"/>
      <c r="W27" s="224"/>
      <c r="X27" s="224"/>
      <c r="Y27" s="224"/>
      <c r="Z27" s="224"/>
      <c r="AA27" s="224"/>
      <c r="AB27" s="224"/>
      <c r="AC27" s="224"/>
      <c r="AD27" s="224"/>
      <c r="AE27" s="224"/>
      <c r="AF27" s="224"/>
      <c r="AG27" s="361"/>
      <c r="AI27" s="792" t="s">
        <v>7705</v>
      </c>
      <c r="AJ27" s="797" t="s">
        <v>7707</v>
      </c>
      <c r="AK27" s="797" t="s">
        <v>7708</v>
      </c>
      <c r="AL27" s="797" t="s">
        <v>7709</v>
      </c>
      <c r="AM27" s="797" t="s">
        <v>7710</v>
      </c>
      <c r="AN27" s="797" t="s">
        <v>7711</v>
      </c>
      <c r="AO27" s="797" t="s">
        <v>7712</v>
      </c>
      <c r="AP27" s="797" t="s">
        <v>7713</v>
      </c>
      <c r="AQ27" s="797" t="s">
        <v>7714</v>
      </c>
      <c r="AR27" s="797" t="s">
        <v>7715</v>
      </c>
      <c r="AS27" s="798" t="s">
        <v>7716</v>
      </c>
    </row>
    <row r="28" spans="1:45" ht="15.75" customHeight="1">
      <c r="A28" s="197"/>
      <c r="B28" s="792" t="s">
        <v>7717</v>
      </c>
      <c r="C28" s="325" t="s">
        <v>4805</v>
      </c>
      <c r="D28" s="325">
        <v>2</v>
      </c>
      <c r="E28" s="804">
        <v>0.75</v>
      </c>
      <c r="F28" s="804">
        <v>0.75</v>
      </c>
      <c r="G28" s="804">
        <v>0.75</v>
      </c>
      <c r="H28" s="804">
        <v>0.75</v>
      </c>
      <c r="I28" s="804">
        <v>0.75</v>
      </c>
      <c r="J28" s="804">
        <v>0.75</v>
      </c>
      <c r="K28" s="804">
        <v>0.75</v>
      </c>
      <c r="L28" s="804">
        <v>0.75</v>
      </c>
      <c r="M28" s="804">
        <v>0.75</v>
      </c>
      <c r="N28" s="805">
        <v>0.75</v>
      </c>
      <c r="O28" s="349"/>
      <c r="P28" s="803" t="s">
        <v>7718</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7717</v>
      </c>
      <c r="AJ28" s="804" t="s">
        <v>7719</v>
      </c>
      <c r="AK28" s="804" t="s">
        <v>7720</v>
      </c>
      <c r="AL28" s="804" t="s">
        <v>7721</v>
      </c>
      <c r="AM28" s="804" t="s">
        <v>7722</v>
      </c>
      <c r="AN28" s="804" t="s">
        <v>7723</v>
      </c>
      <c r="AO28" s="804" t="s">
        <v>7724</v>
      </c>
      <c r="AP28" s="804" t="s">
        <v>7725</v>
      </c>
      <c r="AQ28" s="804" t="s">
        <v>7726</v>
      </c>
      <c r="AR28" s="804" t="s">
        <v>7727</v>
      </c>
      <c r="AS28" s="805" t="s">
        <v>7728</v>
      </c>
    </row>
    <row r="29" spans="1:45" ht="15.75" customHeight="1">
      <c r="A29" s="197"/>
      <c r="B29" s="792" t="s">
        <v>7729</v>
      </c>
      <c r="C29" s="325" t="s">
        <v>4805</v>
      </c>
      <c r="D29" s="325">
        <v>2</v>
      </c>
      <c r="E29" s="804">
        <v>0.75</v>
      </c>
      <c r="F29" s="804">
        <v>0.75</v>
      </c>
      <c r="G29" s="804">
        <v>0.75</v>
      </c>
      <c r="H29" s="804">
        <v>0.75</v>
      </c>
      <c r="I29" s="804">
        <v>0.75</v>
      </c>
      <c r="J29" s="804">
        <v>0.75</v>
      </c>
      <c r="K29" s="804">
        <v>0.75</v>
      </c>
      <c r="L29" s="804">
        <v>0.75</v>
      </c>
      <c r="M29" s="804">
        <v>0.75</v>
      </c>
      <c r="N29" s="805">
        <v>0.75</v>
      </c>
      <c r="O29" s="349"/>
      <c r="P29" s="803" t="s">
        <v>7730</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7729</v>
      </c>
      <c r="AJ29" s="804" t="s">
        <v>7731</v>
      </c>
      <c r="AK29" s="804" t="s">
        <v>7732</v>
      </c>
      <c r="AL29" s="804" t="s">
        <v>7733</v>
      </c>
      <c r="AM29" s="804" t="s">
        <v>7734</v>
      </c>
      <c r="AN29" s="804" t="s">
        <v>7735</v>
      </c>
      <c r="AO29" s="804" t="s">
        <v>7736</v>
      </c>
      <c r="AP29" s="804" t="s">
        <v>7737</v>
      </c>
      <c r="AQ29" s="804" t="s">
        <v>7738</v>
      </c>
      <c r="AR29" s="804" t="s">
        <v>7739</v>
      </c>
      <c r="AS29" s="805" t="s">
        <v>7740</v>
      </c>
    </row>
    <row r="30" spans="1:45" ht="30">
      <c r="A30" s="197"/>
      <c r="B30" s="792" t="s">
        <v>7741</v>
      </c>
      <c r="C30" s="325" t="s">
        <v>4215</v>
      </c>
      <c r="D30" s="325">
        <v>3</v>
      </c>
      <c r="E30" s="2033">
        <f>IFERROR(E27 * E28,0)</f>
        <v>1.4700000000000006</v>
      </c>
      <c r="F30" s="2033">
        <f t="shared" ref="F30:N30" si="68">IFERROR(F27 * F28,0)</f>
        <v>-2.4345000000000003</v>
      </c>
      <c r="G30" s="2033">
        <f t="shared" si="68"/>
        <v>-1.5389999999999997</v>
      </c>
      <c r="H30" s="2033">
        <f t="shared" si="68"/>
        <v>3.9000000000000035E-2</v>
      </c>
      <c r="I30" s="2033">
        <f t="shared" si="68"/>
        <v>0</v>
      </c>
      <c r="J30" s="2033">
        <f t="shared" si="68"/>
        <v>3.453750000000003</v>
      </c>
      <c r="K30" s="2033">
        <f t="shared" si="68"/>
        <v>-2.5620000000000029</v>
      </c>
      <c r="L30" s="2033">
        <f t="shared" si="68"/>
        <v>-3.5467500000000021</v>
      </c>
      <c r="M30" s="2033">
        <f t="shared" si="68"/>
        <v>0.15074999999999988</v>
      </c>
      <c r="N30" s="2034">
        <f t="shared" si="68"/>
        <v>0</v>
      </c>
      <c r="O30" s="349"/>
      <c r="P30" s="795" t="s">
        <v>7742</v>
      </c>
      <c r="Q30" s="197"/>
      <c r="R30" s="291"/>
      <c r="S30" s="197"/>
      <c r="T30" s="363"/>
      <c r="U30" s="267"/>
      <c r="V30" s="361"/>
      <c r="W30" s="224"/>
      <c r="X30" s="224"/>
      <c r="Y30" s="224"/>
      <c r="Z30" s="224"/>
      <c r="AA30" s="224"/>
      <c r="AB30" s="224"/>
      <c r="AC30" s="224"/>
      <c r="AD30" s="224"/>
      <c r="AE30" s="224"/>
      <c r="AF30" s="224"/>
      <c r="AG30" s="370"/>
      <c r="AI30" s="792" t="s">
        <v>7741</v>
      </c>
      <c r="AJ30" s="811" t="s">
        <v>7743</v>
      </c>
      <c r="AK30" s="811" t="s">
        <v>7744</v>
      </c>
      <c r="AL30" s="811" t="s">
        <v>7745</v>
      </c>
      <c r="AM30" s="811" t="s">
        <v>7746</v>
      </c>
      <c r="AN30" s="811" t="s">
        <v>7747</v>
      </c>
      <c r="AO30" s="811" t="s">
        <v>7748</v>
      </c>
      <c r="AP30" s="811" t="s">
        <v>7749</v>
      </c>
      <c r="AQ30" s="811" t="s">
        <v>7750</v>
      </c>
      <c r="AR30" s="811" t="s">
        <v>7751</v>
      </c>
      <c r="AS30" s="812" t="s">
        <v>7752</v>
      </c>
    </row>
    <row r="31" spans="1:45" ht="30.6" thickBot="1">
      <c r="A31" s="197"/>
      <c r="B31" s="453" t="s">
        <v>7753</v>
      </c>
      <c r="C31" s="332" t="s">
        <v>4215</v>
      </c>
      <c r="D31" s="332">
        <v>3</v>
      </c>
      <c r="E31" s="806">
        <f>IFERROR(E27 - E30, 0)</f>
        <v>0.49000000000000021</v>
      </c>
      <c r="F31" s="806">
        <f t="shared" ref="F31:M31" si="69">IFERROR(F27 - F30, 0)</f>
        <v>-0.81150000000000011</v>
      </c>
      <c r="G31" s="806">
        <f t="shared" si="69"/>
        <v>-0.5129999999999999</v>
      </c>
      <c r="H31" s="806">
        <f t="shared" si="69"/>
        <v>1.3000000000000012E-2</v>
      </c>
      <c r="I31" s="806">
        <f t="shared" si="69"/>
        <v>0</v>
      </c>
      <c r="J31" s="806">
        <f t="shared" si="69"/>
        <v>1.151250000000001</v>
      </c>
      <c r="K31" s="806">
        <f t="shared" si="69"/>
        <v>-0.85400000000000098</v>
      </c>
      <c r="L31" s="806">
        <f t="shared" si="69"/>
        <v>-1.1822500000000007</v>
      </c>
      <c r="M31" s="806">
        <f t="shared" si="69"/>
        <v>5.0249999999999961E-2</v>
      </c>
      <c r="N31" s="807">
        <f>IFERROR(N27 - N30, 0)</f>
        <v>0</v>
      </c>
      <c r="O31" s="349"/>
      <c r="P31" s="813" t="s">
        <v>7754</v>
      </c>
      <c r="Q31" s="197"/>
      <c r="R31" s="302"/>
      <c r="S31" s="197"/>
      <c r="T31" s="363"/>
      <c r="U31" s="267"/>
      <c r="V31" s="370"/>
      <c r="W31" s="224"/>
      <c r="X31" s="224"/>
      <c r="Y31" s="224"/>
      <c r="Z31" s="224"/>
      <c r="AA31" s="224"/>
      <c r="AB31" s="224"/>
      <c r="AC31" s="224"/>
      <c r="AD31" s="224"/>
      <c r="AE31" s="224"/>
      <c r="AF31" s="224"/>
      <c r="AG31" s="370"/>
      <c r="AI31" s="453" t="s">
        <v>7753</v>
      </c>
      <c r="AJ31" s="806" t="s">
        <v>7755</v>
      </c>
      <c r="AK31" s="806" t="s">
        <v>7756</v>
      </c>
      <c r="AL31" s="806" t="s">
        <v>7757</v>
      </c>
      <c r="AM31" s="806" t="s">
        <v>7758</v>
      </c>
      <c r="AN31" s="806" t="s">
        <v>7759</v>
      </c>
      <c r="AO31" s="806" t="s">
        <v>7760</v>
      </c>
      <c r="AP31" s="806" t="s">
        <v>7761</v>
      </c>
      <c r="AQ31" s="806" t="s">
        <v>7762</v>
      </c>
      <c r="AR31" s="806" t="s">
        <v>7763</v>
      </c>
      <c r="AS31" s="807" t="s">
        <v>7764</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7765</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7765</v>
      </c>
      <c r="AJ33" s="34"/>
      <c r="AK33" s="83"/>
      <c r="AL33" s="83"/>
      <c r="AM33" s="83"/>
      <c r="AN33" s="83"/>
      <c r="AO33" s="83"/>
      <c r="AP33" s="83"/>
      <c r="AQ33" s="83"/>
      <c r="AR33" s="83"/>
      <c r="AS33" s="83"/>
    </row>
    <row r="34" spans="1:45" ht="15.75" customHeight="1" thickTop="1">
      <c r="A34" s="197"/>
      <c r="B34" s="814" t="s">
        <v>7766</v>
      </c>
      <c r="C34" s="788" t="s">
        <v>4215</v>
      </c>
      <c r="D34" s="788">
        <v>3</v>
      </c>
      <c r="E34" s="809">
        <v>10.497</v>
      </c>
      <c r="F34" s="809">
        <v>9.6769999999999996</v>
      </c>
      <c r="G34" s="809">
        <v>2.2949999999999999</v>
      </c>
      <c r="H34" s="809">
        <v>0</v>
      </c>
      <c r="I34" s="809">
        <v>0</v>
      </c>
      <c r="J34" s="809">
        <v>29.457000000000001</v>
      </c>
      <c r="K34" s="809">
        <v>26.851999999999997</v>
      </c>
      <c r="L34" s="809">
        <v>6.4030000000000005</v>
      </c>
      <c r="M34" s="809">
        <v>0</v>
      </c>
      <c r="N34" s="810">
        <v>0</v>
      </c>
      <c r="O34" s="349"/>
      <c r="P34" s="791" t="s">
        <v>7767</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7766</v>
      </c>
      <c r="AJ34" s="809" t="s">
        <v>7768</v>
      </c>
      <c r="AK34" s="809" t="s">
        <v>7769</v>
      </c>
      <c r="AL34" s="809" t="s">
        <v>7770</v>
      </c>
      <c r="AM34" s="809" t="s">
        <v>7771</v>
      </c>
      <c r="AN34" s="809" t="s">
        <v>7772</v>
      </c>
      <c r="AO34" s="809" t="s">
        <v>7773</v>
      </c>
      <c r="AP34" s="809" t="s">
        <v>7774</v>
      </c>
      <c r="AQ34" s="809" t="s">
        <v>7775</v>
      </c>
      <c r="AR34" s="809" t="s">
        <v>7776</v>
      </c>
      <c r="AS34" s="810" t="s">
        <v>7777</v>
      </c>
    </row>
    <row r="35" spans="1:45" ht="15.75" customHeight="1">
      <c r="A35" s="197"/>
      <c r="B35" s="792" t="s">
        <v>7778</v>
      </c>
      <c r="C35" s="325" t="s">
        <v>4215</v>
      </c>
      <c r="D35" s="325">
        <v>3</v>
      </c>
      <c r="E35" s="799">
        <v>17.271000000000001</v>
      </c>
      <c r="F35" s="799">
        <v>36.956000000000003</v>
      </c>
      <c r="G35" s="799">
        <v>14.89</v>
      </c>
      <c r="H35" s="799">
        <v>0</v>
      </c>
      <c r="I35" s="799">
        <v>0</v>
      </c>
      <c r="J35" s="799">
        <v>35.063000000000002</v>
      </c>
      <c r="K35" s="799">
        <v>92.305000000000007</v>
      </c>
      <c r="L35" s="799">
        <v>33.927</v>
      </c>
      <c r="M35" s="799">
        <v>0.82499999999999996</v>
      </c>
      <c r="N35" s="800">
        <v>0</v>
      </c>
      <c r="O35" s="349"/>
      <c r="P35" s="795" t="s">
        <v>7779</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7778</v>
      </c>
      <c r="AJ35" s="799" t="s">
        <v>7780</v>
      </c>
      <c r="AK35" s="799" t="s">
        <v>7781</v>
      </c>
      <c r="AL35" s="799" t="s">
        <v>7782</v>
      </c>
      <c r="AM35" s="799" t="s">
        <v>7783</v>
      </c>
      <c r="AN35" s="799" t="s">
        <v>7784</v>
      </c>
      <c r="AO35" s="799" t="s">
        <v>7785</v>
      </c>
      <c r="AP35" s="799" t="s">
        <v>7786</v>
      </c>
      <c r="AQ35" s="799" t="s">
        <v>7787</v>
      </c>
      <c r="AR35" s="799" t="s">
        <v>7788</v>
      </c>
      <c r="AS35" s="800" t="s">
        <v>7789</v>
      </c>
    </row>
    <row r="36" spans="1:45" ht="15.75" customHeight="1" thickBot="1">
      <c r="A36" s="197"/>
      <c r="B36" s="453" t="s">
        <v>7790</v>
      </c>
      <c r="C36" s="332" t="s">
        <v>4215</v>
      </c>
      <c r="D36" s="332">
        <v>3</v>
      </c>
      <c r="E36" s="806">
        <f>IFERROR(E35 - E34, 0)</f>
        <v>6.7740000000000009</v>
      </c>
      <c r="F36" s="806">
        <f>IFERROR(F35 - F34, 0)</f>
        <v>27.279000000000003</v>
      </c>
      <c r="G36" s="806">
        <f t="shared" ref="G36:N36" si="81">IFERROR(G35 - G34, 0)</f>
        <v>12.595000000000001</v>
      </c>
      <c r="H36" s="806">
        <f t="shared" si="81"/>
        <v>0</v>
      </c>
      <c r="I36" s="806">
        <f t="shared" si="81"/>
        <v>0</v>
      </c>
      <c r="J36" s="806">
        <f>IFERROR(J35 - J34, 0)</f>
        <v>5.6060000000000016</v>
      </c>
      <c r="K36" s="806">
        <f t="shared" si="81"/>
        <v>65.453000000000003</v>
      </c>
      <c r="L36" s="806">
        <f>IFERROR(L35 - L34, 0)</f>
        <v>27.524000000000001</v>
      </c>
      <c r="M36" s="806">
        <f t="shared" si="81"/>
        <v>0.82499999999999996</v>
      </c>
      <c r="N36" s="807">
        <f t="shared" si="81"/>
        <v>0</v>
      </c>
      <c r="O36" s="349"/>
      <c r="P36" s="813" t="s">
        <v>7791</v>
      </c>
      <c r="Q36" s="197"/>
      <c r="R36" s="302"/>
      <c r="S36" s="197"/>
      <c r="T36" s="363"/>
      <c r="U36" s="267"/>
      <c r="V36" s="361"/>
      <c r="W36" s="224"/>
      <c r="X36" s="224"/>
      <c r="Y36" s="224"/>
      <c r="Z36" s="224"/>
      <c r="AA36" s="224"/>
      <c r="AB36" s="224"/>
      <c r="AC36" s="224"/>
      <c r="AD36" s="224"/>
      <c r="AE36" s="224"/>
      <c r="AF36" s="224"/>
      <c r="AG36" s="370"/>
      <c r="AI36" s="453" t="s">
        <v>7790</v>
      </c>
      <c r="AJ36" s="806" t="s">
        <v>7792</v>
      </c>
      <c r="AK36" s="806" t="s">
        <v>7793</v>
      </c>
      <c r="AL36" s="806" t="s">
        <v>7794</v>
      </c>
      <c r="AM36" s="806" t="s">
        <v>7795</v>
      </c>
      <c r="AN36" s="806" t="s">
        <v>7796</v>
      </c>
      <c r="AO36" s="806" t="s">
        <v>7797</v>
      </c>
      <c r="AP36" s="806" t="s">
        <v>7798</v>
      </c>
      <c r="AQ36" s="806" t="s">
        <v>7799</v>
      </c>
      <c r="AR36" s="806" t="s">
        <v>7800</v>
      </c>
      <c r="AS36" s="807" t="s">
        <v>7801</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7802</v>
      </c>
      <c r="C38" s="384" t="s">
        <v>4215</v>
      </c>
      <c r="D38" s="384">
        <v>3</v>
      </c>
      <c r="E38" s="816">
        <f>IFERROR(E19 + E20 + E30, 0)</f>
        <v>-4.6109070000000019</v>
      </c>
      <c r="F38" s="816">
        <f t="shared" ref="F38:N38" si="82">IFERROR(F19 + F20 + F30, 0)</f>
        <v>22.048927200000005</v>
      </c>
      <c r="G38" s="816">
        <f t="shared" si="82"/>
        <v>1.4194177000000061</v>
      </c>
      <c r="H38" s="816">
        <f t="shared" si="82"/>
        <v>3.9000000000000035E-2</v>
      </c>
      <c r="I38" s="816">
        <f t="shared" si="82"/>
        <v>0</v>
      </c>
      <c r="J38" s="816">
        <f t="shared" si="82"/>
        <v>-16.397931399999994</v>
      </c>
      <c r="K38" s="816">
        <f t="shared" si="82"/>
        <v>26.938669800000064</v>
      </c>
      <c r="L38" s="816">
        <f t="shared" si="82"/>
        <v>3.3696462000000249</v>
      </c>
      <c r="M38" s="816">
        <f t="shared" si="82"/>
        <v>0.15074999999999988</v>
      </c>
      <c r="N38" s="373">
        <f t="shared" si="82"/>
        <v>0</v>
      </c>
      <c r="O38" s="349"/>
      <c r="P38" s="817" t="s">
        <v>7803</v>
      </c>
      <c r="Q38" s="197"/>
      <c r="R38" s="375"/>
      <c r="S38" s="197"/>
      <c r="T38" s="363"/>
      <c r="U38" s="267"/>
      <c r="V38" s="361"/>
      <c r="W38" s="224"/>
      <c r="X38" s="224"/>
      <c r="Y38" s="224"/>
      <c r="Z38" s="224"/>
      <c r="AA38" s="224"/>
      <c r="AB38" s="224"/>
      <c r="AC38" s="224"/>
      <c r="AD38" s="224"/>
      <c r="AE38" s="224"/>
      <c r="AF38" s="224"/>
      <c r="AG38" s="370"/>
      <c r="AI38" s="815" t="s">
        <v>7804</v>
      </c>
      <c r="AJ38" s="816" t="s">
        <v>7805</v>
      </c>
      <c r="AK38" s="816" t="s">
        <v>7806</v>
      </c>
      <c r="AL38" s="816" t="s">
        <v>7807</v>
      </c>
      <c r="AM38" s="816" t="s">
        <v>7808</v>
      </c>
      <c r="AN38" s="816" t="s">
        <v>7809</v>
      </c>
      <c r="AO38" s="816" t="s">
        <v>7810</v>
      </c>
      <c r="AP38" s="816" t="s">
        <v>7811</v>
      </c>
      <c r="AQ38" s="816" t="s">
        <v>7812</v>
      </c>
      <c r="AR38" s="816" t="s">
        <v>7813</v>
      </c>
      <c r="AS38" s="373" t="s">
        <v>7814</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7815</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7815</v>
      </c>
      <c r="AJ40" s="34"/>
      <c r="AK40" s="83"/>
      <c r="AL40" s="83"/>
      <c r="AM40" s="83"/>
      <c r="AN40" s="83"/>
      <c r="AO40" s="83"/>
      <c r="AP40" s="83"/>
      <c r="AQ40" s="83"/>
      <c r="AR40" s="83"/>
      <c r="AS40" s="83"/>
    </row>
    <row r="41" spans="1:45" ht="15.75" customHeight="1" thickTop="1">
      <c r="A41" s="197"/>
      <c r="B41" s="814" t="s">
        <v>7802</v>
      </c>
      <c r="C41" s="788" t="s">
        <v>4215</v>
      </c>
      <c r="D41" s="788">
        <v>3</v>
      </c>
      <c r="E41" s="2141">
        <f>IFERROR(E38, 0)</f>
        <v>-4.6109070000000019</v>
      </c>
      <c r="F41" s="2141">
        <f t="shared" ref="F41:N41" si="83">IFERROR(F38, 0)</f>
        <v>22.048927200000005</v>
      </c>
      <c r="G41" s="2141">
        <f t="shared" si="83"/>
        <v>1.4194177000000061</v>
      </c>
      <c r="H41" s="2141">
        <f t="shared" si="83"/>
        <v>3.9000000000000035E-2</v>
      </c>
      <c r="I41" s="2141">
        <f t="shared" si="83"/>
        <v>0</v>
      </c>
      <c r="J41" s="2141">
        <f t="shared" si="83"/>
        <v>-16.397931399999994</v>
      </c>
      <c r="K41" s="2141">
        <f t="shared" si="83"/>
        <v>26.938669800000064</v>
      </c>
      <c r="L41" s="2141">
        <f t="shared" si="83"/>
        <v>3.3696462000000249</v>
      </c>
      <c r="M41" s="2141">
        <f t="shared" si="83"/>
        <v>0.15074999999999988</v>
      </c>
      <c r="N41" s="2142">
        <f t="shared" si="83"/>
        <v>0</v>
      </c>
      <c r="O41" s="349"/>
      <c r="P41" s="791" t="s">
        <v>7816</v>
      </c>
      <c r="Q41" s="197"/>
      <c r="R41" s="283"/>
      <c r="S41" s="197"/>
      <c r="T41" s="363"/>
      <c r="U41" s="267"/>
      <c r="V41" s="363"/>
      <c r="W41" s="224"/>
      <c r="X41" s="224"/>
      <c r="Y41" s="224"/>
      <c r="Z41" s="224"/>
      <c r="AA41" s="224"/>
      <c r="AB41" s="224"/>
      <c r="AC41" s="224"/>
      <c r="AD41" s="224"/>
      <c r="AE41" s="224"/>
      <c r="AF41" s="224"/>
      <c r="AG41" s="363"/>
      <c r="AI41" s="814" t="s">
        <v>7804</v>
      </c>
      <c r="AJ41" s="2143" t="s">
        <v>7817</v>
      </c>
      <c r="AK41" s="2143" t="s">
        <v>7818</v>
      </c>
      <c r="AL41" s="2143" t="s">
        <v>7819</v>
      </c>
      <c r="AM41" s="2143" t="s">
        <v>7820</v>
      </c>
      <c r="AN41" s="2143" t="s">
        <v>7821</v>
      </c>
      <c r="AO41" s="2143" t="s">
        <v>7822</v>
      </c>
      <c r="AP41" s="2143" t="s">
        <v>7823</v>
      </c>
      <c r="AQ41" s="2143" t="s">
        <v>7824</v>
      </c>
      <c r="AR41" s="2143" t="s">
        <v>7825</v>
      </c>
      <c r="AS41" s="2144" t="s">
        <v>7826</v>
      </c>
    </row>
    <row r="42" spans="1:45" ht="15.75" customHeight="1">
      <c r="A42" s="197"/>
      <c r="B42" s="792" t="s">
        <v>7827</v>
      </c>
      <c r="C42" s="325" t="s">
        <v>4805</v>
      </c>
      <c r="D42" s="325">
        <v>2</v>
      </c>
      <c r="E42" s="818">
        <v>0.55549999999999999</v>
      </c>
      <c r="F42" s="818">
        <v>0.54910000000000003</v>
      </c>
      <c r="G42" s="818">
        <v>0.55569999999999997</v>
      </c>
      <c r="H42" s="818">
        <v>0.62029999999999996</v>
      </c>
      <c r="I42" s="818">
        <v>0</v>
      </c>
      <c r="J42" s="818">
        <v>0.54520000000000002</v>
      </c>
      <c r="K42" s="818">
        <v>0.54390000000000005</v>
      </c>
      <c r="L42" s="818">
        <v>0.54200000000000004</v>
      </c>
      <c r="M42" s="818">
        <v>0.61950000000000005</v>
      </c>
      <c r="N42" s="819">
        <v>0</v>
      </c>
      <c r="O42" s="349"/>
      <c r="P42" s="795" t="s">
        <v>7828</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7827</v>
      </c>
      <c r="AJ42" s="818" t="s">
        <v>7829</v>
      </c>
      <c r="AK42" s="818" t="s">
        <v>7830</v>
      </c>
      <c r="AL42" s="818" t="s">
        <v>7831</v>
      </c>
      <c r="AM42" s="818" t="s">
        <v>7832</v>
      </c>
      <c r="AN42" s="818" t="s">
        <v>7833</v>
      </c>
      <c r="AO42" s="818" t="s">
        <v>7834</v>
      </c>
      <c r="AP42" s="818" t="s">
        <v>7835</v>
      </c>
      <c r="AQ42" s="818" t="s">
        <v>7836</v>
      </c>
      <c r="AR42" s="818" t="s">
        <v>7837</v>
      </c>
      <c r="AS42" s="819" t="s">
        <v>7838</v>
      </c>
    </row>
    <row r="43" spans="1:45" ht="15.75" customHeight="1">
      <c r="A43" s="197"/>
      <c r="B43" s="792" t="s">
        <v>7839</v>
      </c>
      <c r="C43" s="325" t="s">
        <v>4215</v>
      </c>
      <c r="D43" s="325">
        <v>3</v>
      </c>
      <c r="E43" s="797">
        <f>IFERROR(E41 * (1 - E42), 0 )</f>
        <v>-2.0495481615000011</v>
      </c>
      <c r="F43" s="797">
        <f t="shared" ref="F43:N43" si="95">IFERROR(F41 * (1 - F42), 0 )</f>
        <v>9.9418612744800008</v>
      </c>
      <c r="G43" s="797">
        <f t="shared" si="95"/>
        <v>0.6306472841100027</v>
      </c>
      <c r="H43" s="797">
        <f t="shared" si="95"/>
        <v>1.4808300000000014E-2</v>
      </c>
      <c r="I43" s="797">
        <f t="shared" si="95"/>
        <v>0</v>
      </c>
      <c r="J43" s="797">
        <f t="shared" si="95"/>
        <v>-7.4577792007199966</v>
      </c>
      <c r="K43" s="797">
        <f t="shared" si="95"/>
        <v>12.286727295780027</v>
      </c>
      <c r="L43" s="797">
        <f t="shared" si="95"/>
        <v>1.5432979596000114</v>
      </c>
      <c r="M43" s="797">
        <f>IFERROR(M41 * (1 - M42), 0 )</f>
        <v>5.736037499999995E-2</v>
      </c>
      <c r="N43" s="798">
        <f t="shared" si="95"/>
        <v>0</v>
      </c>
      <c r="O43" s="349"/>
      <c r="P43" s="795" t="s">
        <v>7840</v>
      </c>
      <c r="Q43" s="197"/>
      <c r="R43" s="291"/>
      <c r="S43" s="197"/>
      <c r="T43" s="363"/>
      <c r="U43" s="267"/>
      <c r="V43" s="363"/>
      <c r="W43" s="224"/>
      <c r="X43" s="224"/>
      <c r="Y43" s="224"/>
      <c r="Z43" s="224"/>
      <c r="AA43" s="224"/>
      <c r="AB43" s="224"/>
      <c r="AC43" s="224"/>
      <c r="AD43" s="224"/>
      <c r="AE43" s="224"/>
      <c r="AF43" s="224"/>
      <c r="AG43" s="363"/>
      <c r="AI43" s="792" t="s">
        <v>7841</v>
      </c>
      <c r="AJ43" s="797" t="s">
        <v>7842</v>
      </c>
      <c r="AK43" s="797" t="s">
        <v>7843</v>
      </c>
      <c r="AL43" s="797" t="s">
        <v>7844</v>
      </c>
      <c r="AM43" s="797" t="s">
        <v>7845</v>
      </c>
      <c r="AN43" s="797" t="s">
        <v>7846</v>
      </c>
      <c r="AO43" s="797" t="s">
        <v>7847</v>
      </c>
      <c r="AP43" s="797" t="s">
        <v>7848</v>
      </c>
      <c r="AQ43" s="797" t="s">
        <v>7849</v>
      </c>
      <c r="AR43" s="797" t="s">
        <v>7850</v>
      </c>
      <c r="AS43" s="798" t="s">
        <v>7851</v>
      </c>
    </row>
    <row r="44" spans="1:45" ht="30">
      <c r="A44" s="197"/>
      <c r="B44" s="792" t="s">
        <v>7852</v>
      </c>
      <c r="C44" s="325" t="s">
        <v>4215</v>
      </c>
      <c r="D44" s="325">
        <v>3</v>
      </c>
      <c r="E44" s="820"/>
      <c r="F44" s="820"/>
      <c r="G44" s="820"/>
      <c r="H44" s="820"/>
      <c r="I44" s="820"/>
      <c r="J44" s="799">
        <v>0</v>
      </c>
      <c r="K44" s="799">
        <v>0</v>
      </c>
      <c r="L44" s="799">
        <v>0</v>
      </c>
      <c r="M44" s="799">
        <v>0</v>
      </c>
      <c r="N44" s="800">
        <v>0</v>
      </c>
      <c r="O44" s="86"/>
      <c r="P44" s="795" t="s">
        <v>7853</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7852</v>
      </c>
      <c r="AJ44" s="820"/>
      <c r="AK44" s="820"/>
      <c r="AL44" s="820"/>
      <c r="AM44" s="820"/>
      <c r="AN44" s="820"/>
      <c r="AO44" s="799" t="s">
        <v>7854</v>
      </c>
      <c r="AP44" s="799" t="s">
        <v>7855</v>
      </c>
      <c r="AQ44" s="799" t="s">
        <v>7856</v>
      </c>
      <c r="AR44" s="799" t="s">
        <v>7857</v>
      </c>
      <c r="AS44" s="800" t="s">
        <v>7858</v>
      </c>
    </row>
    <row r="45" spans="1:45" ht="15.75" customHeight="1">
      <c r="A45" s="197"/>
      <c r="B45" s="792" t="s">
        <v>7859</v>
      </c>
      <c r="C45" s="325" t="s">
        <v>4215</v>
      </c>
      <c r="D45" s="325">
        <v>3</v>
      </c>
      <c r="E45" s="820"/>
      <c r="F45" s="820"/>
      <c r="G45" s="820"/>
      <c r="H45" s="820"/>
      <c r="I45" s="820"/>
      <c r="J45" s="854">
        <f>'4U'!J23</f>
        <v>0</v>
      </c>
      <c r="K45" s="854">
        <f>'4U'!K23</f>
        <v>0</v>
      </c>
      <c r="L45" s="854">
        <f>'4U'!L23</f>
        <v>0</v>
      </c>
      <c r="M45" s="820"/>
      <c r="N45" s="2035">
        <f>'4U'!N23</f>
        <v>0</v>
      </c>
      <c r="O45" s="86"/>
      <c r="P45" s="803" t="s">
        <v>7860</v>
      </c>
      <c r="Q45" s="197"/>
      <c r="R45" s="291"/>
      <c r="S45" s="197"/>
      <c r="T45" s="363"/>
      <c r="U45" s="267"/>
      <c r="V45" s="363"/>
      <c r="W45" s="224"/>
      <c r="X45" s="224"/>
      <c r="Y45" s="224"/>
      <c r="Z45" s="224"/>
      <c r="AA45" s="224"/>
      <c r="AB45" s="224"/>
      <c r="AC45" s="224"/>
      <c r="AD45" s="224"/>
      <c r="AE45" s="224"/>
      <c r="AF45" s="224"/>
      <c r="AG45" s="363"/>
      <c r="AI45" s="792" t="s">
        <v>7859</v>
      </c>
      <c r="AJ45" s="820"/>
      <c r="AK45" s="820"/>
      <c r="AL45" s="820"/>
      <c r="AM45" s="820"/>
      <c r="AN45" s="820"/>
      <c r="AO45" s="821" t="s">
        <v>7861</v>
      </c>
      <c r="AP45" s="821" t="s">
        <v>7862</v>
      </c>
      <c r="AQ45" s="821" t="s">
        <v>7863</v>
      </c>
      <c r="AR45" s="820"/>
      <c r="AS45" s="822" t="s">
        <v>7864</v>
      </c>
    </row>
    <row r="46" spans="1:45" ht="15.75" customHeight="1">
      <c r="A46" s="197"/>
      <c r="B46" s="792" t="s">
        <v>7865</v>
      </c>
      <c r="C46" s="325" t="s">
        <v>4215</v>
      </c>
      <c r="D46" s="325">
        <v>3</v>
      </c>
      <c r="E46" s="820"/>
      <c r="F46" s="820"/>
      <c r="G46" s="820"/>
      <c r="H46" s="820"/>
      <c r="I46" s="820"/>
      <c r="J46" s="751">
        <v>322.33999999999997</v>
      </c>
      <c r="K46" s="751">
        <v>2146.268</v>
      </c>
      <c r="L46" s="751">
        <v>4435.5600000000004</v>
      </c>
      <c r="M46" s="751">
        <v>256.43799999999999</v>
      </c>
      <c r="N46" s="796">
        <v>0</v>
      </c>
      <c r="O46" s="86"/>
      <c r="P46" s="795" t="s">
        <v>7866</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7865</v>
      </c>
      <c r="AJ46" s="820"/>
      <c r="AK46" s="820"/>
      <c r="AL46" s="820"/>
      <c r="AM46" s="820"/>
      <c r="AN46" s="820"/>
      <c r="AO46" s="751" t="s">
        <v>7867</v>
      </c>
      <c r="AP46" s="751" t="s">
        <v>7868</v>
      </c>
      <c r="AQ46" s="751" t="s">
        <v>7869</v>
      </c>
      <c r="AR46" s="751" t="s">
        <v>7870</v>
      </c>
      <c r="AS46" s="796" t="s">
        <v>7871</v>
      </c>
    </row>
    <row r="47" spans="1:45" ht="15.75" customHeight="1" thickBot="1">
      <c r="A47" s="197"/>
      <c r="B47" s="453" t="s">
        <v>7872</v>
      </c>
      <c r="C47" s="332" t="s">
        <v>4215</v>
      </c>
      <c r="D47" s="332">
        <v>3</v>
      </c>
      <c r="E47" s="823"/>
      <c r="F47" s="823"/>
      <c r="G47" s="823"/>
      <c r="H47" s="823"/>
      <c r="I47" s="823"/>
      <c r="J47" s="1931">
        <f>IFERROR(SUM(J43:J46), 0)</f>
        <v>314.88222079927999</v>
      </c>
      <c r="K47" s="1931">
        <f t="shared" ref="K47:M47" si="108">IFERROR(SUM(K43:K46), 0)</f>
        <v>2158.5547272957801</v>
      </c>
      <c r="L47" s="1931">
        <f t="shared" si="108"/>
        <v>4437.1032979596002</v>
      </c>
      <c r="M47" s="1931">
        <f t="shared" si="108"/>
        <v>256.49536037499996</v>
      </c>
      <c r="N47" s="1932">
        <f>IFERROR(SUM(N43:N46), 0)</f>
        <v>0</v>
      </c>
      <c r="O47" s="349"/>
      <c r="P47" s="813" t="s">
        <v>7873</v>
      </c>
      <c r="Q47" s="197"/>
      <c r="R47" s="302"/>
      <c r="S47" s="197"/>
      <c r="T47" s="363"/>
      <c r="U47" s="267"/>
      <c r="V47" s="363"/>
      <c r="W47" s="224"/>
      <c r="X47" s="224"/>
      <c r="Y47" s="224"/>
      <c r="Z47" s="224"/>
      <c r="AA47" s="224"/>
      <c r="AB47" s="224"/>
      <c r="AC47" s="224"/>
      <c r="AD47" s="224"/>
      <c r="AE47" s="224"/>
      <c r="AF47" s="224"/>
      <c r="AG47" s="363"/>
      <c r="AI47" s="453" t="s">
        <v>7872</v>
      </c>
      <c r="AJ47" s="823"/>
      <c r="AK47" s="823"/>
      <c r="AL47" s="823"/>
      <c r="AM47" s="823"/>
      <c r="AN47" s="823"/>
      <c r="AO47" s="314" t="s">
        <v>7874</v>
      </c>
      <c r="AP47" s="314" t="s">
        <v>7875</v>
      </c>
      <c r="AQ47" s="314" t="s">
        <v>7876</v>
      </c>
      <c r="AR47" s="314" t="s">
        <v>7877</v>
      </c>
      <c r="AS47" s="315" t="s">
        <v>7878</v>
      </c>
    </row>
    <row r="48" spans="1:45" ht="16.2"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3" priority="28" operator="equal">
      <formula>0</formula>
    </cfRule>
  </conditionalFormatting>
  <conditionalFormatting sqref="U15">
    <cfRule type="cellIs" dxfId="142" priority="8" operator="equal">
      <formula>0</formula>
    </cfRule>
  </conditionalFormatting>
  <conditionalFormatting sqref="U17:U18">
    <cfRule type="cellIs" dxfId="141" priority="7" operator="equal">
      <formula>0</formula>
    </cfRule>
  </conditionalFormatting>
  <conditionalFormatting sqref="U25:U26">
    <cfRule type="cellIs" dxfId="140" priority="6" operator="equal">
      <formula>0</formula>
    </cfRule>
  </conditionalFormatting>
  <conditionalFormatting sqref="U28:U29">
    <cfRule type="cellIs" dxfId="139" priority="5" operator="equal">
      <formula>0</formula>
    </cfRule>
  </conditionalFormatting>
  <conditionalFormatting sqref="U34:U35">
    <cfRule type="cellIs" dxfId="138" priority="4" operator="equal">
      <formula>0</formula>
    </cfRule>
  </conditionalFormatting>
  <conditionalFormatting sqref="U42">
    <cfRule type="cellIs" dxfId="137" priority="3" operator="equal">
      <formula>0</formula>
    </cfRule>
  </conditionalFormatting>
  <conditionalFormatting sqref="U44">
    <cfRule type="cellIs" dxfId="136" priority="2" operator="equal">
      <formula>0</formula>
    </cfRule>
  </conditionalFormatting>
  <conditionalFormatting sqref="U46">
    <cfRule type="cellIs" dxfId="13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35" zoomScaleNormal="100" zoomScaleSheetLayoutView="100" workbookViewId="0">
      <selection activeCell="E30" sqref="E30"/>
    </sheetView>
  </sheetViews>
  <sheetFormatPr defaultColWidth="9" defaultRowHeight="15.6"/>
  <cols>
    <col min="1" max="1" width="1.59765625" style="224" customWidth="1"/>
    <col min="2" max="2" width="45" style="247" customWidth="1"/>
    <col min="3" max="3" width="7.09765625" style="224" customWidth="1"/>
    <col min="4" max="4" width="5.5" style="224" customWidth="1"/>
    <col min="5" max="8" width="12.5" style="224" customWidth="1"/>
    <col min="9" max="9" width="13.59765625" style="224" bestFit="1" customWidth="1"/>
    <col min="10" max="10" width="12.5" style="224" customWidth="1"/>
    <col min="11" max="11" width="1.59765625" style="224" customWidth="1"/>
    <col min="12" max="12" width="12.5" style="824" customWidth="1"/>
    <col min="13" max="13" width="1.59765625" style="224" customWidth="1"/>
    <col min="14" max="14" width="33.59765625" style="224" customWidth="1"/>
    <col min="15" max="16" width="1.59765625" style="224" customWidth="1"/>
    <col min="17" max="17" width="25" style="224" customWidth="1"/>
    <col min="18" max="18" width="1.59765625" style="224" customWidth="1"/>
    <col min="19" max="23" width="7.09765625" style="224" hidden="1" customWidth="1"/>
    <col min="24" max="24" width="1.59765625" style="224" hidden="1" customWidth="1"/>
    <col min="25" max="25" width="1.59765625" style="224" customWidth="1"/>
    <col min="26" max="26" width="44.19921875" style="247" bestFit="1" customWidth="1"/>
    <col min="27" max="32" width="15" style="224" customWidth="1"/>
    <col min="33" max="33" width="1.59765625" style="224" customWidth="1"/>
    <col min="34" max="16384" width="9" style="224"/>
  </cols>
  <sheetData>
    <row r="1" spans="2:33" s="389" customFormat="1" ht="29.25" customHeight="1">
      <c r="B1" s="2721" t="s">
        <v>7879</v>
      </c>
      <c r="C1" s="2721"/>
      <c r="D1" s="2721"/>
      <c r="E1" s="2721"/>
      <c r="F1" s="2721"/>
      <c r="G1" s="2721"/>
      <c r="H1" s="2721"/>
      <c r="I1" s="2721"/>
      <c r="J1" s="339"/>
      <c r="K1" s="259"/>
      <c r="L1" s="824"/>
      <c r="P1" s="825"/>
      <c r="Q1" s="224"/>
      <c r="R1" s="825"/>
      <c r="X1" s="825"/>
      <c r="Z1" s="2721" t="s">
        <v>4198</v>
      </c>
      <c r="AA1" s="2721"/>
      <c r="AB1" s="2721"/>
      <c r="AC1" s="2721"/>
      <c r="AD1" s="2721"/>
      <c r="AE1" s="2721"/>
      <c r="AF1" s="339"/>
    </row>
    <row r="2" spans="2:33" s="389" customFormat="1" ht="29.25" customHeight="1">
      <c r="B2" s="2721" t="str">
        <f>SelectCompany!B4</f>
        <v>Dŵr Cymru</v>
      </c>
      <c r="C2" s="2721"/>
      <c r="D2" s="2721"/>
      <c r="E2" s="2721"/>
      <c r="F2" s="2721"/>
      <c r="G2" s="2721"/>
      <c r="H2" s="2721"/>
      <c r="I2" s="2721"/>
      <c r="J2" s="339"/>
      <c r="K2" s="259"/>
      <c r="L2" s="824"/>
      <c r="P2" s="825"/>
      <c r="Q2" s="224"/>
      <c r="R2" s="825"/>
      <c r="X2" s="825"/>
      <c r="Z2" s="2721"/>
      <c r="AA2" s="2721"/>
      <c r="AB2" s="2721"/>
      <c r="AC2" s="2721"/>
      <c r="AD2" s="2721"/>
      <c r="AE2" s="2721"/>
      <c r="AF2" s="2721"/>
      <c r="AG2" s="2721"/>
    </row>
    <row r="3" spans="2:33" ht="45" customHeight="1">
      <c r="B3" s="2829" t="s">
        <v>7880</v>
      </c>
      <c r="C3" s="2829"/>
      <c r="D3" s="2829"/>
      <c r="E3" s="2829"/>
      <c r="F3" s="2829"/>
      <c r="G3" s="2829"/>
      <c r="H3" s="2829"/>
      <c r="I3" s="2829"/>
      <c r="J3" s="2829"/>
      <c r="K3" s="2829"/>
      <c r="L3" s="2829"/>
      <c r="M3" s="2829"/>
      <c r="N3" s="2829"/>
      <c r="P3" s="363"/>
      <c r="Q3" s="650" t="s">
        <v>4200</v>
      </c>
      <c r="R3" s="363"/>
      <c r="X3" s="363"/>
      <c r="Z3" s="2829" t="s">
        <v>7880</v>
      </c>
      <c r="AA3" s="2829"/>
      <c r="AB3" s="2829"/>
      <c r="AC3" s="2829"/>
      <c r="AD3" s="2829"/>
      <c r="AE3" s="2829"/>
      <c r="AF3" s="2829"/>
    </row>
    <row r="4" spans="2:33" ht="15" customHeight="1" thickBot="1">
      <c r="B4" s="690"/>
      <c r="C4" s="826"/>
      <c r="D4" s="826"/>
      <c r="E4" s="826"/>
      <c r="F4" s="826"/>
      <c r="G4" s="826"/>
      <c r="H4" s="826"/>
      <c r="I4" s="826"/>
      <c r="J4" s="826"/>
      <c r="K4" s="827"/>
      <c r="P4" s="363"/>
      <c r="Q4" s="284"/>
      <c r="R4" s="363"/>
      <c r="S4" s="2710" t="s">
        <v>4201</v>
      </c>
      <c r="T4" s="2710"/>
      <c r="U4" s="2710"/>
      <c r="V4" s="2843"/>
      <c r="W4" s="2843"/>
      <c r="X4" s="363"/>
      <c r="Z4" s="690"/>
      <c r="AA4" s="826"/>
      <c r="AB4" s="826"/>
      <c r="AC4" s="826"/>
      <c r="AD4" s="826"/>
      <c r="AE4" s="826"/>
      <c r="AF4" s="826"/>
    </row>
    <row r="5" spans="2:33" s="197" customFormat="1" ht="15" customHeight="1" thickTop="1">
      <c r="B5" s="2833" t="s">
        <v>4202</v>
      </c>
      <c r="C5" s="2715" t="s">
        <v>4203</v>
      </c>
      <c r="D5" s="2715" t="s">
        <v>4204</v>
      </c>
      <c r="E5" s="2715" t="s">
        <v>5141</v>
      </c>
      <c r="F5" s="2715" t="s">
        <v>7881</v>
      </c>
      <c r="G5" s="2715"/>
      <c r="H5" s="2715"/>
      <c r="I5" s="2715"/>
      <c r="J5" s="2717" t="s">
        <v>4425</v>
      </c>
      <c r="L5" s="2811" t="s">
        <v>4208</v>
      </c>
      <c r="N5" s="2811" t="s">
        <v>4209</v>
      </c>
      <c r="P5" s="828"/>
      <c r="Q5" s="284"/>
      <c r="R5" s="828"/>
      <c r="S5" s="269" t="s">
        <v>4210</v>
      </c>
      <c r="X5" s="828"/>
      <c r="Z5" s="2833" t="s">
        <v>4202</v>
      </c>
      <c r="AA5" s="2715" t="s">
        <v>5141</v>
      </c>
      <c r="AB5" s="2715" t="s">
        <v>7881</v>
      </c>
      <c r="AC5" s="2715"/>
      <c r="AD5" s="2715"/>
      <c r="AE5" s="2715"/>
      <c r="AF5" s="2717" t="s">
        <v>4425</v>
      </c>
    </row>
    <row r="6" spans="2:33" s="197" customFormat="1" ht="41.25" customHeight="1" thickBot="1">
      <c r="B6" s="2834"/>
      <c r="C6" s="2838"/>
      <c r="D6" s="2838"/>
      <c r="E6" s="2716"/>
      <c r="F6" s="271" t="s">
        <v>7882</v>
      </c>
      <c r="G6" s="271" t="s">
        <v>7883</v>
      </c>
      <c r="H6" s="271" t="s">
        <v>7884</v>
      </c>
      <c r="I6" s="271" t="s">
        <v>7885</v>
      </c>
      <c r="J6" s="2718"/>
      <c r="L6" s="2813"/>
      <c r="N6" s="2813"/>
      <c r="P6" s="828"/>
      <c r="Q6" s="284"/>
      <c r="R6" s="828"/>
      <c r="X6" s="828"/>
      <c r="Z6" s="2834"/>
      <c r="AA6" s="2716"/>
      <c r="AB6" s="271" t="s">
        <v>7882</v>
      </c>
      <c r="AC6" s="271" t="s">
        <v>7883</v>
      </c>
      <c r="AD6" s="271" t="s">
        <v>7884</v>
      </c>
      <c r="AE6" s="271" t="s">
        <v>7885</v>
      </c>
      <c r="AF6" s="2718"/>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IFERROR('4J'!E27,0)</f>
        <v>30.979999999999997</v>
      </c>
      <c r="F9" s="1573">
        <f>IFERROR('4J'!F27,0)</f>
        <v>4.6289999999999996</v>
      </c>
      <c r="G9" s="1573">
        <f>IFERROR('4J'!G27,0)</f>
        <v>1.1930000000000001</v>
      </c>
      <c r="H9" s="1573">
        <f>IFERROR('4J'!H27,0)</f>
        <v>54.494999999999997</v>
      </c>
      <c r="I9" s="1573">
        <f>IFERROR('4J'!I27,0)</f>
        <v>132.76</v>
      </c>
      <c r="J9" s="1574">
        <f>IFERROR(SUM(E9:I9), 0)</f>
        <v>224.05699999999999</v>
      </c>
      <c r="L9" s="832" t="s">
        <v>7886</v>
      </c>
      <c r="N9" s="283"/>
      <c r="P9" s="828"/>
      <c r="Q9" s="284"/>
      <c r="R9" s="828"/>
      <c r="X9" s="828"/>
      <c r="Z9" s="829" t="s">
        <v>5242</v>
      </c>
      <c r="AA9" s="830" t="s">
        <v>7887</v>
      </c>
      <c r="AB9" s="830" t="s">
        <v>7888</v>
      </c>
      <c r="AC9" s="830" t="s">
        <v>7889</v>
      </c>
      <c r="AD9" s="830" t="s">
        <v>7890</v>
      </c>
      <c r="AE9" s="830" t="s">
        <v>7891</v>
      </c>
      <c r="AF9" s="831" t="s">
        <v>7892</v>
      </c>
    </row>
    <row r="10" spans="2:33" s="197" customFormat="1" ht="15.75" customHeight="1">
      <c r="B10" s="833" t="s">
        <v>5317</v>
      </c>
      <c r="C10" s="834" t="s">
        <v>4215</v>
      </c>
      <c r="D10" s="834">
        <v>3</v>
      </c>
      <c r="E10" s="1575">
        <f>IFERROR('4L'!F129, 0)</f>
        <v>1.2999999999999999E-2</v>
      </c>
      <c r="F10" s="1575">
        <f>IFERROR('4L'!G129, 0)</f>
        <v>0</v>
      </c>
      <c r="G10" s="1575">
        <f>IFERROR('4L'!H129, 0)</f>
        <v>0</v>
      </c>
      <c r="H10" s="1575">
        <f>IFERROR('4L'!I129, 0)</f>
        <v>0.10299999999999999</v>
      </c>
      <c r="I10" s="1575">
        <f>IFERROR('4L'!J129, 0)</f>
        <v>5.1999999999999998E-2</v>
      </c>
      <c r="J10" s="1576">
        <f>IFERROR(SUM(E10:I10), 0)</f>
        <v>0.16799999999999998</v>
      </c>
      <c r="L10" s="837" t="s">
        <v>7893</v>
      </c>
      <c r="N10" s="291"/>
      <c r="P10" s="828"/>
      <c r="Q10" s="284"/>
      <c r="R10" s="828"/>
      <c r="X10" s="828"/>
      <c r="Z10" s="833" t="s">
        <v>5317</v>
      </c>
      <c r="AA10" s="835" t="s">
        <v>5319</v>
      </c>
      <c r="AB10" s="835" t="s">
        <v>7894</v>
      </c>
      <c r="AC10" s="835" t="s">
        <v>7895</v>
      </c>
      <c r="AD10" s="835" t="s">
        <v>7896</v>
      </c>
      <c r="AE10" s="835" t="s">
        <v>7897</v>
      </c>
      <c r="AF10" s="836" t="s">
        <v>7898</v>
      </c>
    </row>
    <row r="11" spans="2:33" s="197" customFormat="1" ht="15.75" customHeight="1">
      <c r="B11" s="833" t="s">
        <v>7899</v>
      </c>
      <c r="C11" s="834" t="s">
        <v>4215</v>
      </c>
      <c r="D11" s="834">
        <v>3</v>
      </c>
      <c r="E11" s="1588">
        <v>0</v>
      </c>
      <c r="F11" s="1588">
        <v>0</v>
      </c>
      <c r="G11" s="1588">
        <v>0</v>
      </c>
      <c r="H11" s="1588">
        <v>0</v>
      </c>
      <c r="I11" s="1588">
        <v>25.757000000000001</v>
      </c>
      <c r="J11" s="1576">
        <f t="shared" ref="J11:J13" si="0">IFERROR(SUM(E11:I11), 0)</f>
        <v>25.757000000000001</v>
      </c>
      <c r="L11" s="837" t="s">
        <v>7900</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7899</v>
      </c>
      <c r="AA11" s="838" t="s">
        <v>7901</v>
      </c>
      <c r="AB11" s="838" t="s">
        <v>7902</v>
      </c>
      <c r="AC11" s="838" t="s">
        <v>7903</v>
      </c>
      <c r="AD11" s="838" t="s">
        <v>7904</v>
      </c>
      <c r="AE11" s="838" t="s">
        <v>7905</v>
      </c>
      <c r="AF11" s="836" t="s">
        <v>7906</v>
      </c>
    </row>
    <row r="12" spans="2:33" s="197" customFormat="1" ht="33" customHeight="1">
      <c r="B12" s="833" t="s">
        <v>5334</v>
      </c>
      <c r="C12" s="839" t="s">
        <v>4215</v>
      </c>
      <c r="D12" s="839">
        <v>3</v>
      </c>
      <c r="E12" s="1577">
        <f>IFERROR(SUM(E9:E11), 0)</f>
        <v>30.992999999999999</v>
      </c>
      <c r="F12" s="1577">
        <f t="shared" ref="F12:G12" si="7">IFERROR(SUM(F9:F11), 0)</f>
        <v>4.6289999999999996</v>
      </c>
      <c r="G12" s="1577">
        <f t="shared" si="7"/>
        <v>1.1930000000000001</v>
      </c>
      <c r="H12" s="1577">
        <f>IFERROR(SUM(H9:H11), 0)</f>
        <v>54.597999999999999</v>
      </c>
      <c r="I12" s="1577">
        <f>IFERROR(SUM(I9:I11), 0)</f>
        <v>158.56899999999999</v>
      </c>
      <c r="J12" s="1576">
        <f>IFERROR(SUM(E12:I12), 0)</f>
        <v>249.98199999999997</v>
      </c>
      <c r="L12" s="837" t="s">
        <v>7907</v>
      </c>
      <c r="N12" s="291"/>
      <c r="P12" s="828"/>
      <c r="Q12" s="284"/>
      <c r="R12" s="828"/>
      <c r="X12" s="828"/>
      <c r="Z12" s="833" t="s">
        <v>5334</v>
      </c>
      <c r="AA12" s="840" t="s">
        <v>7908</v>
      </c>
      <c r="AB12" s="840" t="s">
        <v>7909</v>
      </c>
      <c r="AC12" s="840" t="s">
        <v>7910</v>
      </c>
      <c r="AD12" s="840" t="s">
        <v>7911</v>
      </c>
      <c r="AE12" s="840" t="s">
        <v>7912</v>
      </c>
      <c r="AF12" s="836" t="s">
        <v>7913</v>
      </c>
    </row>
    <row r="13" spans="2:33" s="197" customFormat="1" ht="15.75" customHeight="1">
      <c r="B13" s="833" t="s">
        <v>5342</v>
      </c>
      <c r="C13" s="834" t="s">
        <v>4215</v>
      </c>
      <c r="D13" s="834">
        <v>3</v>
      </c>
      <c r="E13" s="1588">
        <v>3.7189999999999999</v>
      </c>
      <c r="F13" s="1588">
        <v>1.373</v>
      </c>
      <c r="G13" s="1588">
        <v>0</v>
      </c>
      <c r="H13" s="1588">
        <v>0.221</v>
      </c>
      <c r="I13" s="1588">
        <v>1.534</v>
      </c>
      <c r="J13" s="1576">
        <f t="shared" si="0"/>
        <v>6.8469999999999995</v>
      </c>
      <c r="L13" s="837" t="s">
        <v>7914</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7915</v>
      </c>
      <c r="AC13" s="841" t="s">
        <v>7916</v>
      </c>
      <c r="AD13" s="841" t="s">
        <v>7917</v>
      </c>
      <c r="AE13" s="841" t="s">
        <v>7918</v>
      </c>
      <c r="AF13" s="836" t="s">
        <v>7919</v>
      </c>
    </row>
    <row r="14" spans="2:33" s="197" customFormat="1" ht="15.75" customHeight="1" thickBot="1">
      <c r="B14" s="843" t="s">
        <v>2468</v>
      </c>
      <c r="C14" s="844" t="s">
        <v>4215</v>
      </c>
      <c r="D14" s="844">
        <v>3</v>
      </c>
      <c r="E14" s="1578">
        <f>IFERROR(E12 + E13, 0)</f>
        <v>34.711999999999996</v>
      </c>
      <c r="F14" s="1578">
        <f>IFERROR(F12 + F13, 0)</f>
        <v>6.0019999999999998</v>
      </c>
      <c r="G14" s="1578">
        <f>IFERROR(G12 + G13, 0)</f>
        <v>1.1930000000000001</v>
      </c>
      <c r="H14" s="1578">
        <f>IFERROR(H12 + H13, 0)</f>
        <v>54.818999999999996</v>
      </c>
      <c r="I14" s="1578">
        <f>IFERROR(I12 + I13, 0)</f>
        <v>160.10299999999998</v>
      </c>
      <c r="J14" s="1579">
        <f>IFERROR(SUM(E14:I14), 0)</f>
        <v>256.82899999999995</v>
      </c>
      <c r="L14" s="847" t="s">
        <v>7920</v>
      </c>
      <c r="N14" s="302"/>
      <c r="P14" s="828"/>
      <c r="Q14" s="284"/>
      <c r="R14" s="828"/>
      <c r="X14" s="828"/>
      <c r="Z14" s="843" t="s">
        <v>2468</v>
      </c>
      <c r="AA14" s="845" t="s">
        <v>7921</v>
      </c>
      <c r="AB14" s="845" t="s">
        <v>7922</v>
      </c>
      <c r="AC14" s="845" t="s">
        <v>7923</v>
      </c>
      <c r="AD14" s="845" t="s">
        <v>7924</v>
      </c>
      <c r="AE14" s="845" t="s">
        <v>7925</v>
      </c>
      <c r="AF14" s="846" t="s">
        <v>7926</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16.260000000000002</v>
      </c>
      <c r="J17" s="1581">
        <f>IFERROR(SUM(E17:I17), 0)</f>
        <v>16.260000000000002</v>
      </c>
      <c r="K17" s="200"/>
      <c r="L17" s="850" t="s">
        <v>7927</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7928</v>
      </c>
      <c r="AC17" s="849" t="s">
        <v>7929</v>
      </c>
      <c r="AD17" s="849" t="s">
        <v>7930</v>
      </c>
      <c r="AE17" s="849" t="s">
        <v>7931</v>
      </c>
      <c r="AF17" s="687" t="s">
        <v>7932</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IFERROR('4J'!E32, 0)</f>
        <v>13.273999999999999</v>
      </c>
      <c r="F20" s="1582">
        <f>IFERROR('4J'!F32, 0)</f>
        <v>0.28099999999999997</v>
      </c>
      <c r="G20" s="1582">
        <f>IFERROR('4J'!G32, 0)</f>
        <v>5.7000000000000002E-2</v>
      </c>
      <c r="H20" s="1582">
        <f>IFERROR('4J'!H32, 0)</f>
        <v>34.19</v>
      </c>
      <c r="I20" s="1582">
        <f>IFERROR('4J'!I32, 0)</f>
        <v>57.018999999999998</v>
      </c>
      <c r="J20" s="1574">
        <f t="shared" ref="J20:J25" si="18">IFERROR(SUM(E20:I20), 0)</f>
        <v>104.821</v>
      </c>
      <c r="K20" s="106"/>
      <c r="L20" s="832" t="s">
        <v>7933</v>
      </c>
      <c r="N20" s="283"/>
      <c r="P20" s="828"/>
      <c r="Q20" s="284"/>
      <c r="R20" s="828"/>
      <c r="X20" s="828"/>
      <c r="Z20" s="451" t="s">
        <v>5366</v>
      </c>
      <c r="AA20" s="853" t="s">
        <v>5368</v>
      </c>
      <c r="AB20" s="853" t="s">
        <v>7934</v>
      </c>
      <c r="AC20" s="853" t="s">
        <v>7935</v>
      </c>
      <c r="AD20" s="853" t="s">
        <v>7936</v>
      </c>
      <c r="AE20" s="853" t="s">
        <v>7937</v>
      </c>
      <c r="AF20" s="831" t="s">
        <v>7938</v>
      </c>
    </row>
    <row r="21" spans="2:32" s="197" customFormat="1" ht="15.75" customHeight="1">
      <c r="B21" s="792" t="s">
        <v>5374</v>
      </c>
      <c r="C21" s="325" t="s">
        <v>4215</v>
      </c>
      <c r="D21" s="325">
        <v>3</v>
      </c>
      <c r="E21" s="1583">
        <f>IFERROR('4L'!F128, 0)</f>
        <v>29.791999999999998</v>
      </c>
      <c r="F21" s="1583">
        <f>IFERROR('4L'!G128, 0)</f>
        <v>4.9530000000000003</v>
      </c>
      <c r="G21" s="1583">
        <f>IFERROR('4L'!H128, 0)</f>
        <v>3.0000000000000001E-3</v>
      </c>
      <c r="H21" s="1583">
        <f>IFERROR('4L'!I128, 0)</f>
        <v>6.25</v>
      </c>
      <c r="I21" s="1583">
        <f>IFERROR('4L'!J128, 0)</f>
        <v>19.811999999999998</v>
      </c>
      <c r="J21" s="1576">
        <f t="shared" si="18"/>
        <v>60.809999999999995</v>
      </c>
      <c r="L21" s="837" t="s">
        <v>7939</v>
      </c>
      <c r="N21" s="291"/>
      <c r="P21" s="828"/>
      <c r="Q21" s="284"/>
      <c r="R21" s="828"/>
      <c r="X21" s="828"/>
      <c r="Z21" s="792" t="s">
        <v>5374</v>
      </c>
      <c r="AA21" s="854" t="s">
        <v>5376</v>
      </c>
      <c r="AB21" s="854" t="s">
        <v>7940</v>
      </c>
      <c r="AC21" s="854" t="s">
        <v>7941</v>
      </c>
      <c r="AD21" s="854" t="s">
        <v>7942</v>
      </c>
      <c r="AE21" s="854" t="s">
        <v>7943</v>
      </c>
      <c r="AF21" s="836" t="s">
        <v>7944</v>
      </c>
    </row>
    <row r="22" spans="2:32" s="197" customFormat="1" ht="15.75" customHeight="1">
      <c r="B22" s="460" t="s">
        <v>7945</v>
      </c>
      <c r="C22" s="292" t="s">
        <v>4215</v>
      </c>
      <c r="D22" s="292">
        <v>3</v>
      </c>
      <c r="E22" s="2090">
        <v>0</v>
      </c>
      <c r="F22" s="2090">
        <v>0</v>
      </c>
      <c r="G22" s="2090">
        <v>0</v>
      </c>
      <c r="H22" s="2090">
        <v>0</v>
      </c>
      <c r="I22" s="2090">
        <v>11.419</v>
      </c>
      <c r="J22" s="1576">
        <f t="shared" si="18"/>
        <v>11.419</v>
      </c>
      <c r="L22" s="837" t="s">
        <v>7946</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7945</v>
      </c>
      <c r="AA22" s="855" t="s">
        <v>7947</v>
      </c>
      <c r="AB22" s="855" t="s">
        <v>7948</v>
      </c>
      <c r="AC22" s="855" t="s">
        <v>7949</v>
      </c>
      <c r="AD22" s="855" t="s">
        <v>7950</v>
      </c>
      <c r="AE22" s="855" t="s">
        <v>7951</v>
      </c>
      <c r="AF22" s="836" t="s">
        <v>7952</v>
      </c>
    </row>
    <row r="23" spans="2:32" s="197" customFormat="1" ht="33" customHeight="1">
      <c r="B23" s="460" t="s">
        <v>5391</v>
      </c>
      <c r="C23" s="292" t="s">
        <v>4215</v>
      </c>
      <c r="D23" s="292">
        <v>3</v>
      </c>
      <c r="E23" s="1577">
        <f>IFERROR(E20 + E21 + E22, 0)</f>
        <v>43.065999999999995</v>
      </c>
      <c r="F23" s="1577">
        <f t="shared" ref="F23:H23" si="25">IFERROR(F20 + F21 + F22, 0)</f>
        <v>5.234</v>
      </c>
      <c r="G23" s="1577">
        <f t="shared" si="25"/>
        <v>6.0000000000000005E-2</v>
      </c>
      <c r="H23" s="1577">
        <f t="shared" si="25"/>
        <v>40.44</v>
      </c>
      <c r="I23" s="1577">
        <f>IFERROR(I20 + I21 + I22, 0)</f>
        <v>88.249999999999986</v>
      </c>
      <c r="J23" s="1576">
        <f t="shared" si="18"/>
        <v>177.04999999999998</v>
      </c>
      <c r="K23" s="106"/>
      <c r="L23" s="837" t="s">
        <v>7953</v>
      </c>
      <c r="N23" s="291"/>
      <c r="P23" s="828"/>
      <c r="Q23" s="284"/>
      <c r="R23" s="828"/>
      <c r="X23" s="828"/>
      <c r="Z23" s="460" t="s">
        <v>5393</v>
      </c>
      <c r="AA23" s="840" t="s">
        <v>7954</v>
      </c>
      <c r="AB23" s="840" t="s">
        <v>7955</v>
      </c>
      <c r="AC23" s="840" t="s">
        <v>7956</v>
      </c>
      <c r="AD23" s="840" t="s">
        <v>7957</v>
      </c>
      <c r="AE23" s="840" t="s">
        <v>7958</v>
      </c>
      <c r="AF23" s="836" t="s">
        <v>7959</v>
      </c>
    </row>
    <row r="24" spans="2:32" s="197" customFormat="1" ht="15.75" customHeight="1">
      <c r="B24" s="460" t="s">
        <v>5342</v>
      </c>
      <c r="C24" s="286" t="s">
        <v>4215</v>
      </c>
      <c r="D24" s="286">
        <v>3</v>
      </c>
      <c r="E24" s="2090">
        <v>3.9180000000000001</v>
      </c>
      <c r="F24" s="2090">
        <v>0</v>
      </c>
      <c r="G24" s="2090">
        <v>0</v>
      </c>
      <c r="H24" s="2090">
        <v>5.3999999999999999E-2</v>
      </c>
      <c r="I24" s="2090">
        <v>2E-3</v>
      </c>
      <c r="J24" s="1576">
        <f t="shared" si="18"/>
        <v>3.9739999999999998</v>
      </c>
      <c r="K24" s="106"/>
      <c r="L24" s="837" t="s">
        <v>7960</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7961</v>
      </c>
      <c r="AC24" s="841" t="s">
        <v>7962</v>
      </c>
      <c r="AD24" s="841" t="s">
        <v>7963</v>
      </c>
      <c r="AE24" s="841" t="s">
        <v>7964</v>
      </c>
      <c r="AF24" s="836" t="s">
        <v>7965</v>
      </c>
    </row>
    <row r="25" spans="2:32" s="197" customFormat="1" ht="15.75" customHeight="1" thickBot="1">
      <c r="B25" s="411" t="s">
        <v>5407</v>
      </c>
      <c r="C25" s="844" t="s">
        <v>4215</v>
      </c>
      <c r="D25" s="844">
        <v>3</v>
      </c>
      <c r="E25" s="1584">
        <f>IFERROR(E23 + E24, 0)</f>
        <v>46.983999999999995</v>
      </c>
      <c r="F25" s="1584">
        <f t="shared" ref="F25:H25" si="32">IFERROR(F23 + F24, 0)</f>
        <v>5.234</v>
      </c>
      <c r="G25" s="1584">
        <f t="shared" si="32"/>
        <v>6.0000000000000005E-2</v>
      </c>
      <c r="H25" s="1584">
        <f t="shared" si="32"/>
        <v>40.494</v>
      </c>
      <c r="I25" s="1584">
        <f>IFERROR(I23 + I24, 0)</f>
        <v>88.251999999999981</v>
      </c>
      <c r="J25" s="1579">
        <f t="shared" si="18"/>
        <v>181.02399999999997</v>
      </c>
      <c r="K25" s="106"/>
      <c r="L25" s="847" t="s">
        <v>7966</v>
      </c>
      <c r="N25" s="302"/>
      <c r="P25" s="828"/>
      <c r="Q25" s="284"/>
      <c r="R25" s="828"/>
      <c r="X25" s="828"/>
      <c r="Z25" s="411" t="s">
        <v>5407</v>
      </c>
      <c r="AA25" s="856" t="s">
        <v>7967</v>
      </c>
      <c r="AB25" s="856" t="s">
        <v>7968</v>
      </c>
      <c r="AC25" s="856" t="s">
        <v>7969</v>
      </c>
      <c r="AD25" s="856" t="s">
        <v>7970</v>
      </c>
      <c r="AE25" s="856" t="s">
        <v>7971</v>
      </c>
      <c r="AF25" s="846" t="s">
        <v>7972</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2.0609999999999999</v>
      </c>
      <c r="F28" s="1580">
        <v>0</v>
      </c>
      <c r="G28" s="1580">
        <v>0</v>
      </c>
      <c r="H28" s="1580">
        <v>0.40500000000000003</v>
      </c>
      <c r="I28" s="1580">
        <v>4.6959999999999997</v>
      </c>
      <c r="J28" s="1585">
        <f>IFERROR(SUM(E28:I28), 0)</f>
        <v>7.1619999999999999</v>
      </c>
      <c r="L28" s="850" t="s">
        <v>7973</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7974</v>
      </c>
      <c r="AC28" s="849" t="s">
        <v>7975</v>
      </c>
      <c r="AD28" s="849" t="s">
        <v>7976</v>
      </c>
      <c r="AE28" s="849" t="s">
        <v>7977</v>
      </c>
      <c r="AF28" s="858" t="s">
        <v>7978</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79.634999999999991</v>
      </c>
      <c r="F30" s="1586">
        <f t="shared" ref="F30:I30" si="39">IFERROR(F14 + F25 - F17 - F28, 0)</f>
        <v>11.236000000000001</v>
      </c>
      <c r="G30" s="1586">
        <f t="shared" si="39"/>
        <v>1.2530000000000001</v>
      </c>
      <c r="H30" s="1586">
        <f t="shared" si="39"/>
        <v>94.907999999999987</v>
      </c>
      <c r="I30" s="1586">
        <f t="shared" si="39"/>
        <v>227.39899999999997</v>
      </c>
      <c r="J30" s="1585">
        <f>IFERROR(SUM(E30:I30), 0)</f>
        <v>414.43099999999993</v>
      </c>
      <c r="K30" s="106"/>
      <c r="L30" s="850" t="s">
        <v>7979</v>
      </c>
      <c r="N30" s="375"/>
      <c r="P30" s="828"/>
      <c r="Q30" s="284"/>
      <c r="R30" s="828"/>
      <c r="X30" s="828"/>
      <c r="Z30" s="420" t="s">
        <v>5423</v>
      </c>
      <c r="AA30" s="372" t="s">
        <v>7980</v>
      </c>
      <c r="AB30" s="372" t="s">
        <v>7981</v>
      </c>
      <c r="AC30" s="372" t="s">
        <v>7982</v>
      </c>
      <c r="AD30" s="372" t="s">
        <v>7983</v>
      </c>
      <c r="AE30" s="372" t="s">
        <v>7984</v>
      </c>
      <c r="AF30" s="858" t="s">
        <v>7985</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7986</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7987</v>
      </c>
      <c r="AC33" s="860" t="s">
        <v>7988</v>
      </c>
      <c r="AD33" s="860" t="s">
        <v>7989</v>
      </c>
      <c r="AE33" s="860" t="s">
        <v>7990</v>
      </c>
      <c r="AF33" s="831" t="s">
        <v>7991</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7992</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7993</v>
      </c>
      <c r="AC34" s="841" t="s">
        <v>7994</v>
      </c>
      <c r="AD34" s="841" t="s">
        <v>7995</v>
      </c>
      <c r="AE34" s="841" t="s">
        <v>7996</v>
      </c>
      <c r="AF34" s="836" t="s">
        <v>7997</v>
      </c>
    </row>
    <row r="35" spans="1:33" s="197" customFormat="1" ht="15.75" customHeight="1" thickBot="1">
      <c r="B35" s="463" t="s">
        <v>5448</v>
      </c>
      <c r="C35" s="355" t="s">
        <v>4215</v>
      </c>
      <c r="D35" s="355">
        <v>3</v>
      </c>
      <c r="E35" s="1589">
        <f>IFERROR(E30 + E33 + E34, 0)</f>
        <v>79.634999999999991</v>
      </c>
      <c r="F35" s="1589">
        <f t="shared" ref="F35:H35" si="46">IFERROR(F30 + F33 + F34, 0)</f>
        <v>11.236000000000001</v>
      </c>
      <c r="G35" s="1589">
        <f t="shared" si="46"/>
        <v>1.2530000000000001</v>
      </c>
      <c r="H35" s="1589">
        <f t="shared" si="46"/>
        <v>94.907999999999987</v>
      </c>
      <c r="I35" s="1589">
        <f>IFERROR(I30 + I33 + I34, 0)</f>
        <v>227.39899999999997</v>
      </c>
      <c r="J35" s="1579">
        <f>IFERROR(SUM(E35:I35), 0)</f>
        <v>414.43099999999993</v>
      </c>
      <c r="K35" s="106"/>
      <c r="L35" s="847" t="s">
        <v>7998</v>
      </c>
      <c r="N35" s="302"/>
      <c r="P35" s="828"/>
      <c r="Q35" s="284"/>
      <c r="R35" s="828"/>
      <c r="X35" s="828"/>
      <c r="Z35" s="463" t="s">
        <v>5448</v>
      </c>
      <c r="AA35" s="679" t="s">
        <v>7999</v>
      </c>
      <c r="AB35" s="679" t="s">
        <v>8000</v>
      </c>
      <c r="AC35" s="679" t="s">
        <v>8001</v>
      </c>
      <c r="AD35" s="679" t="s">
        <v>8002</v>
      </c>
      <c r="AE35" s="679" t="s">
        <v>8003</v>
      </c>
      <c r="AF35" s="846" t="s">
        <v>8004</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33" t="s">
        <v>4202</v>
      </c>
      <c r="C37" s="2715" t="s">
        <v>4203</v>
      </c>
      <c r="D37" s="2715" t="s">
        <v>4204</v>
      </c>
      <c r="E37" s="2841" t="s">
        <v>5141</v>
      </c>
      <c r="F37" s="2841" t="s">
        <v>7881</v>
      </c>
      <c r="G37" s="2841"/>
      <c r="H37" s="2841"/>
      <c r="I37" s="2841"/>
      <c r="J37" s="2839" t="s">
        <v>4425</v>
      </c>
      <c r="K37" s="365"/>
      <c r="L37" s="365"/>
      <c r="M37" s="365"/>
      <c r="N37" s="365"/>
      <c r="P37" s="828"/>
      <c r="Q37" s="284"/>
      <c r="R37" s="828"/>
      <c r="X37" s="828"/>
      <c r="Z37" s="2833" t="s">
        <v>4202</v>
      </c>
      <c r="AA37" s="2841" t="s">
        <v>5141</v>
      </c>
      <c r="AB37" s="2841" t="s">
        <v>7881</v>
      </c>
      <c r="AC37" s="2841"/>
      <c r="AD37" s="2841"/>
      <c r="AE37" s="2841"/>
      <c r="AF37" s="2839" t="s">
        <v>4425</v>
      </c>
      <c r="AG37" s="467"/>
    </row>
    <row r="38" spans="1:33" s="197" customFormat="1" ht="33" customHeight="1" thickBot="1">
      <c r="B38" s="2834"/>
      <c r="C38" s="2838"/>
      <c r="D38" s="2838"/>
      <c r="E38" s="2842"/>
      <c r="F38" s="862" t="s">
        <v>7882</v>
      </c>
      <c r="G38" s="862" t="s">
        <v>7883</v>
      </c>
      <c r="H38" s="862" t="s">
        <v>7884</v>
      </c>
      <c r="I38" s="862" t="s">
        <v>7885</v>
      </c>
      <c r="J38" s="2840"/>
      <c r="K38" s="365"/>
      <c r="L38" s="365"/>
      <c r="M38" s="365"/>
      <c r="N38" s="365"/>
      <c r="P38" s="828"/>
      <c r="Q38" s="284"/>
      <c r="R38" s="828"/>
      <c r="X38" s="828"/>
      <c r="Z38" s="2834"/>
      <c r="AA38" s="2842"/>
      <c r="AB38" s="862" t="s">
        <v>7882</v>
      </c>
      <c r="AC38" s="862" t="s">
        <v>7883</v>
      </c>
      <c r="AD38" s="862" t="s">
        <v>7884</v>
      </c>
      <c r="AE38" s="862" t="s">
        <v>7885</v>
      </c>
      <c r="AF38" s="2840"/>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8005</v>
      </c>
      <c r="C40" s="824"/>
      <c r="D40" s="824"/>
      <c r="E40" s="824"/>
      <c r="F40" s="824"/>
      <c r="G40" s="824"/>
      <c r="H40" s="824"/>
      <c r="I40" s="824"/>
      <c r="J40" s="824"/>
      <c r="K40" s="865"/>
      <c r="M40" s="197"/>
      <c r="N40" s="197"/>
      <c r="O40" s="197"/>
      <c r="P40" s="363"/>
      <c r="Q40" s="284"/>
      <c r="R40" s="363"/>
      <c r="S40" s="197"/>
      <c r="T40" s="197"/>
      <c r="U40" s="197"/>
      <c r="V40" s="197"/>
      <c r="W40" s="197"/>
      <c r="X40" s="363"/>
      <c r="Z40" s="393" t="s">
        <v>8005</v>
      </c>
      <c r="AA40" s="824"/>
      <c r="AB40" s="824"/>
      <c r="AC40" s="824"/>
      <c r="AD40" s="824"/>
      <c r="AE40" s="824"/>
      <c r="AF40" s="824"/>
    </row>
    <row r="41" spans="1:33" ht="15.75" customHeight="1" thickTop="1">
      <c r="A41" s="197"/>
      <c r="B41" s="829" t="s">
        <v>18774</v>
      </c>
      <c r="C41" s="788" t="s">
        <v>4215</v>
      </c>
      <c r="D41" s="788">
        <v>3</v>
      </c>
      <c r="E41" s="1587">
        <v>3.7229999999999999</v>
      </c>
      <c r="F41" s="1587">
        <v>0.31</v>
      </c>
      <c r="G41" s="1587">
        <v>0.11700000000000001</v>
      </c>
      <c r="H41" s="1587">
        <v>5.2830000000000004</v>
      </c>
      <c r="I41" s="1587">
        <v>9.5210000000000008</v>
      </c>
      <c r="J41" s="1574">
        <f t="shared" ref="J41:J46" si="47">IFERROR(SUM(E41:I41), 0)</f>
        <v>18.954000000000001</v>
      </c>
      <c r="K41" s="197"/>
      <c r="L41" s="832" t="s">
        <v>8007</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8006</v>
      </c>
      <c r="AA41" s="860" t="s">
        <v>8008</v>
      </c>
      <c r="AB41" s="860" t="s">
        <v>8009</v>
      </c>
      <c r="AC41" s="860" t="s">
        <v>8010</v>
      </c>
      <c r="AD41" s="860" t="s">
        <v>8011</v>
      </c>
      <c r="AE41" s="860" t="s">
        <v>8012</v>
      </c>
      <c r="AF41" s="831" t="s">
        <v>8013</v>
      </c>
    </row>
    <row r="42" spans="1:33" ht="15.75" customHeight="1">
      <c r="A42" s="197"/>
      <c r="B42" s="833" t="s">
        <v>18775</v>
      </c>
      <c r="C42" s="834" t="s">
        <v>4215</v>
      </c>
      <c r="D42" s="834">
        <v>3</v>
      </c>
      <c r="E42" s="1590">
        <v>0</v>
      </c>
      <c r="F42" s="1590">
        <v>0</v>
      </c>
      <c r="G42" s="1590">
        <v>0</v>
      </c>
      <c r="H42" s="1590">
        <v>0</v>
      </c>
      <c r="I42" s="1590">
        <v>2.62</v>
      </c>
      <c r="J42" s="1576">
        <f t="shared" si="47"/>
        <v>2.62</v>
      </c>
      <c r="K42" s="197"/>
      <c r="L42" s="837" t="s">
        <v>8015</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8014</v>
      </c>
      <c r="AA42" s="867" t="s">
        <v>8016</v>
      </c>
      <c r="AB42" s="867" t="s">
        <v>8017</v>
      </c>
      <c r="AC42" s="867" t="s">
        <v>8018</v>
      </c>
      <c r="AD42" s="867" t="s">
        <v>8019</v>
      </c>
      <c r="AE42" s="867" t="s">
        <v>8020</v>
      </c>
      <c r="AF42" s="836" t="s">
        <v>8021</v>
      </c>
    </row>
    <row r="43" spans="1:33" ht="15.75" customHeight="1">
      <c r="A43" s="197"/>
      <c r="B43" s="833" t="s">
        <v>18772</v>
      </c>
      <c r="C43" s="834" t="s">
        <v>4215</v>
      </c>
      <c r="D43" s="834">
        <v>3</v>
      </c>
      <c r="E43" s="1590">
        <v>0.28599999999999998</v>
      </c>
      <c r="F43" s="1590">
        <v>5.8000000000000003E-2</v>
      </c>
      <c r="G43" s="1590">
        <v>2.1999999999999999E-2</v>
      </c>
      <c r="H43" s="1590">
        <v>0.94</v>
      </c>
      <c r="I43" s="1590">
        <v>1.679</v>
      </c>
      <c r="J43" s="1576">
        <f t="shared" si="47"/>
        <v>2.9850000000000003</v>
      </c>
      <c r="K43" s="197"/>
      <c r="L43" s="837" t="s">
        <v>8023</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8022</v>
      </c>
      <c r="AA43" s="867" t="s">
        <v>8024</v>
      </c>
      <c r="AB43" s="867" t="s">
        <v>8025</v>
      </c>
      <c r="AC43" s="867" t="s">
        <v>8026</v>
      </c>
      <c r="AD43" s="867" t="s">
        <v>8027</v>
      </c>
      <c r="AE43" s="867" t="s">
        <v>8028</v>
      </c>
      <c r="AF43" s="836" t="s">
        <v>8029</v>
      </c>
    </row>
    <row r="44" spans="1:33" ht="15.75" customHeight="1">
      <c r="A44" s="197"/>
      <c r="B44" s="833" t="s">
        <v>18773</v>
      </c>
      <c r="C44" s="834" t="s">
        <v>4215</v>
      </c>
      <c r="D44" s="834">
        <v>3</v>
      </c>
      <c r="E44" s="1590">
        <v>0</v>
      </c>
      <c r="F44" s="1590">
        <v>0</v>
      </c>
      <c r="G44" s="1590">
        <v>0</v>
      </c>
      <c r="H44" s="1590">
        <v>0</v>
      </c>
      <c r="I44" s="1590">
        <v>0.91300000000000003</v>
      </c>
      <c r="J44" s="1576">
        <f t="shared" si="47"/>
        <v>0.91300000000000003</v>
      </c>
      <c r="K44" s="197"/>
      <c r="L44" s="837" t="s">
        <v>8031</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8030</v>
      </c>
      <c r="AA44" s="867" t="s">
        <v>8032</v>
      </c>
      <c r="AB44" s="867" t="s">
        <v>8033</v>
      </c>
      <c r="AC44" s="867" t="s">
        <v>8034</v>
      </c>
      <c r="AD44" s="867" t="s">
        <v>8035</v>
      </c>
      <c r="AE44" s="867" t="s">
        <v>8036</v>
      </c>
      <c r="AF44" s="836" t="s">
        <v>8037</v>
      </c>
    </row>
    <row r="45" spans="1:33" ht="15.75" customHeight="1">
      <c r="A45" s="197"/>
      <c r="B45" s="833" t="s">
        <v>8038</v>
      </c>
      <c r="C45" s="834" t="s">
        <v>4215</v>
      </c>
      <c r="D45" s="834">
        <v>3</v>
      </c>
      <c r="E45" s="1590">
        <v>0</v>
      </c>
      <c r="F45" s="1590">
        <v>0</v>
      </c>
      <c r="G45" s="1590">
        <v>0</v>
      </c>
      <c r="H45" s="1590">
        <v>0</v>
      </c>
      <c r="I45" s="1590">
        <v>0</v>
      </c>
      <c r="J45" s="1576">
        <f t="shared" si="47"/>
        <v>0</v>
      </c>
      <c r="K45" s="197"/>
      <c r="L45" s="837" t="s">
        <v>8039</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8038</v>
      </c>
      <c r="AA45" s="867" t="s">
        <v>8040</v>
      </c>
      <c r="AB45" s="867" t="s">
        <v>8041</v>
      </c>
      <c r="AC45" s="867" t="s">
        <v>8042</v>
      </c>
      <c r="AD45" s="867" t="s">
        <v>8043</v>
      </c>
      <c r="AE45" s="867" t="s">
        <v>8044</v>
      </c>
      <c r="AF45" s="836" t="s">
        <v>8045</v>
      </c>
    </row>
    <row r="46" spans="1:33" ht="15.75" customHeight="1" thickBot="1">
      <c r="A46" s="197"/>
      <c r="B46" s="868" t="s">
        <v>8046</v>
      </c>
      <c r="C46" s="844" t="s">
        <v>4215</v>
      </c>
      <c r="D46" s="844">
        <v>3</v>
      </c>
      <c r="E46" s="1584">
        <f>IFERROR(SUM(E41:E45), 0)</f>
        <v>4.0089999999999995</v>
      </c>
      <c r="F46" s="1584">
        <f t="shared" ref="F46:H46" si="54">IFERROR(SUM(F41:F45), 0)</f>
        <v>0.36799999999999999</v>
      </c>
      <c r="G46" s="1584">
        <f t="shared" si="54"/>
        <v>0.13900000000000001</v>
      </c>
      <c r="H46" s="1584">
        <f t="shared" si="54"/>
        <v>6.2230000000000008</v>
      </c>
      <c r="I46" s="1584">
        <f>IFERROR(SUM(I41:I45), 0)</f>
        <v>14.733000000000002</v>
      </c>
      <c r="J46" s="1579">
        <f t="shared" si="47"/>
        <v>25.472000000000001</v>
      </c>
      <c r="K46" s="197"/>
      <c r="L46" s="847" t="s">
        <v>8047</v>
      </c>
      <c r="M46" s="197"/>
      <c r="N46" s="302"/>
      <c r="O46" s="197"/>
      <c r="P46" s="363"/>
      <c r="Q46" s="284"/>
      <c r="R46" s="363"/>
      <c r="S46" s="197"/>
      <c r="T46" s="197"/>
      <c r="U46" s="197"/>
      <c r="V46" s="197"/>
      <c r="W46" s="197"/>
      <c r="X46" s="363"/>
      <c r="Z46" s="868" t="s">
        <v>8046</v>
      </c>
      <c r="AA46" s="856" t="s">
        <v>8048</v>
      </c>
      <c r="AB46" s="856" t="s">
        <v>8049</v>
      </c>
      <c r="AC46" s="856" t="s">
        <v>8050</v>
      </c>
      <c r="AD46" s="856" t="s">
        <v>8051</v>
      </c>
      <c r="AE46" s="856" t="s">
        <v>8052</v>
      </c>
      <c r="AF46" s="846" t="s">
        <v>8053</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4"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A7" zoomScaleNormal="100" zoomScaleSheetLayoutView="100" workbookViewId="0">
      <selection activeCell="A5" sqref="A5:XFD6"/>
    </sheetView>
  </sheetViews>
  <sheetFormatPr defaultColWidth="9" defaultRowHeight="15.6"/>
  <cols>
    <col min="1" max="1" width="2.09765625" style="224" customWidth="1"/>
    <col min="2" max="2" width="55.69921875" style="224" bestFit="1" customWidth="1"/>
    <col min="3" max="3" width="7.09765625" style="224" customWidth="1"/>
    <col min="4" max="4" width="5.09765625" style="224" customWidth="1"/>
    <col min="5" max="9" width="12.5" style="224" customWidth="1"/>
    <col min="10" max="10" width="13.59765625" style="224" bestFit="1" customWidth="1"/>
    <col min="11" max="13" width="12.5" style="224" customWidth="1"/>
    <col min="14" max="14" width="1.59765625" style="224" customWidth="1"/>
    <col min="15" max="15" width="12.5" style="883" customWidth="1"/>
    <col min="16" max="16" width="1.59765625" style="224" customWidth="1"/>
    <col min="17" max="17" width="22.59765625" style="224" customWidth="1"/>
    <col min="18" max="18" width="2" style="224" customWidth="1"/>
    <col min="19" max="19" width="1.59765625" style="224" customWidth="1"/>
    <col min="20" max="20" width="25" style="224" customWidth="1"/>
    <col min="21" max="21" width="1.59765625" style="224" customWidth="1"/>
    <col min="22" max="29" width="4.59765625" style="224" hidden="1" customWidth="1"/>
    <col min="30" max="30" width="1.59765625" style="224" hidden="1" customWidth="1"/>
    <col min="31" max="31" width="2" style="224" customWidth="1"/>
    <col min="32" max="32" width="36.09765625" style="247" customWidth="1"/>
    <col min="33" max="41" width="15" style="224" customWidth="1"/>
    <col min="42" max="42" width="1.59765625" style="224" customWidth="1"/>
    <col min="43" max="16384" width="9" style="224"/>
  </cols>
  <sheetData>
    <row r="1" spans="2:41" s="389" customFormat="1" ht="29.25" customHeight="1">
      <c r="B1" s="2721" t="s">
        <v>8054</v>
      </c>
      <c r="C1" s="2721"/>
      <c r="D1" s="2721"/>
      <c r="E1" s="2721"/>
      <c r="F1" s="2721"/>
      <c r="G1" s="2721"/>
      <c r="H1" s="2721"/>
      <c r="I1" s="2721"/>
      <c r="J1" s="339"/>
      <c r="K1" s="561"/>
      <c r="L1" s="561"/>
      <c r="M1" s="561"/>
      <c r="N1" s="561"/>
      <c r="O1" s="824"/>
      <c r="S1" s="825"/>
      <c r="U1" s="825"/>
      <c r="AD1" s="825"/>
      <c r="AF1" s="2721" t="s">
        <v>4198</v>
      </c>
      <c r="AG1" s="2721"/>
      <c r="AH1" s="2721"/>
      <c r="AI1" s="2721"/>
      <c r="AJ1" s="2721"/>
      <c r="AK1" s="2721"/>
      <c r="AL1" s="339"/>
      <c r="AM1" s="2721"/>
      <c r="AN1" s="2721"/>
      <c r="AO1" s="2721"/>
    </row>
    <row r="2" spans="2:41" s="389" customFormat="1" ht="29.25" customHeight="1">
      <c r="B2" s="2721" t="str">
        <f>SelectCompany!B4</f>
        <v>Dŵr Cymru</v>
      </c>
      <c r="C2" s="2721"/>
      <c r="D2" s="2721"/>
      <c r="E2" s="2721"/>
      <c r="F2" s="2721"/>
      <c r="G2" s="2721"/>
      <c r="H2" s="2721"/>
      <c r="I2" s="2721"/>
      <c r="J2" s="339"/>
      <c r="K2" s="390"/>
      <c r="L2" s="390"/>
      <c r="M2" s="390"/>
      <c r="N2" s="390"/>
      <c r="O2" s="824"/>
      <c r="S2" s="825"/>
      <c r="U2" s="825"/>
      <c r="AD2" s="825"/>
      <c r="AF2" s="2721"/>
      <c r="AG2" s="2721"/>
      <c r="AH2" s="2721"/>
      <c r="AI2" s="2721"/>
      <c r="AJ2" s="2721"/>
      <c r="AK2" s="2721"/>
      <c r="AL2" s="2721"/>
      <c r="AM2" s="2721"/>
      <c r="AN2" s="390"/>
      <c r="AO2" s="390"/>
    </row>
    <row r="3" spans="2:41" ht="45.75" customHeight="1">
      <c r="B3" s="2829" t="s">
        <v>8055</v>
      </c>
      <c r="C3" s="2829"/>
      <c r="D3" s="2829"/>
      <c r="E3" s="2829"/>
      <c r="F3" s="2829"/>
      <c r="G3" s="2829"/>
      <c r="H3" s="2829"/>
      <c r="I3" s="2829"/>
      <c r="J3" s="2829"/>
      <c r="K3" s="2829"/>
      <c r="L3" s="2829"/>
      <c r="M3" s="2829"/>
      <c r="N3" s="2829"/>
      <c r="O3" s="2829"/>
      <c r="P3" s="2829"/>
      <c r="Q3" s="2829"/>
      <c r="S3" s="363"/>
      <c r="T3" s="650" t="s">
        <v>4200</v>
      </c>
      <c r="U3" s="363"/>
      <c r="AD3" s="363"/>
      <c r="AF3" s="2829" t="s">
        <v>8055</v>
      </c>
      <c r="AG3" s="2829"/>
      <c r="AH3" s="2829"/>
      <c r="AI3" s="2829"/>
      <c r="AJ3" s="2829"/>
      <c r="AK3" s="2829"/>
      <c r="AL3" s="2829"/>
      <c r="AM3" s="2829"/>
      <c r="AN3" s="2829"/>
      <c r="AO3" s="2829"/>
    </row>
    <row r="4" spans="2:41" ht="15" customHeight="1" thickBot="1">
      <c r="B4" s="690"/>
      <c r="C4" s="690"/>
      <c r="D4" s="690"/>
      <c r="E4" s="690"/>
      <c r="F4" s="690"/>
      <c r="G4" s="690"/>
      <c r="H4" s="690"/>
      <c r="I4" s="690"/>
      <c r="J4" s="690"/>
      <c r="K4" s="690"/>
      <c r="L4" s="690"/>
      <c r="M4" s="690"/>
      <c r="N4" s="870"/>
      <c r="O4" s="824"/>
      <c r="S4" s="363"/>
      <c r="T4" s="284"/>
      <c r="U4" s="363"/>
      <c r="V4" s="2710" t="s">
        <v>4201</v>
      </c>
      <c r="W4" s="2710"/>
      <c r="X4" s="2710"/>
      <c r="Y4" s="2843"/>
      <c r="Z4" s="2843"/>
      <c r="AA4" s="2843"/>
      <c r="AB4" s="2843"/>
      <c r="AC4" s="2843"/>
      <c r="AD4" s="363"/>
      <c r="AF4" s="690"/>
      <c r="AG4" s="690"/>
      <c r="AH4" s="690"/>
      <c r="AI4" s="690"/>
      <c r="AJ4" s="690"/>
      <c r="AK4" s="690"/>
      <c r="AL4" s="690"/>
      <c r="AM4" s="690"/>
      <c r="AN4" s="690"/>
      <c r="AO4" s="690"/>
    </row>
    <row r="5" spans="2:41" s="197" customFormat="1" ht="30" customHeight="1" thickTop="1">
      <c r="B5" s="2833" t="s">
        <v>4202</v>
      </c>
      <c r="C5" s="2715" t="s">
        <v>4203</v>
      </c>
      <c r="D5" s="2715" t="s">
        <v>4204</v>
      </c>
      <c r="E5" s="2715" t="s">
        <v>8056</v>
      </c>
      <c r="F5" s="2715"/>
      <c r="G5" s="2715"/>
      <c r="H5" s="2715" t="s">
        <v>8057</v>
      </c>
      <c r="I5" s="2715"/>
      <c r="J5" s="2715" t="s">
        <v>5144</v>
      </c>
      <c r="K5" s="2715"/>
      <c r="L5" s="2715"/>
      <c r="M5" s="2717" t="s">
        <v>4425</v>
      </c>
      <c r="O5" s="2811" t="s">
        <v>4208</v>
      </c>
      <c r="Q5" s="2811" t="s">
        <v>4209</v>
      </c>
      <c r="S5" s="828"/>
      <c r="T5" s="284"/>
      <c r="U5" s="828"/>
      <c r="V5" s="269" t="s">
        <v>4210</v>
      </c>
      <c r="AD5" s="828"/>
      <c r="AF5" s="2833" t="s">
        <v>4202</v>
      </c>
      <c r="AG5" s="2715" t="s">
        <v>8056</v>
      </c>
      <c r="AH5" s="2715"/>
      <c r="AI5" s="2715"/>
      <c r="AJ5" s="2715" t="s">
        <v>8057</v>
      </c>
      <c r="AK5" s="2715"/>
      <c r="AL5" s="2715" t="s">
        <v>5144</v>
      </c>
      <c r="AM5" s="2715"/>
      <c r="AN5" s="2715"/>
      <c r="AO5" s="2717" t="s">
        <v>4425</v>
      </c>
    </row>
    <row r="6" spans="2:41" s="197" customFormat="1" ht="56.25" customHeight="1" thickBot="1">
      <c r="B6" s="2834"/>
      <c r="C6" s="2716"/>
      <c r="D6" s="2716"/>
      <c r="E6" s="271" t="s">
        <v>8058</v>
      </c>
      <c r="F6" s="271" t="s">
        <v>8059</v>
      </c>
      <c r="G6" s="271" t="s">
        <v>8060</v>
      </c>
      <c r="H6" s="271" t="s">
        <v>8061</v>
      </c>
      <c r="I6" s="271" t="s">
        <v>8062</v>
      </c>
      <c r="J6" s="271" t="s">
        <v>8063</v>
      </c>
      <c r="K6" s="271" t="s">
        <v>8064</v>
      </c>
      <c r="L6" s="271" t="s">
        <v>8065</v>
      </c>
      <c r="M6" s="2718"/>
      <c r="O6" s="2813"/>
      <c r="Q6" s="2813"/>
      <c r="S6" s="828"/>
      <c r="T6" s="284"/>
      <c r="U6" s="828"/>
      <c r="AD6" s="828"/>
      <c r="AF6" s="2834"/>
      <c r="AG6" s="271" t="s">
        <v>8058</v>
      </c>
      <c r="AH6" s="271" t="s">
        <v>8059</v>
      </c>
      <c r="AI6" s="271" t="s">
        <v>8060</v>
      </c>
      <c r="AJ6" s="271" t="s">
        <v>8061</v>
      </c>
      <c r="AK6" s="271" t="s">
        <v>8062</v>
      </c>
      <c r="AL6" s="271" t="s">
        <v>8063</v>
      </c>
      <c r="AM6" s="271" t="s">
        <v>8064</v>
      </c>
      <c r="AN6" s="271" t="s">
        <v>8065</v>
      </c>
      <c r="AO6" s="2718"/>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IFERROR('4K'!E28, 0)</f>
        <v>36.626000000000005</v>
      </c>
      <c r="F9" s="1573">
        <f>IFERROR('4K'!F28, 0)</f>
        <v>17.893000000000001</v>
      </c>
      <c r="G9" s="1573">
        <f>IFERROR('4K'!G28, 0)</f>
        <v>8.7740000000000009</v>
      </c>
      <c r="H9" s="1573">
        <f>IFERROR('4K'!H28, 0)</f>
        <v>85.283999999999992</v>
      </c>
      <c r="I9" s="1573">
        <f>IFERROR('4K'!I28, 0)</f>
        <v>5.5890000000000004</v>
      </c>
      <c r="J9" s="1573">
        <f>IFERROR('4K'!J28, 0)</f>
        <v>7.0909999999999993</v>
      </c>
      <c r="K9" s="1573">
        <f>IFERROR('4K'!K28, 0)</f>
        <v>7.4379999999999997</v>
      </c>
      <c r="L9" s="1573">
        <f>IFERROR('4K'!L28, 0)</f>
        <v>5.1639999999999997</v>
      </c>
      <c r="M9" s="1574">
        <f>IFERROR(SUM(E9:L9), 0)</f>
        <v>173.85899999999998</v>
      </c>
      <c r="O9" s="832" t="s">
        <v>8066</v>
      </c>
      <c r="Q9" s="283"/>
      <c r="S9" s="828"/>
      <c r="T9" s="284"/>
      <c r="U9" s="828"/>
      <c r="AD9" s="828"/>
      <c r="AF9" s="829" t="s">
        <v>5242</v>
      </c>
      <c r="AG9" s="830" t="s">
        <v>8067</v>
      </c>
      <c r="AH9" s="830" t="s">
        <v>8068</v>
      </c>
      <c r="AI9" s="830" t="s">
        <v>8069</v>
      </c>
      <c r="AJ9" s="830" t="s">
        <v>8070</v>
      </c>
      <c r="AK9" s="830" t="s">
        <v>8071</v>
      </c>
      <c r="AL9" s="830" t="s">
        <v>8072</v>
      </c>
      <c r="AM9" s="830" t="s">
        <v>8073</v>
      </c>
      <c r="AN9" s="830" t="s">
        <v>8074</v>
      </c>
      <c r="AO9" s="831" t="s">
        <v>8075</v>
      </c>
    </row>
    <row r="10" spans="2:41" s="197" customFormat="1" ht="15.75" customHeight="1">
      <c r="B10" s="833" t="s">
        <v>5317</v>
      </c>
      <c r="C10" s="834" t="s">
        <v>4215</v>
      </c>
      <c r="D10" s="834">
        <v>3</v>
      </c>
      <c r="E10" s="1575">
        <f>IFERROR('4M'!F100, 0)</f>
        <v>0</v>
      </c>
      <c r="F10" s="1575">
        <f>IFERROR('4M'!G100, 0)</f>
        <v>0</v>
      </c>
      <c r="G10" s="1575">
        <f>IFERROR('4M'!H100, 0)</f>
        <v>0</v>
      </c>
      <c r="H10" s="1575">
        <f>IFERROR('4M'!I100, 0)</f>
        <v>0.93800000000000006</v>
      </c>
      <c r="I10" s="1575">
        <f>IFERROR('4M'!J100, 0)</f>
        <v>0</v>
      </c>
      <c r="J10" s="1575">
        <f>IFERROR('4M'!K100, 0)</f>
        <v>0</v>
      </c>
      <c r="K10" s="1575">
        <f>IFERROR('4M'!L100, 0)</f>
        <v>0</v>
      </c>
      <c r="L10" s="1575">
        <f>IFERROR('4M'!M100, 0)</f>
        <v>0</v>
      </c>
      <c r="M10" s="1576">
        <f t="shared" ref="M10:M13" si="0">IFERROR(SUM(E10:L10), 0)</f>
        <v>0.93800000000000006</v>
      </c>
      <c r="O10" s="837" t="s">
        <v>8076</v>
      </c>
      <c r="Q10" s="291"/>
      <c r="S10" s="828"/>
      <c r="T10" s="284"/>
      <c r="U10" s="828"/>
      <c r="AD10" s="828"/>
      <c r="AF10" s="833" t="s">
        <v>5317</v>
      </c>
      <c r="AG10" s="835" t="s">
        <v>8077</v>
      </c>
      <c r="AH10" s="835" t="s">
        <v>8078</v>
      </c>
      <c r="AI10" s="835" t="s">
        <v>8079</v>
      </c>
      <c r="AJ10" s="835" t="s">
        <v>8080</v>
      </c>
      <c r="AK10" s="835" t="s">
        <v>8081</v>
      </c>
      <c r="AL10" s="835" t="s">
        <v>8082</v>
      </c>
      <c r="AM10" s="835" t="s">
        <v>8083</v>
      </c>
      <c r="AN10" s="835" t="s">
        <v>8084</v>
      </c>
      <c r="AO10" s="836" t="s">
        <v>8085</v>
      </c>
    </row>
    <row r="11" spans="2:41" s="197" customFormat="1" ht="15.75" customHeight="1">
      <c r="B11" s="833" t="s">
        <v>5325</v>
      </c>
      <c r="C11" s="834" t="s">
        <v>4215</v>
      </c>
      <c r="D11" s="834">
        <v>3</v>
      </c>
      <c r="E11" s="1588">
        <v>4.4059999999999997</v>
      </c>
      <c r="F11" s="1588">
        <v>0.59199999999999997</v>
      </c>
      <c r="G11" s="1588">
        <v>0</v>
      </c>
      <c r="H11" s="1588">
        <v>0</v>
      </c>
      <c r="I11" s="1588">
        <v>0</v>
      </c>
      <c r="J11" s="1588">
        <v>0</v>
      </c>
      <c r="K11" s="1588">
        <v>0</v>
      </c>
      <c r="L11" s="1588">
        <v>0</v>
      </c>
      <c r="M11" s="1576">
        <f t="shared" si="0"/>
        <v>4.9979999999999993</v>
      </c>
      <c r="O11" s="837" t="s">
        <v>8086</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5325</v>
      </c>
      <c r="AG11" s="838" t="s">
        <v>8087</v>
      </c>
      <c r="AH11" s="838" t="s">
        <v>8088</v>
      </c>
      <c r="AI11" s="838" t="s">
        <v>8089</v>
      </c>
      <c r="AJ11" s="838" t="s">
        <v>8090</v>
      </c>
      <c r="AK11" s="838" t="s">
        <v>8091</v>
      </c>
      <c r="AL11" s="838" t="s">
        <v>8092</v>
      </c>
      <c r="AM11" s="838" t="s">
        <v>8093</v>
      </c>
      <c r="AN11" s="838" t="s">
        <v>8094</v>
      </c>
      <c r="AO11" s="836" t="s">
        <v>8095</v>
      </c>
    </row>
    <row r="12" spans="2:41" s="197" customFormat="1" ht="15.75" customHeight="1">
      <c r="B12" s="872" t="s">
        <v>5334</v>
      </c>
      <c r="C12" s="839" t="s">
        <v>4215</v>
      </c>
      <c r="D12" s="839">
        <v>3</v>
      </c>
      <c r="E12" s="1577">
        <f>IFERROR(E9 + E10 + E11, 0)</f>
        <v>41.032000000000004</v>
      </c>
      <c r="F12" s="1577">
        <f t="shared" ref="F12:L12" si="10">IFERROR(F9 + F10 + F11, 0)</f>
        <v>18.484999999999999</v>
      </c>
      <c r="G12" s="1577">
        <f t="shared" si="10"/>
        <v>8.7740000000000009</v>
      </c>
      <c r="H12" s="1577">
        <f t="shared" si="10"/>
        <v>86.221999999999994</v>
      </c>
      <c r="I12" s="1577">
        <f t="shared" si="10"/>
        <v>5.5890000000000004</v>
      </c>
      <c r="J12" s="1577">
        <f t="shared" si="10"/>
        <v>7.0909999999999993</v>
      </c>
      <c r="K12" s="1577">
        <f t="shared" si="10"/>
        <v>7.4379999999999997</v>
      </c>
      <c r="L12" s="1577">
        <f t="shared" si="10"/>
        <v>5.1639999999999997</v>
      </c>
      <c r="M12" s="1576">
        <f t="shared" si="0"/>
        <v>179.79499999999996</v>
      </c>
      <c r="O12" s="837" t="s">
        <v>8096</v>
      </c>
      <c r="Q12" s="291"/>
      <c r="S12" s="828"/>
      <c r="T12" s="284"/>
      <c r="U12" s="828"/>
      <c r="AD12" s="828"/>
      <c r="AF12" s="872" t="s">
        <v>5334</v>
      </c>
      <c r="AG12" s="840" t="s">
        <v>8097</v>
      </c>
      <c r="AH12" s="840" t="s">
        <v>8098</v>
      </c>
      <c r="AI12" s="840" t="s">
        <v>8099</v>
      </c>
      <c r="AJ12" s="840" t="s">
        <v>8100</v>
      </c>
      <c r="AK12" s="840" t="s">
        <v>8101</v>
      </c>
      <c r="AL12" s="840" t="s">
        <v>8102</v>
      </c>
      <c r="AM12" s="840" t="s">
        <v>8103</v>
      </c>
      <c r="AN12" s="840" t="s">
        <v>8104</v>
      </c>
      <c r="AO12" s="836" t="s">
        <v>8105</v>
      </c>
    </row>
    <row r="13" spans="2:41" s="197" customFormat="1" ht="15.75" customHeight="1">
      <c r="B13" s="833" t="s">
        <v>8106</v>
      </c>
      <c r="C13" s="834" t="s">
        <v>4215</v>
      </c>
      <c r="D13" s="834">
        <v>3</v>
      </c>
      <c r="E13" s="1588">
        <v>0.59899999999999998</v>
      </c>
      <c r="F13" s="1588">
        <v>0.13</v>
      </c>
      <c r="G13" s="1588">
        <v>6.9000000000000006E-2</v>
      </c>
      <c r="H13" s="1588">
        <v>0</v>
      </c>
      <c r="I13" s="1588">
        <v>0</v>
      </c>
      <c r="J13" s="1588">
        <v>0</v>
      </c>
      <c r="K13" s="1588">
        <v>0</v>
      </c>
      <c r="L13" s="1588">
        <v>0</v>
      </c>
      <c r="M13" s="1576">
        <f t="shared" si="0"/>
        <v>0.79800000000000004</v>
      </c>
      <c r="O13" s="837" t="s">
        <v>8107</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5342</v>
      </c>
      <c r="AG13" s="841" t="s">
        <v>8108</v>
      </c>
      <c r="AH13" s="841" t="s">
        <v>8109</v>
      </c>
      <c r="AI13" s="841" t="s">
        <v>8110</v>
      </c>
      <c r="AJ13" s="841" t="s">
        <v>8111</v>
      </c>
      <c r="AK13" s="841" t="s">
        <v>8112</v>
      </c>
      <c r="AL13" s="841" t="s">
        <v>8113</v>
      </c>
      <c r="AM13" s="841" t="s">
        <v>8114</v>
      </c>
      <c r="AN13" s="841" t="s">
        <v>8115</v>
      </c>
      <c r="AO13" s="836" t="s">
        <v>8116</v>
      </c>
    </row>
    <row r="14" spans="2:41" s="197" customFormat="1" ht="15.75" customHeight="1" thickBot="1">
      <c r="B14" s="868" t="s">
        <v>2468</v>
      </c>
      <c r="C14" s="844" t="s">
        <v>4215</v>
      </c>
      <c r="D14" s="844">
        <v>3</v>
      </c>
      <c r="E14" s="1591">
        <f>IFERROR(E12 + E13, 0)</f>
        <v>41.631</v>
      </c>
      <c r="F14" s="1591">
        <f t="shared" ref="F14:L14" si="19">IFERROR(F12 + F13, 0)</f>
        <v>18.614999999999998</v>
      </c>
      <c r="G14" s="1591">
        <f t="shared" si="19"/>
        <v>8.8430000000000017</v>
      </c>
      <c r="H14" s="1591">
        <f t="shared" si="19"/>
        <v>86.221999999999994</v>
      </c>
      <c r="I14" s="1591">
        <f t="shared" si="19"/>
        <v>5.5890000000000004</v>
      </c>
      <c r="J14" s="1591">
        <f t="shared" si="19"/>
        <v>7.0909999999999993</v>
      </c>
      <c r="K14" s="1591">
        <f t="shared" si="19"/>
        <v>7.4379999999999997</v>
      </c>
      <c r="L14" s="1591">
        <f t="shared" si="19"/>
        <v>5.1639999999999997</v>
      </c>
      <c r="M14" s="1579">
        <f>IFERROR(SUM(E14:L14), 0)</f>
        <v>180.59299999999996</v>
      </c>
      <c r="O14" s="847" t="s">
        <v>8117</v>
      </c>
      <c r="Q14" s="302"/>
      <c r="S14" s="828"/>
      <c r="T14" s="284"/>
      <c r="U14" s="828"/>
      <c r="AD14" s="828"/>
      <c r="AF14" s="868" t="s">
        <v>2468</v>
      </c>
      <c r="AG14" s="873" t="s">
        <v>8118</v>
      </c>
      <c r="AH14" s="873" t="s">
        <v>8119</v>
      </c>
      <c r="AI14" s="873" t="s">
        <v>8120</v>
      </c>
      <c r="AJ14" s="873" t="s">
        <v>8121</v>
      </c>
      <c r="AK14" s="873" t="s">
        <v>8122</v>
      </c>
      <c r="AL14" s="873" t="s">
        <v>8123</v>
      </c>
      <c r="AM14" s="873" t="s">
        <v>8124</v>
      </c>
      <c r="AN14" s="873" t="s">
        <v>8125</v>
      </c>
      <c r="AO14" s="846" t="s">
        <v>8126</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v>2.089</v>
      </c>
      <c r="F17" s="1580">
        <v>0.51800000000000002</v>
      </c>
      <c r="G17" s="1580">
        <v>0.26900000000000002</v>
      </c>
      <c r="H17" s="1580">
        <v>0</v>
      </c>
      <c r="I17" s="1580">
        <v>0</v>
      </c>
      <c r="J17" s="1580">
        <v>0</v>
      </c>
      <c r="K17" s="1580">
        <v>0</v>
      </c>
      <c r="L17" s="1580">
        <v>0</v>
      </c>
      <c r="M17" s="1585">
        <f>IFERROR(SUM(E17:L17), 0)</f>
        <v>2.8760000000000003</v>
      </c>
      <c r="N17" s="106"/>
      <c r="O17" s="876" t="s">
        <v>8127</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5358</v>
      </c>
      <c r="AG17" s="875" t="s">
        <v>8128</v>
      </c>
      <c r="AH17" s="875" t="s">
        <v>8129</v>
      </c>
      <c r="AI17" s="875" t="s">
        <v>8130</v>
      </c>
      <c r="AJ17" s="875" t="s">
        <v>8131</v>
      </c>
      <c r="AK17" s="875" t="s">
        <v>8132</v>
      </c>
      <c r="AL17" s="875" t="s">
        <v>8133</v>
      </c>
      <c r="AM17" s="875" t="s">
        <v>8134</v>
      </c>
      <c r="AN17" s="875" t="s">
        <v>8135</v>
      </c>
      <c r="AO17" s="858" t="s">
        <v>8136</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IFERROR('4K'!E33, 0)</f>
        <v>14.236000000000001</v>
      </c>
      <c r="F20" s="1582">
        <f>IFERROR('4K'!F33, 0)</f>
        <v>4.1349999999999998</v>
      </c>
      <c r="G20" s="1582">
        <f>IFERROR('4K'!G33, 0)</f>
        <v>3.1630000000000003</v>
      </c>
      <c r="H20" s="1582">
        <f>IFERROR('4K'!H33, 0)</f>
        <v>48.011000000000003</v>
      </c>
      <c r="I20" s="1582">
        <f>IFERROR('4K'!I33, 0)</f>
        <v>0.108</v>
      </c>
      <c r="J20" s="1582">
        <f>IFERROR('4K'!J33, 0)</f>
        <v>0.38100000000000001</v>
      </c>
      <c r="K20" s="1582">
        <f>IFERROR('4K'!K33, 0)</f>
        <v>10.023999999999999</v>
      </c>
      <c r="L20" s="1582">
        <f>IFERROR('4K'!L33, 0)</f>
        <v>0.26900000000000002</v>
      </c>
      <c r="M20" s="1574">
        <f>IFERROR(SUM(E20:L20), 0)</f>
        <v>80.327000000000012</v>
      </c>
      <c r="N20" s="106"/>
      <c r="O20" s="832" t="s">
        <v>8137</v>
      </c>
      <c r="Q20" s="283"/>
      <c r="S20" s="828"/>
      <c r="T20" s="284"/>
      <c r="U20" s="828"/>
      <c r="AD20" s="828"/>
      <c r="AF20" s="451" t="s">
        <v>5366</v>
      </c>
      <c r="AG20" s="853" t="s">
        <v>8138</v>
      </c>
      <c r="AH20" s="853" t="s">
        <v>8139</v>
      </c>
      <c r="AI20" s="853" t="s">
        <v>8140</v>
      </c>
      <c r="AJ20" s="853" t="s">
        <v>8141</v>
      </c>
      <c r="AK20" s="853" t="s">
        <v>8142</v>
      </c>
      <c r="AL20" s="853" t="s">
        <v>8143</v>
      </c>
      <c r="AM20" s="853" t="s">
        <v>8144</v>
      </c>
      <c r="AN20" s="853" t="s">
        <v>8145</v>
      </c>
      <c r="AO20" s="831" t="s">
        <v>8146</v>
      </c>
    </row>
    <row r="21" spans="2:41" s="197" customFormat="1" ht="15.75" customHeight="1">
      <c r="B21" s="792" t="s">
        <v>5374</v>
      </c>
      <c r="C21" s="325" t="s">
        <v>4215</v>
      </c>
      <c r="D21" s="325">
        <v>3</v>
      </c>
      <c r="E21" s="1583">
        <f>IFERROR('4M'!F99, 0)</f>
        <v>11.825000000000001</v>
      </c>
      <c r="F21" s="1583">
        <f>IFERROR('4M'!G99, 0)</f>
        <v>4.8469999999999978</v>
      </c>
      <c r="G21" s="1583">
        <f>IFERROR('4M'!H99, 0)</f>
        <v>2.714</v>
      </c>
      <c r="H21" s="1583">
        <f>IFERROR('4M'!I99, 0)</f>
        <v>42.716000000000001</v>
      </c>
      <c r="I21" s="1583">
        <f>IFERROR('4M'!J99, 0)</f>
        <v>3.0000000000000001E-3</v>
      </c>
      <c r="J21" s="1583">
        <f>IFERROR('4M'!K99, 0)</f>
        <v>1.6E-2</v>
      </c>
      <c r="K21" s="1583">
        <f>IFERROR('4M'!L99, 0)</f>
        <v>3.472</v>
      </c>
      <c r="L21" s="1583">
        <f>IFERROR('4M'!M99, 0)</f>
        <v>0.01</v>
      </c>
      <c r="M21" s="1576">
        <f t="shared" ref="M21:M24" si="29">IFERROR(SUM(E21:L21), 0)</f>
        <v>65.602999999999994</v>
      </c>
      <c r="O21" s="837" t="s">
        <v>8147</v>
      </c>
      <c r="Q21" s="291"/>
      <c r="S21" s="828"/>
      <c r="T21" s="284"/>
      <c r="U21" s="828"/>
      <c r="AD21" s="828"/>
      <c r="AF21" s="792" t="s">
        <v>5374</v>
      </c>
      <c r="AG21" s="854" t="s">
        <v>8148</v>
      </c>
      <c r="AH21" s="854" t="s">
        <v>8149</v>
      </c>
      <c r="AI21" s="854" t="s">
        <v>8150</v>
      </c>
      <c r="AJ21" s="854" t="s">
        <v>8151</v>
      </c>
      <c r="AK21" s="854" t="s">
        <v>8152</v>
      </c>
      <c r="AL21" s="854" t="s">
        <v>8153</v>
      </c>
      <c r="AM21" s="854" t="s">
        <v>8154</v>
      </c>
      <c r="AN21" s="854" t="s">
        <v>8155</v>
      </c>
      <c r="AO21" s="836" t="s">
        <v>8156</v>
      </c>
    </row>
    <row r="22" spans="2:41" s="197" customFormat="1" ht="15.75" customHeight="1">
      <c r="B22" s="353" t="s">
        <v>5382</v>
      </c>
      <c r="C22" s="292" t="s">
        <v>4215</v>
      </c>
      <c r="D22" s="292">
        <v>3</v>
      </c>
      <c r="E22" s="2090">
        <v>9.1760000000000002</v>
      </c>
      <c r="F22" s="2090">
        <v>0.93300000000000005</v>
      </c>
      <c r="G22" s="2090">
        <v>0</v>
      </c>
      <c r="H22" s="2090">
        <v>0</v>
      </c>
      <c r="I22" s="2090">
        <v>0</v>
      </c>
      <c r="J22" s="2090">
        <v>0</v>
      </c>
      <c r="K22" s="2090">
        <v>0</v>
      </c>
      <c r="L22" s="2090">
        <v>0</v>
      </c>
      <c r="M22" s="1576">
        <f t="shared" si="29"/>
        <v>10.109</v>
      </c>
      <c r="O22" s="837" t="s">
        <v>8157</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5382</v>
      </c>
      <c r="AG22" s="855" t="s">
        <v>8158</v>
      </c>
      <c r="AH22" s="855" t="s">
        <v>8159</v>
      </c>
      <c r="AI22" s="855" t="s">
        <v>8160</v>
      </c>
      <c r="AJ22" s="855" t="s">
        <v>8161</v>
      </c>
      <c r="AK22" s="855" t="s">
        <v>8162</v>
      </c>
      <c r="AL22" s="855" t="s">
        <v>8163</v>
      </c>
      <c r="AM22" s="855" t="s">
        <v>8164</v>
      </c>
      <c r="AN22" s="855" t="s">
        <v>8165</v>
      </c>
      <c r="AO22" s="836" t="s">
        <v>8166</v>
      </c>
    </row>
    <row r="23" spans="2:41" s="197" customFormat="1" ht="15.75" customHeight="1">
      <c r="B23" s="353" t="s">
        <v>5391</v>
      </c>
      <c r="C23" s="292" t="s">
        <v>4215</v>
      </c>
      <c r="D23" s="292">
        <v>3</v>
      </c>
      <c r="E23" s="1594">
        <f>IFERROR(E20 + E21 + E22, 0)</f>
        <v>35.237000000000002</v>
      </c>
      <c r="F23" s="1594">
        <f t="shared" ref="F23:K23" si="39">IFERROR(F20 + F21 + F22, 0)</f>
        <v>9.9149999999999974</v>
      </c>
      <c r="G23" s="1594">
        <f t="shared" si="39"/>
        <v>5.8770000000000007</v>
      </c>
      <c r="H23" s="1594">
        <f t="shared" si="39"/>
        <v>90.727000000000004</v>
      </c>
      <c r="I23" s="1594">
        <f t="shared" si="39"/>
        <v>0.111</v>
      </c>
      <c r="J23" s="1594">
        <f t="shared" si="39"/>
        <v>0.39700000000000002</v>
      </c>
      <c r="K23" s="1594">
        <f t="shared" si="39"/>
        <v>13.495999999999999</v>
      </c>
      <c r="L23" s="1594">
        <f>IFERROR(L20 + L21 + L22, 0)</f>
        <v>0.27900000000000003</v>
      </c>
      <c r="M23" s="1576">
        <f t="shared" si="29"/>
        <v>156.03899999999999</v>
      </c>
      <c r="N23" s="106"/>
      <c r="O23" s="837" t="s">
        <v>8167</v>
      </c>
      <c r="Q23" s="291"/>
      <c r="S23" s="828"/>
      <c r="T23" s="284"/>
      <c r="U23" s="828"/>
      <c r="AD23" s="828"/>
      <c r="AF23" s="353" t="s">
        <v>5393</v>
      </c>
      <c r="AG23" s="877" t="s">
        <v>8168</v>
      </c>
      <c r="AH23" s="877" t="s">
        <v>8169</v>
      </c>
      <c r="AI23" s="877" t="s">
        <v>8170</v>
      </c>
      <c r="AJ23" s="877" t="s">
        <v>8171</v>
      </c>
      <c r="AK23" s="877" t="s">
        <v>8172</v>
      </c>
      <c r="AL23" s="877" t="s">
        <v>8173</v>
      </c>
      <c r="AM23" s="877" t="s">
        <v>8174</v>
      </c>
      <c r="AN23" s="877" t="s">
        <v>8175</v>
      </c>
      <c r="AO23" s="836" t="s">
        <v>8176</v>
      </c>
    </row>
    <row r="24" spans="2:41" s="197" customFormat="1" ht="15.75" customHeight="1">
      <c r="B24" s="460" t="s">
        <v>5342</v>
      </c>
      <c r="C24" s="286" t="s">
        <v>4215</v>
      </c>
      <c r="D24" s="286">
        <v>3</v>
      </c>
      <c r="E24" s="1588">
        <v>0</v>
      </c>
      <c r="F24" s="1588">
        <v>0</v>
      </c>
      <c r="G24" s="1588">
        <v>0</v>
      </c>
      <c r="H24" s="1588">
        <v>0</v>
      </c>
      <c r="I24" s="1588">
        <v>0</v>
      </c>
      <c r="J24" s="1588">
        <v>0</v>
      </c>
      <c r="K24" s="1588">
        <v>0</v>
      </c>
      <c r="L24" s="1588">
        <v>0</v>
      </c>
      <c r="M24" s="1576">
        <f t="shared" si="29"/>
        <v>0</v>
      </c>
      <c r="N24" s="106"/>
      <c r="O24" s="837" t="s">
        <v>8177</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5342</v>
      </c>
      <c r="AG24" s="878" t="s">
        <v>8178</v>
      </c>
      <c r="AH24" s="878" t="s">
        <v>8179</v>
      </c>
      <c r="AI24" s="878" t="s">
        <v>8180</v>
      </c>
      <c r="AJ24" s="878" t="s">
        <v>8181</v>
      </c>
      <c r="AK24" s="878" t="s">
        <v>8182</v>
      </c>
      <c r="AL24" s="878" t="s">
        <v>8183</v>
      </c>
      <c r="AM24" s="878" t="s">
        <v>8184</v>
      </c>
      <c r="AN24" s="878" t="s">
        <v>8185</v>
      </c>
      <c r="AO24" s="836" t="s">
        <v>8186</v>
      </c>
    </row>
    <row r="25" spans="2:41" s="197" customFormat="1" ht="15.75" customHeight="1" thickBot="1">
      <c r="B25" s="463" t="s">
        <v>5407</v>
      </c>
      <c r="C25" s="355" t="s">
        <v>4215</v>
      </c>
      <c r="D25" s="355">
        <v>3</v>
      </c>
      <c r="E25" s="1589">
        <f>IFERROR(E23 + E24, 0)</f>
        <v>35.237000000000002</v>
      </c>
      <c r="F25" s="1589">
        <f t="shared" ref="F25:K25" si="49">IFERROR(F23 + F24, 0)</f>
        <v>9.9149999999999974</v>
      </c>
      <c r="G25" s="1589">
        <f t="shared" si="49"/>
        <v>5.8770000000000007</v>
      </c>
      <c r="H25" s="1589">
        <f t="shared" si="49"/>
        <v>90.727000000000004</v>
      </c>
      <c r="I25" s="1589">
        <f t="shared" si="49"/>
        <v>0.111</v>
      </c>
      <c r="J25" s="1589">
        <f t="shared" si="49"/>
        <v>0.39700000000000002</v>
      </c>
      <c r="K25" s="1589">
        <f t="shared" si="49"/>
        <v>13.495999999999999</v>
      </c>
      <c r="L25" s="1589">
        <f>IFERROR(L23 + L24, 0)</f>
        <v>0.27900000000000003</v>
      </c>
      <c r="M25" s="1579">
        <f>IFERROR(SUM(E25:L25), 0)</f>
        <v>156.03899999999999</v>
      </c>
      <c r="N25" s="106"/>
      <c r="O25" s="847" t="s">
        <v>8187</v>
      </c>
      <c r="Q25" s="302"/>
      <c r="S25" s="828"/>
      <c r="T25" s="284"/>
      <c r="U25" s="828"/>
      <c r="AD25" s="828"/>
      <c r="AF25" s="463" t="s">
        <v>5407</v>
      </c>
      <c r="AG25" s="679" t="s">
        <v>8188</v>
      </c>
      <c r="AH25" s="679" t="s">
        <v>8189</v>
      </c>
      <c r="AI25" s="679" t="s">
        <v>8190</v>
      </c>
      <c r="AJ25" s="679" t="s">
        <v>8191</v>
      </c>
      <c r="AK25" s="679" t="s">
        <v>8192</v>
      </c>
      <c r="AL25" s="679" t="s">
        <v>8193</v>
      </c>
      <c r="AM25" s="679" t="s">
        <v>8194</v>
      </c>
      <c r="AN25" s="679" t="s">
        <v>8195</v>
      </c>
      <c r="AO25" s="846" t="s">
        <v>8196</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v>9.0570000000000004</v>
      </c>
      <c r="F28" s="1580">
        <v>0.57899999999999996</v>
      </c>
      <c r="G28" s="1580">
        <v>1.9E-2</v>
      </c>
      <c r="H28" s="1580">
        <v>0.27400000000000002</v>
      </c>
      <c r="I28" s="1580">
        <v>0</v>
      </c>
      <c r="J28" s="1580">
        <v>0</v>
      </c>
      <c r="K28" s="1580">
        <v>0</v>
      </c>
      <c r="L28" s="1580">
        <v>0</v>
      </c>
      <c r="M28" s="1585">
        <f>IFERROR(SUM(E28:L28), 0)</f>
        <v>9.929000000000002</v>
      </c>
      <c r="N28" s="106"/>
      <c r="O28" s="876" t="s">
        <v>8197</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5415</v>
      </c>
      <c r="AG28" s="875" t="s">
        <v>8198</v>
      </c>
      <c r="AH28" s="875" t="s">
        <v>8199</v>
      </c>
      <c r="AI28" s="875" t="s">
        <v>8200</v>
      </c>
      <c r="AJ28" s="875" t="s">
        <v>8201</v>
      </c>
      <c r="AK28" s="875" t="s">
        <v>8202</v>
      </c>
      <c r="AL28" s="875" t="s">
        <v>8203</v>
      </c>
      <c r="AM28" s="875" t="s">
        <v>8204</v>
      </c>
      <c r="AN28" s="875" t="s">
        <v>8205</v>
      </c>
      <c r="AO28" s="858" t="s">
        <v>8206</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65.721999999999994</v>
      </c>
      <c r="F30" s="1586">
        <f t="shared" ref="F30:L30" si="59">IFERROR(F14 + F25 - F17 - F28, 0)</f>
        <v>27.432999999999993</v>
      </c>
      <c r="G30" s="1586">
        <f t="shared" si="59"/>
        <v>14.432000000000002</v>
      </c>
      <c r="H30" s="1586">
        <f t="shared" si="59"/>
        <v>176.67500000000001</v>
      </c>
      <c r="I30" s="1586">
        <f t="shared" si="59"/>
        <v>5.7</v>
      </c>
      <c r="J30" s="1586">
        <f t="shared" si="59"/>
        <v>7.4879999999999995</v>
      </c>
      <c r="K30" s="1586">
        <f t="shared" si="59"/>
        <v>20.933999999999997</v>
      </c>
      <c r="L30" s="1586">
        <f t="shared" si="59"/>
        <v>5.4429999999999996</v>
      </c>
      <c r="M30" s="1581">
        <f>SUM(E30:L30)</f>
        <v>323.827</v>
      </c>
      <c r="N30" s="106"/>
      <c r="O30" s="876" t="s">
        <v>8207</v>
      </c>
      <c r="Q30" s="375"/>
      <c r="S30" s="828"/>
      <c r="T30" s="284"/>
      <c r="U30" s="828"/>
      <c r="AD30" s="828"/>
      <c r="AF30" s="420" t="s">
        <v>5423</v>
      </c>
      <c r="AG30" s="372" t="s">
        <v>8208</v>
      </c>
      <c r="AH30" s="372" t="s">
        <v>8209</v>
      </c>
      <c r="AI30" s="372" t="s">
        <v>8210</v>
      </c>
      <c r="AJ30" s="372" t="s">
        <v>8211</v>
      </c>
      <c r="AK30" s="372" t="s">
        <v>8212</v>
      </c>
      <c r="AL30" s="372" t="s">
        <v>8213</v>
      </c>
      <c r="AM30" s="372" t="s">
        <v>8214</v>
      </c>
      <c r="AN30" s="372" t="s">
        <v>8215</v>
      </c>
      <c r="AO30" s="687" t="s">
        <v>8216</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v>0</v>
      </c>
      <c r="F33" s="1587">
        <v>0</v>
      </c>
      <c r="G33" s="1587">
        <v>0</v>
      </c>
      <c r="H33" s="1587">
        <v>0</v>
      </c>
      <c r="I33" s="1587">
        <v>0</v>
      </c>
      <c r="J33" s="1587">
        <v>0</v>
      </c>
      <c r="K33" s="1587">
        <v>0</v>
      </c>
      <c r="L33" s="1587">
        <v>0</v>
      </c>
      <c r="M33" s="1574">
        <f>IFERROR(SUM(E33:L33), 0)</f>
        <v>0</v>
      </c>
      <c r="N33" s="106"/>
      <c r="O33" s="832" t="s">
        <v>8217</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5432</v>
      </c>
      <c r="AG33" s="880" t="s">
        <v>8218</v>
      </c>
      <c r="AH33" s="880" t="s">
        <v>8219</v>
      </c>
      <c r="AI33" s="880" t="s">
        <v>8220</v>
      </c>
      <c r="AJ33" s="880" t="s">
        <v>8221</v>
      </c>
      <c r="AK33" s="880" t="s">
        <v>8222</v>
      </c>
      <c r="AL33" s="880" t="s">
        <v>8223</v>
      </c>
      <c r="AM33" s="880" t="s">
        <v>8224</v>
      </c>
      <c r="AN33" s="880" t="s">
        <v>8225</v>
      </c>
      <c r="AO33" s="831" t="s">
        <v>8226</v>
      </c>
    </row>
    <row r="34" spans="1:41" s="197" customFormat="1" ht="15.75" customHeight="1">
      <c r="B34" s="460" t="s">
        <v>5440</v>
      </c>
      <c r="C34" s="286" t="s">
        <v>4215</v>
      </c>
      <c r="D34" s="286">
        <v>3</v>
      </c>
      <c r="E34" s="1588">
        <v>0</v>
      </c>
      <c r="F34" s="1588">
        <v>0</v>
      </c>
      <c r="G34" s="1588">
        <v>0</v>
      </c>
      <c r="H34" s="1588">
        <v>0</v>
      </c>
      <c r="I34" s="1588">
        <v>0</v>
      </c>
      <c r="J34" s="1588">
        <v>0</v>
      </c>
      <c r="K34" s="1588">
        <v>0</v>
      </c>
      <c r="L34" s="1588">
        <v>0</v>
      </c>
      <c r="M34" s="1576">
        <f>IFERROR(SUM(E34:L34), 0)</f>
        <v>0</v>
      </c>
      <c r="N34" s="106"/>
      <c r="O34" s="837" t="s">
        <v>8227</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5440</v>
      </c>
      <c r="AG34" s="878" t="s">
        <v>8228</v>
      </c>
      <c r="AH34" s="878" t="s">
        <v>8229</v>
      </c>
      <c r="AI34" s="878" t="s">
        <v>8230</v>
      </c>
      <c r="AJ34" s="878" t="s">
        <v>8231</v>
      </c>
      <c r="AK34" s="878" t="s">
        <v>8232</v>
      </c>
      <c r="AL34" s="878" t="s">
        <v>8233</v>
      </c>
      <c r="AM34" s="878" t="s">
        <v>8234</v>
      </c>
      <c r="AN34" s="878" t="s">
        <v>8235</v>
      </c>
      <c r="AO34" s="836" t="s">
        <v>8236</v>
      </c>
    </row>
    <row r="35" spans="1:41" s="197" customFormat="1" ht="15.75" customHeight="1" thickBot="1">
      <c r="B35" s="463" t="s">
        <v>5448</v>
      </c>
      <c r="C35" s="355" t="s">
        <v>4215</v>
      </c>
      <c r="D35" s="355">
        <v>3</v>
      </c>
      <c r="E35" s="1589">
        <f>IFERROR(E30 + E33 + E34, 0)</f>
        <v>65.721999999999994</v>
      </c>
      <c r="F35" s="1589">
        <f t="shared" ref="F35:K35" si="69">IFERROR(F30 + F33 + F34, 0)</f>
        <v>27.432999999999993</v>
      </c>
      <c r="G35" s="1589">
        <f t="shared" si="69"/>
        <v>14.432000000000002</v>
      </c>
      <c r="H35" s="1589">
        <f t="shared" si="69"/>
        <v>176.67500000000001</v>
      </c>
      <c r="I35" s="1589">
        <f t="shared" si="69"/>
        <v>5.7</v>
      </c>
      <c r="J35" s="1589">
        <f t="shared" si="69"/>
        <v>7.4879999999999995</v>
      </c>
      <c r="K35" s="1589">
        <f t="shared" si="69"/>
        <v>20.933999999999997</v>
      </c>
      <c r="L35" s="1589">
        <f>IFERROR(L30 + L33 + L34, 0)</f>
        <v>5.4429999999999996</v>
      </c>
      <c r="M35" s="1579">
        <f>IFERROR(SUM(E35:L35), 0)</f>
        <v>323.827</v>
      </c>
      <c r="N35" s="106"/>
      <c r="O35" s="847" t="s">
        <v>8237</v>
      </c>
      <c r="Q35" s="302"/>
      <c r="S35" s="828"/>
      <c r="T35" s="284"/>
      <c r="U35" s="828"/>
      <c r="AD35" s="828"/>
      <c r="AF35" s="463" t="s">
        <v>5448</v>
      </c>
      <c r="AG35" s="679" t="s">
        <v>8238</v>
      </c>
      <c r="AH35" s="679" t="s">
        <v>8239</v>
      </c>
      <c r="AI35" s="679" t="s">
        <v>8240</v>
      </c>
      <c r="AJ35" s="679" t="s">
        <v>8241</v>
      </c>
      <c r="AK35" s="679" t="s">
        <v>8242</v>
      </c>
      <c r="AL35" s="679" t="s">
        <v>8243</v>
      </c>
      <c r="AM35" s="679" t="s">
        <v>8244</v>
      </c>
      <c r="AN35" s="679" t="s">
        <v>8245</v>
      </c>
      <c r="AO35" s="846" t="s">
        <v>8246</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33" t="s">
        <v>4202</v>
      </c>
      <c r="C37" s="2715" t="s">
        <v>4203</v>
      </c>
      <c r="D37" s="2715" t="s">
        <v>4204</v>
      </c>
      <c r="E37" s="2715" t="s">
        <v>8056</v>
      </c>
      <c r="F37" s="2715"/>
      <c r="G37" s="2715"/>
      <c r="H37" s="2715" t="s">
        <v>8057</v>
      </c>
      <c r="I37" s="2715"/>
      <c r="J37" s="2715" t="s">
        <v>5144</v>
      </c>
      <c r="K37" s="2715"/>
      <c r="L37" s="2715"/>
      <c r="M37" s="2717" t="s">
        <v>4425</v>
      </c>
      <c r="N37" s="365"/>
      <c r="O37" s="365"/>
      <c r="Q37" s="770"/>
      <c r="S37" s="828"/>
      <c r="T37" s="284"/>
      <c r="U37" s="828"/>
      <c r="AD37" s="828"/>
      <c r="AF37" s="2833" t="s">
        <v>4202</v>
      </c>
      <c r="AG37" s="2715" t="s">
        <v>8056</v>
      </c>
      <c r="AH37" s="2715"/>
      <c r="AI37" s="2715"/>
      <c r="AJ37" s="2715" t="s">
        <v>8057</v>
      </c>
      <c r="AK37" s="2715"/>
      <c r="AL37" s="2715" t="s">
        <v>5144</v>
      </c>
      <c r="AM37" s="2715"/>
      <c r="AN37" s="2715"/>
      <c r="AO37" s="2717" t="s">
        <v>4425</v>
      </c>
    </row>
    <row r="38" spans="1:41" s="197" customFormat="1" ht="45.6" thickBot="1">
      <c r="B38" s="2834"/>
      <c r="C38" s="2716"/>
      <c r="D38" s="2716"/>
      <c r="E38" s="271" t="s">
        <v>8058</v>
      </c>
      <c r="F38" s="271" t="s">
        <v>8059</v>
      </c>
      <c r="G38" s="271" t="s">
        <v>8060</v>
      </c>
      <c r="H38" s="271" t="s">
        <v>8061</v>
      </c>
      <c r="I38" s="271" t="s">
        <v>8062</v>
      </c>
      <c r="J38" s="271" t="s">
        <v>8063</v>
      </c>
      <c r="K38" s="271" t="s">
        <v>8064</v>
      </c>
      <c r="L38" s="271" t="s">
        <v>8065</v>
      </c>
      <c r="M38" s="2718"/>
      <c r="N38" s="365"/>
      <c r="O38" s="365"/>
      <c r="Q38" s="770"/>
      <c r="S38" s="828"/>
      <c r="T38" s="284"/>
      <c r="U38" s="828"/>
      <c r="AD38" s="828"/>
      <c r="AF38" s="2834"/>
      <c r="AG38" s="271" t="s">
        <v>8058</v>
      </c>
      <c r="AH38" s="271" t="s">
        <v>8059</v>
      </c>
      <c r="AI38" s="271" t="s">
        <v>8060</v>
      </c>
      <c r="AJ38" s="271" t="s">
        <v>8061</v>
      </c>
      <c r="AK38" s="271" t="s">
        <v>8062</v>
      </c>
      <c r="AL38" s="271" t="s">
        <v>8063</v>
      </c>
      <c r="AM38" s="271" t="s">
        <v>8064</v>
      </c>
      <c r="AN38" s="271" t="s">
        <v>8065</v>
      </c>
      <c r="AO38" s="2718"/>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8005</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8005</v>
      </c>
      <c r="AG40" s="857"/>
      <c r="AH40" s="857"/>
      <c r="AI40" s="857"/>
      <c r="AJ40" s="857"/>
      <c r="AK40" s="857"/>
      <c r="AL40" s="857"/>
      <c r="AM40" s="857"/>
      <c r="AN40" s="857"/>
      <c r="AO40" s="857"/>
    </row>
    <row r="41" spans="1:41" s="824" customFormat="1" ht="15.75" customHeight="1" thickTop="1">
      <c r="B41" s="829" t="s">
        <v>18771</v>
      </c>
      <c r="C41" s="788" t="s">
        <v>4215</v>
      </c>
      <c r="D41" s="788">
        <v>3</v>
      </c>
      <c r="E41" s="1587">
        <v>2.9079999999999999</v>
      </c>
      <c r="F41" s="1587">
        <v>5.8000000000000003E-2</v>
      </c>
      <c r="G41" s="1587">
        <v>3.3000000000000002E-2</v>
      </c>
      <c r="H41" s="1587">
        <v>2.347</v>
      </c>
      <c r="I41" s="1587">
        <v>7.0000000000000007E-2</v>
      </c>
      <c r="J41" s="1587">
        <v>0.26600000000000001</v>
      </c>
      <c r="K41" s="1587">
        <v>0.66700000000000004</v>
      </c>
      <c r="L41" s="1587">
        <v>0.16800000000000001</v>
      </c>
      <c r="M41" s="1574">
        <f>IFERROR(SUM(E41:L41), 0)</f>
        <v>6.5170000000000003</v>
      </c>
      <c r="N41" s="200"/>
      <c r="O41" s="832" t="s">
        <v>8247</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8006</v>
      </c>
      <c r="AG41" s="880" t="s">
        <v>8248</v>
      </c>
      <c r="AH41" s="880" t="s">
        <v>8249</v>
      </c>
      <c r="AI41" s="880" t="s">
        <v>8250</v>
      </c>
      <c r="AJ41" s="880" t="s">
        <v>8251</v>
      </c>
      <c r="AK41" s="880" t="s">
        <v>8252</v>
      </c>
      <c r="AL41" s="880" t="s">
        <v>8253</v>
      </c>
      <c r="AM41" s="880" t="s">
        <v>8254</v>
      </c>
      <c r="AN41" s="880" t="s">
        <v>8255</v>
      </c>
      <c r="AO41" s="831" t="s">
        <v>8256</v>
      </c>
    </row>
    <row r="42" spans="1:41" s="824" customFormat="1" ht="15.75" customHeight="1">
      <c r="B42" s="833" t="s">
        <v>18772</v>
      </c>
      <c r="C42" s="834" t="s">
        <v>4215</v>
      </c>
      <c r="D42" s="834">
        <v>3</v>
      </c>
      <c r="E42" s="1590">
        <v>1.149</v>
      </c>
      <c r="F42" s="1590">
        <v>1.9E-2</v>
      </c>
      <c r="G42" s="1590">
        <v>1.0999999999999999E-2</v>
      </c>
      <c r="H42" s="1590">
        <v>0.85</v>
      </c>
      <c r="I42" s="1590">
        <v>2.5999999999999999E-2</v>
      </c>
      <c r="J42" s="1590">
        <v>0.13300000000000001</v>
      </c>
      <c r="K42" s="1590">
        <v>0.38</v>
      </c>
      <c r="L42" s="1590">
        <v>8.8999999999999996E-2</v>
      </c>
      <c r="M42" s="1576">
        <f t="shared" ref="M42:M45" si="79">IFERROR(SUM(E42:L42), 0)</f>
        <v>2.6569999999999996</v>
      </c>
      <c r="N42" s="200"/>
      <c r="O42" s="837" t="s">
        <v>8257</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8014</v>
      </c>
      <c r="AG42" s="882" t="s">
        <v>8258</v>
      </c>
      <c r="AH42" s="882" t="s">
        <v>8259</v>
      </c>
      <c r="AI42" s="882" t="s">
        <v>8260</v>
      </c>
      <c r="AJ42" s="882" t="s">
        <v>8261</v>
      </c>
      <c r="AK42" s="882" t="s">
        <v>8262</v>
      </c>
      <c r="AL42" s="882" t="s">
        <v>8263</v>
      </c>
      <c r="AM42" s="882" t="s">
        <v>8264</v>
      </c>
      <c r="AN42" s="882" t="s">
        <v>8265</v>
      </c>
      <c r="AO42" s="836" t="s">
        <v>8266</v>
      </c>
    </row>
    <row r="43" spans="1:41" s="824" customFormat="1" ht="15.75" customHeight="1">
      <c r="B43" s="833" t="s">
        <v>18773</v>
      </c>
      <c r="C43" s="834" t="s">
        <v>4215</v>
      </c>
      <c r="D43" s="834">
        <v>3</v>
      </c>
      <c r="E43" s="1590">
        <v>0.91300000000000003</v>
      </c>
      <c r="F43" s="1590">
        <v>0</v>
      </c>
      <c r="G43" s="1590">
        <v>0</v>
      </c>
      <c r="H43" s="1590">
        <v>0</v>
      </c>
      <c r="I43" s="1590">
        <v>0</v>
      </c>
      <c r="J43" s="1590">
        <v>0</v>
      </c>
      <c r="K43" s="1590">
        <v>0</v>
      </c>
      <c r="L43" s="1590">
        <v>0</v>
      </c>
      <c r="M43" s="1576">
        <f t="shared" si="79"/>
        <v>0.91300000000000003</v>
      </c>
      <c r="N43" s="200"/>
      <c r="O43" s="837" t="s">
        <v>8267</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8022</v>
      </c>
      <c r="AG43" s="882" t="s">
        <v>8268</v>
      </c>
      <c r="AH43" s="882" t="s">
        <v>8269</v>
      </c>
      <c r="AI43" s="882" t="s">
        <v>8270</v>
      </c>
      <c r="AJ43" s="882" t="s">
        <v>8271</v>
      </c>
      <c r="AK43" s="882" t="s">
        <v>8272</v>
      </c>
      <c r="AL43" s="882" t="s">
        <v>8273</v>
      </c>
      <c r="AM43" s="882" t="s">
        <v>8274</v>
      </c>
      <c r="AN43" s="882" t="s">
        <v>8275</v>
      </c>
      <c r="AO43" s="836" t="s">
        <v>8276</v>
      </c>
    </row>
    <row r="44" spans="1:41" s="824" customFormat="1" ht="15.75" customHeight="1">
      <c r="B44" s="833" t="s">
        <v>8030</v>
      </c>
      <c r="C44" s="834" t="s">
        <v>4215</v>
      </c>
      <c r="D44" s="834">
        <v>3</v>
      </c>
      <c r="E44" s="1590">
        <v>0</v>
      </c>
      <c r="F44" s="1590">
        <v>0</v>
      </c>
      <c r="G44" s="1590">
        <v>0</v>
      </c>
      <c r="H44" s="1590">
        <v>0</v>
      </c>
      <c r="I44" s="1590">
        <v>0</v>
      </c>
      <c r="J44" s="1590">
        <v>0</v>
      </c>
      <c r="K44" s="1590">
        <v>0</v>
      </c>
      <c r="L44" s="1590">
        <v>0</v>
      </c>
      <c r="M44" s="1576">
        <f t="shared" si="79"/>
        <v>0</v>
      </c>
      <c r="N44" s="200"/>
      <c r="O44" s="837" t="s">
        <v>8277</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8030</v>
      </c>
      <c r="AG44" s="882" t="s">
        <v>8278</v>
      </c>
      <c r="AH44" s="882" t="s">
        <v>8279</v>
      </c>
      <c r="AI44" s="882" t="s">
        <v>8280</v>
      </c>
      <c r="AJ44" s="882" t="s">
        <v>8281</v>
      </c>
      <c r="AK44" s="882" t="s">
        <v>8282</v>
      </c>
      <c r="AL44" s="882" t="s">
        <v>8283</v>
      </c>
      <c r="AM44" s="882" t="s">
        <v>8284</v>
      </c>
      <c r="AN44" s="882" t="s">
        <v>8285</v>
      </c>
      <c r="AO44" s="836" t="s">
        <v>8286</v>
      </c>
    </row>
    <row r="45" spans="1:41" s="824" customFormat="1" ht="15.75" customHeight="1">
      <c r="B45" s="833" t="s">
        <v>8038</v>
      </c>
      <c r="C45" s="834" t="s">
        <v>4215</v>
      </c>
      <c r="D45" s="834">
        <v>3</v>
      </c>
      <c r="E45" s="1590">
        <v>0</v>
      </c>
      <c r="F45" s="1590">
        <v>0</v>
      </c>
      <c r="G45" s="1590">
        <v>0</v>
      </c>
      <c r="H45" s="1590">
        <v>0</v>
      </c>
      <c r="I45" s="1590">
        <v>0</v>
      </c>
      <c r="J45" s="1590">
        <v>0</v>
      </c>
      <c r="K45" s="1590">
        <v>0</v>
      </c>
      <c r="L45" s="1590">
        <v>0</v>
      </c>
      <c r="M45" s="1576">
        <f t="shared" si="79"/>
        <v>0</v>
      </c>
      <c r="N45" s="200"/>
      <c r="O45" s="837" t="s">
        <v>8287</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8038</v>
      </c>
      <c r="AG45" s="882" t="s">
        <v>8288</v>
      </c>
      <c r="AH45" s="882" t="s">
        <v>8289</v>
      </c>
      <c r="AI45" s="882" t="s">
        <v>8290</v>
      </c>
      <c r="AJ45" s="882" t="s">
        <v>8291</v>
      </c>
      <c r="AK45" s="882" t="s">
        <v>8292</v>
      </c>
      <c r="AL45" s="882" t="s">
        <v>8293</v>
      </c>
      <c r="AM45" s="882" t="s">
        <v>8294</v>
      </c>
      <c r="AN45" s="882" t="s">
        <v>8295</v>
      </c>
      <c r="AO45" s="836" t="s">
        <v>8296</v>
      </c>
    </row>
    <row r="46" spans="1:41" s="824" customFormat="1" ht="15.75" customHeight="1" thickBot="1">
      <c r="B46" s="868" t="s">
        <v>8046</v>
      </c>
      <c r="C46" s="844" t="s">
        <v>4215</v>
      </c>
      <c r="D46" s="844">
        <v>3</v>
      </c>
      <c r="E46" s="1591">
        <f>IFERROR(SUM(E41:E45), 0)</f>
        <v>4.9700000000000006</v>
      </c>
      <c r="F46" s="1591">
        <f t="shared" ref="F46:L46" si="80">IFERROR(SUM(F41:F45), 0)</f>
        <v>7.6999999999999999E-2</v>
      </c>
      <c r="G46" s="1591">
        <f t="shared" si="80"/>
        <v>4.3999999999999997E-2</v>
      </c>
      <c r="H46" s="1591">
        <f t="shared" si="80"/>
        <v>3.1970000000000001</v>
      </c>
      <c r="I46" s="1591">
        <f t="shared" si="80"/>
        <v>9.6000000000000002E-2</v>
      </c>
      <c r="J46" s="1591">
        <f t="shared" si="80"/>
        <v>0.39900000000000002</v>
      </c>
      <c r="K46" s="1591">
        <f t="shared" si="80"/>
        <v>1.0470000000000002</v>
      </c>
      <c r="L46" s="1591">
        <f t="shared" si="80"/>
        <v>0.25700000000000001</v>
      </c>
      <c r="M46" s="1579">
        <f>IFERROR(SUM(E46:L46), 0)</f>
        <v>10.087000000000002</v>
      </c>
      <c r="N46" s="200"/>
      <c r="O46" s="847" t="s">
        <v>8297</v>
      </c>
      <c r="Q46" s="302"/>
      <c r="S46" s="881"/>
      <c r="T46" s="284"/>
      <c r="U46" s="881"/>
      <c r="V46" s="197"/>
      <c r="W46" s="197"/>
      <c r="X46" s="197"/>
      <c r="Y46" s="197"/>
      <c r="Z46" s="197"/>
      <c r="AA46" s="197"/>
      <c r="AB46" s="197"/>
      <c r="AC46" s="197"/>
      <c r="AD46" s="881"/>
      <c r="AF46" s="868" t="s">
        <v>8046</v>
      </c>
      <c r="AG46" s="873" t="s">
        <v>8298</v>
      </c>
      <c r="AH46" s="873" t="s">
        <v>8299</v>
      </c>
      <c r="AI46" s="873" t="s">
        <v>8300</v>
      </c>
      <c r="AJ46" s="873" t="s">
        <v>8301</v>
      </c>
      <c r="AK46" s="873" t="s">
        <v>8302</v>
      </c>
      <c r="AL46" s="873" t="s">
        <v>8303</v>
      </c>
      <c r="AM46" s="873" t="s">
        <v>8304</v>
      </c>
      <c r="AN46" s="873" t="s">
        <v>8305</v>
      </c>
      <c r="AO46" s="846" t="s">
        <v>8306</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3"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A3" zoomScaleNormal="100" zoomScaleSheetLayoutView="100" workbookViewId="0">
      <selection activeCell="T10" sqref="T10"/>
    </sheetView>
  </sheetViews>
  <sheetFormatPr defaultColWidth="9" defaultRowHeight="15.75" customHeight="1"/>
  <cols>
    <col min="1" max="1" width="1.59765625" style="219" customWidth="1"/>
    <col min="2" max="2" width="37" style="219" customWidth="1"/>
    <col min="3" max="3" width="7.09765625" style="219" customWidth="1"/>
    <col min="4" max="4" width="5.5" style="219" customWidth="1"/>
    <col min="5" max="16" width="12.5" style="219" customWidth="1"/>
    <col min="17" max="17" width="1.5" style="219" customWidth="1"/>
    <col min="18" max="18" width="12.5" style="219" customWidth="1"/>
    <col min="19" max="19" width="1.59765625" style="219" customWidth="1"/>
    <col min="20" max="20" width="33.59765625" style="219" customWidth="1"/>
    <col min="21" max="22" width="1.59765625" style="219" customWidth="1"/>
    <col min="23" max="23" width="24.59765625" style="219" customWidth="1"/>
    <col min="24" max="24" width="1.59765625" style="219" customWidth="1"/>
    <col min="25" max="25" width="5.59765625" style="219" hidden="1" customWidth="1"/>
    <col min="26" max="29" width="6.09765625" style="219" hidden="1" customWidth="1"/>
    <col min="30" max="30" width="1.5" style="219" hidden="1" customWidth="1"/>
    <col min="31" max="31" width="5.59765625" style="219" hidden="1" customWidth="1"/>
    <col min="32" max="32" width="6.09765625" style="219" hidden="1" customWidth="1"/>
    <col min="33" max="33" width="5.59765625" style="219" hidden="1" customWidth="1"/>
    <col min="34" max="34" width="6.09765625" style="219" hidden="1" customWidth="1"/>
    <col min="35" max="35" width="5.09765625" style="219" hidden="1" customWidth="1"/>
    <col min="36" max="36" width="1.59765625" style="219" hidden="1" customWidth="1"/>
    <col min="37" max="37" width="1.59765625" style="219" customWidth="1"/>
    <col min="38" max="16384" width="9" style="219"/>
  </cols>
  <sheetData>
    <row r="1" spans="2:36" ht="29.25" customHeight="1">
      <c r="B1" s="2721" t="s">
        <v>8307</v>
      </c>
      <c r="C1" s="2721"/>
      <c r="D1" s="2721"/>
      <c r="E1" s="2721"/>
      <c r="F1" s="2721"/>
      <c r="G1" s="2721"/>
      <c r="H1" s="2721"/>
      <c r="I1" s="2721"/>
      <c r="J1" s="339"/>
      <c r="K1" s="561"/>
      <c r="L1" s="561"/>
      <c r="M1" s="561"/>
      <c r="N1" s="561"/>
      <c r="O1" s="2721"/>
      <c r="P1" s="2721"/>
      <c r="V1" s="238"/>
      <c r="X1" s="238"/>
      <c r="AJ1" s="238"/>
    </row>
    <row r="2" spans="2:36" ht="29.25" customHeight="1">
      <c r="B2" s="2721" t="str">
        <f>SelectCompany!B4</f>
        <v>Dŵr Cymru</v>
      </c>
      <c r="C2" s="2721"/>
      <c r="D2" s="2721"/>
      <c r="E2" s="2721"/>
      <c r="F2" s="2721"/>
      <c r="G2" s="2721"/>
      <c r="H2" s="2721"/>
      <c r="I2" s="2721"/>
      <c r="J2" s="339"/>
      <c r="K2" s="390"/>
      <c r="L2" s="390"/>
      <c r="M2" s="390"/>
      <c r="N2" s="390"/>
      <c r="O2" s="390"/>
      <c r="P2" s="390"/>
      <c r="V2" s="238"/>
      <c r="X2" s="238"/>
      <c r="AJ2" s="238"/>
    </row>
    <row r="3" spans="2:36" ht="45" customHeight="1">
      <c r="B3" s="2829" t="s">
        <v>8308</v>
      </c>
      <c r="C3" s="2829"/>
      <c r="D3" s="2829"/>
      <c r="E3" s="2829"/>
      <c r="F3" s="2829"/>
      <c r="G3" s="2829"/>
      <c r="H3" s="2829"/>
      <c r="I3" s="2829"/>
      <c r="J3" s="2829"/>
      <c r="K3" s="2829"/>
      <c r="L3" s="2829"/>
      <c r="M3" s="2829"/>
      <c r="N3" s="2829"/>
      <c r="O3" s="2829"/>
      <c r="P3" s="2829"/>
      <c r="Q3" s="2829"/>
      <c r="R3" s="2829"/>
      <c r="S3" s="2829"/>
      <c r="T3" s="2829"/>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44" t="s">
        <v>4202</v>
      </c>
      <c r="C5" s="2847" t="s">
        <v>4203</v>
      </c>
      <c r="D5" s="2847" t="s">
        <v>8309</v>
      </c>
      <c r="E5" s="2835" t="s">
        <v>8310</v>
      </c>
      <c r="F5" s="2835"/>
      <c r="G5" s="2835"/>
      <c r="H5" s="2835"/>
      <c r="I5" s="2835"/>
      <c r="J5" s="2835"/>
      <c r="K5" s="2835" t="s">
        <v>18464</v>
      </c>
      <c r="L5" s="2835"/>
      <c r="M5" s="2835"/>
      <c r="N5" s="2835"/>
      <c r="O5" s="2835"/>
      <c r="P5" s="2836"/>
      <c r="R5" s="2811" t="s">
        <v>4208</v>
      </c>
      <c r="T5" s="2811" t="s">
        <v>4209</v>
      </c>
      <c r="V5" s="886"/>
      <c r="X5" s="886"/>
      <c r="AJ5" s="886"/>
    </row>
    <row r="6" spans="2:36" s="242" customFormat="1" ht="15" customHeight="1">
      <c r="B6" s="2845"/>
      <c r="C6" s="2848"/>
      <c r="D6" s="2848"/>
      <c r="E6" s="2850" t="s">
        <v>5141</v>
      </c>
      <c r="F6" s="2850" t="s">
        <v>6185</v>
      </c>
      <c r="G6" s="2850"/>
      <c r="H6" s="2850"/>
      <c r="I6" s="2850"/>
      <c r="J6" s="2850" t="s">
        <v>4425</v>
      </c>
      <c r="K6" s="2850" t="s">
        <v>5141</v>
      </c>
      <c r="L6" s="2850" t="s">
        <v>6185</v>
      </c>
      <c r="M6" s="2850"/>
      <c r="N6" s="2850"/>
      <c r="O6" s="2850"/>
      <c r="P6" s="2852" t="s">
        <v>4425</v>
      </c>
      <c r="R6" s="2812"/>
      <c r="T6" s="2812"/>
      <c r="V6" s="886"/>
      <c r="X6" s="886"/>
      <c r="AJ6" s="886"/>
    </row>
    <row r="7" spans="2:36" s="242" customFormat="1" ht="63" customHeight="1" thickBot="1">
      <c r="B7" s="2846"/>
      <c r="C7" s="2849"/>
      <c r="D7" s="2849"/>
      <c r="E7" s="2851"/>
      <c r="F7" s="887" t="s">
        <v>7882</v>
      </c>
      <c r="G7" s="887" t="s">
        <v>7883</v>
      </c>
      <c r="H7" s="887" t="s">
        <v>7884</v>
      </c>
      <c r="I7" s="887" t="s">
        <v>7885</v>
      </c>
      <c r="J7" s="2851"/>
      <c r="K7" s="2851"/>
      <c r="L7" s="887" t="s">
        <v>7882</v>
      </c>
      <c r="M7" s="887" t="s">
        <v>7883</v>
      </c>
      <c r="N7" s="887" t="s">
        <v>7884</v>
      </c>
      <c r="O7" s="887" t="s">
        <v>7885</v>
      </c>
      <c r="P7" s="2853"/>
      <c r="R7" s="2813"/>
      <c r="T7" s="2813"/>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710" t="s">
        <v>4201</v>
      </c>
      <c r="Z8" s="2710"/>
      <c r="AA8" s="2710"/>
      <c r="AB8" s="2843"/>
      <c r="AC8" s="2843"/>
      <c r="AJ8" s="886"/>
    </row>
    <row r="9" spans="2:36" s="242" customFormat="1" ht="31.2" thickTop="1" thickBot="1">
      <c r="B9" s="393" t="s">
        <v>8311</v>
      </c>
      <c r="C9" s="394"/>
      <c r="D9" s="394"/>
      <c r="E9" s="482"/>
      <c r="F9" s="482"/>
      <c r="G9" s="890"/>
      <c r="H9" s="890"/>
      <c r="I9" s="890"/>
      <c r="J9" s="890"/>
      <c r="K9" s="890"/>
      <c r="L9" s="890"/>
      <c r="M9" s="890"/>
      <c r="N9" s="890"/>
      <c r="O9" s="890"/>
      <c r="P9" s="890"/>
      <c r="R9" s="824"/>
      <c r="V9" s="886"/>
      <c r="X9" s="886"/>
      <c r="Y9" s="269" t="s">
        <v>4210</v>
      </c>
      <c r="AJ9" s="886"/>
    </row>
    <row r="10" spans="2:36" s="242" customFormat="1" ht="16.05" customHeight="1" thickTop="1">
      <c r="B10" s="773" t="s">
        <v>18776</v>
      </c>
      <c r="C10" s="277" t="s">
        <v>4215</v>
      </c>
      <c r="D10" s="277">
        <v>3</v>
      </c>
      <c r="E10" s="891">
        <v>0</v>
      </c>
      <c r="F10" s="891">
        <v>0</v>
      </c>
      <c r="G10" s="891">
        <v>0</v>
      </c>
      <c r="H10" s="891">
        <v>4.8570000000000002</v>
      </c>
      <c r="I10" s="891">
        <v>0</v>
      </c>
      <c r="J10" s="675">
        <f>IFERROR(SUM(E10:I10), 0)</f>
        <v>4.8570000000000002</v>
      </c>
      <c r="K10" s="891">
        <v>0</v>
      </c>
      <c r="L10" s="891">
        <v>0</v>
      </c>
      <c r="M10" s="891">
        <v>0</v>
      </c>
      <c r="N10" s="891">
        <v>11.503</v>
      </c>
      <c r="O10" s="891">
        <v>0</v>
      </c>
      <c r="P10" s="416">
        <f>IFERROR(SUM(K10:O10), 0)</f>
        <v>11.503</v>
      </c>
      <c r="R10" s="281" t="s">
        <v>8312</v>
      </c>
      <c r="T10" s="283" t="s">
        <v>18777</v>
      </c>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8313</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8314</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8315</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8316</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8317</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8318</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8319</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8320</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8321</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8322</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8323</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8324</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8325</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8326</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8327</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8328</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8329</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8330</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8331</v>
      </c>
      <c r="C20" s="355" t="s">
        <v>4215</v>
      </c>
      <c r="D20" s="355">
        <v>3</v>
      </c>
      <c r="E20" s="679">
        <f>IFERROR(SUM(E10:E19), 0)</f>
        <v>0</v>
      </c>
      <c r="F20" s="679">
        <f t="shared" ref="F20:I20" si="23">IFERROR(SUM(F10:F19), 0)</f>
        <v>0</v>
      </c>
      <c r="G20" s="679">
        <f t="shared" si="23"/>
        <v>0</v>
      </c>
      <c r="H20" s="679">
        <f t="shared" si="23"/>
        <v>4.8570000000000002</v>
      </c>
      <c r="I20" s="679">
        <f t="shared" si="23"/>
        <v>0</v>
      </c>
      <c r="J20" s="679">
        <f>IFERROR(SUM(E20:I20), 0)</f>
        <v>4.8570000000000002</v>
      </c>
      <c r="K20" s="679">
        <f t="shared" ref="K20:L20" si="24">IFERROR(SUM(K10:K19), 0)</f>
        <v>0</v>
      </c>
      <c r="L20" s="679">
        <f t="shared" si="24"/>
        <v>0</v>
      </c>
      <c r="M20" s="679">
        <f>IFERROR(SUM(M10:M19), 0)</f>
        <v>0</v>
      </c>
      <c r="N20" s="679">
        <f>IFERROR(SUM(N10:N19), 0)</f>
        <v>11.503</v>
      </c>
      <c r="O20" s="679">
        <f>IFERROR(SUM(O10:O19), 0)</f>
        <v>0</v>
      </c>
      <c r="P20" s="417">
        <f>IFERROR(SUM(K20:O20), 0)</f>
        <v>11.503</v>
      </c>
      <c r="R20" s="576" t="s">
        <v>8332</v>
      </c>
      <c r="T20" s="302"/>
      <c r="V20" s="886"/>
      <c r="W20" s="219"/>
      <c r="X20" s="886"/>
      <c r="AJ20" s="886"/>
    </row>
    <row r="21" spans="2:36" s="242" customFormat="1" ht="16.8"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2" thickTop="1" thickBot="1">
      <c r="B22" s="393" t="s">
        <v>8333</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8334</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8335</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8336</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8337</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8338</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8339</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8340</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8341</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8342</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8343</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8344</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8345</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8346</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8347</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8348</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8349</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8350</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8351</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8352</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8353</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8354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8355</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2" priority="13" operator="equal">
      <formula>0</formula>
    </cfRule>
  </conditionalFormatting>
  <conditionalFormatting sqref="W23:W33">
    <cfRule type="cellIs" dxfId="13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A10" zoomScaleNormal="100" zoomScaleSheetLayoutView="100" workbookViewId="0">
      <selection activeCell="I37" sqref="I37"/>
    </sheetView>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19"/>
      <c r="B1" s="902" t="s">
        <v>8356</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8">
      <c r="A2" s="219"/>
      <c r="B2" s="902" t="str">
        <f>SelectCompany!B4</f>
        <v>Dŵr Cymru</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2">
      <c r="A3" s="219"/>
      <c r="B3" s="2854" t="s">
        <v>8357</v>
      </c>
      <c r="C3" s="2737"/>
      <c r="D3" s="2737"/>
      <c r="E3" s="2737"/>
      <c r="F3" s="2737"/>
      <c r="G3" s="2737"/>
      <c r="H3" s="2737"/>
      <c r="I3" s="2737"/>
      <c r="J3" s="2737"/>
      <c r="K3" s="2737"/>
      <c r="L3" s="2737"/>
      <c r="M3" s="2737"/>
      <c r="N3" s="2737"/>
      <c r="O3" s="2737"/>
      <c r="P3" s="2737"/>
      <c r="Q3" s="2737"/>
      <c r="R3" s="2737"/>
      <c r="S3" s="2737"/>
      <c r="T3" s="2737"/>
      <c r="U3" s="2737"/>
      <c r="V3" s="2737"/>
      <c r="W3" s="2737"/>
      <c r="X3" s="2737"/>
      <c r="Y3" s="2737"/>
      <c r="Z3" s="2737"/>
      <c r="AA3" s="219"/>
      <c r="AB3" s="238"/>
      <c r="AC3" s="2209"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2" thickTop="1">
      <c r="A5" s="242"/>
      <c r="B5" s="2844" t="s">
        <v>4202</v>
      </c>
      <c r="C5" s="2855" t="s">
        <v>4203</v>
      </c>
      <c r="D5" s="2855" t="s">
        <v>4204</v>
      </c>
      <c r="E5" s="2835" t="s">
        <v>8310</v>
      </c>
      <c r="F5" s="2835"/>
      <c r="G5" s="2835"/>
      <c r="H5" s="2835"/>
      <c r="I5" s="2835"/>
      <c r="J5" s="2835"/>
      <c r="K5" s="2835"/>
      <c r="L5" s="2835"/>
      <c r="M5" s="2835"/>
      <c r="N5" s="2835" t="s">
        <v>18465</v>
      </c>
      <c r="O5" s="2835"/>
      <c r="P5" s="2835"/>
      <c r="Q5" s="2835"/>
      <c r="R5" s="2835"/>
      <c r="S5" s="2835"/>
      <c r="T5" s="2835"/>
      <c r="U5" s="2835"/>
      <c r="V5" s="2836"/>
      <c r="W5" s="242"/>
      <c r="X5" s="2811" t="s">
        <v>4208</v>
      </c>
      <c r="Y5" s="242"/>
      <c r="Z5" s="2811"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6">
      <c r="A6" s="242"/>
      <c r="B6" s="2845"/>
      <c r="C6" s="2856"/>
      <c r="D6" s="2856"/>
      <c r="E6" s="2857" t="s">
        <v>8358</v>
      </c>
      <c r="F6" s="2857"/>
      <c r="G6" s="2857"/>
      <c r="H6" s="2857"/>
      <c r="I6" s="2857"/>
      <c r="J6" s="2850" t="s">
        <v>5144</v>
      </c>
      <c r="K6" s="2850"/>
      <c r="L6" s="2850"/>
      <c r="M6" s="2850" t="s">
        <v>4425</v>
      </c>
      <c r="N6" s="2857" t="s">
        <v>8358</v>
      </c>
      <c r="O6" s="2857"/>
      <c r="P6" s="2857"/>
      <c r="Q6" s="2857"/>
      <c r="R6" s="2857"/>
      <c r="S6" s="2850" t="s">
        <v>5144</v>
      </c>
      <c r="T6" s="2850"/>
      <c r="U6" s="2850"/>
      <c r="V6" s="2852" t="s">
        <v>4425</v>
      </c>
      <c r="W6" s="242"/>
      <c r="X6" s="2812"/>
      <c r="Y6" s="242"/>
      <c r="Z6" s="2812"/>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8">
      <c r="A7" s="242"/>
      <c r="B7" s="2845"/>
      <c r="C7" s="2856"/>
      <c r="D7" s="2856"/>
      <c r="E7" s="2850" t="s">
        <v>8359</v>
      </c>
      <c r="F7" s="2850"/>
      <c r="G7" s="2850"/>
      <c r="H7" s="2850" t="s">
        <v>8061</v>
      </c>
      <c r="I7" s="2850" t="s">
        <v>8360</v>
      </c>
      <c r="J7" s="2850" t="s">
        <v>8063</v>
      </c>
      <c r="K7" s="2850" t="s">
        <v>8064</v>
      </c>
      <c r="L7" s="2850" t="s">
        <v>8065</v>
      </c>
      <c r="M7" s="2850"/>
      <c r="N7" s="2850" t="s">
        <v>8359</v>
      </c>
      <c r="O7" s="2850"/>
      <c r="P7" s="2850"/>
      <c r="Q7" s="2850" t="s">
        <v>8061</v>
      </c>
      <c r="R7" s="2850" t="s">
        <v>8360</v>
      </c>
      <c r="S7" s="2850" t="s">
        <v>8063</v>
      </c>
      <c r="T7" s="2850" t="s">
        <v>8064</v>
      </c>
      <c r="U7" s="2850" t="s">
        <v>8065</v>
      </c>
      <c r="V7" s="2852"/>
      <c r="W7" s="242"/>
      <c r="X7" s="2812"/>
      <c r="Y7" s="242"/>
      <c r="Z7" s="2812"/>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46"/>
      <c r="C8" s="2838"/>
      <c r="D8" s="2838"/>
      <c r="E8" s="887" t="s">
        <v>8058</v>
      </c>
      <c r="F8" s="887" t="s">
        <v>8059</v>
      </c>
      <c r="G8" s="887" t="s">
        <v>8060</v>
      </c>
      <c r="H8" s="2851"/>
      <c r="I8" s="2851"/>
      <c r="J8" s="2851"/>
      <c r="K8" s="2851"/>
      <c r="L8" s="2851"/>
      <c r="M8" s="2851"/>
      <c r="N8" s="887" t="s">
        <v>8058</v>
      </c>
      <c r="O8" s="887" t="s">
        <v>8059</v>
      </c>
      <c r="P8" s="887" t="s">
        <v>8060</v>
      </c>
      <c r="Q8" s="2851"/>
      <c r="R8" s="2851"/>
      <c r="S8" s="2851"/>
      <c r="T8" s="2851"/>
      <c r="U8" s="2851"/>
      <c r="V8" s="2853"/>
      <c r="W8" s="242"/>
      <c r="X8" s="2813"/>
      <c r="Y8" s="242"/>
      <c r="Z8" s="2813"/>
      <c r="AA8" s="242"/>
      <c r="AB8" s="886"/>
      <c r="AC8" s="242"/>
      <c r="AD8" s="886"/>
      <c r="AE8" s="2710" t="s">
        <v>4201</v>
      </c>
      <c r="AF8" s="2710"/>
      <c r="AG8" s="2710"/>
      <c r="AH8" s="2843"/>
      <c r="AI8" s="2843"/>
      <c r="AJ8" s="2843"/>
      <c r="AK8" s="2843"/>
      <c r="AL8" s="2843"/>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8"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8" thickTop="1" thickBot="1">
      <c r="A10" s="242"/>
      <c r="B10" s="393" t="s">
        <v>8311</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8361</v>
      </c>
      <c r="C11" s="277" t="s">
        <v>4215</v>
      </c>
      <c r="D11" s="277">
        <v>3</v>
      </c>
      <c r="E11" s="694">
        <v>0</v>
      </c>
      <c r="F11" s="694">
        <v>0</v>
      </c>
      <c r="G11" s="694">
        <v>0</v>
      </c>
      <c r="H11" s="694">
        <v>0</v>
      </c>
      <c r="I11" s="694">
        <v>0</v>
      </c>
      <c r="J11" s="694">
        <v>0</v>
      </c>
      <c r="K11" s="694">
        <v>0</v>
      </c>
      <c r="L11" s="694">
        <v>0</v>
      </c>
      <c r="M11" s="1595">
        <f>IFERROR(SUM(E11:L11), 0)</f>
        <v>0</v>
      </c>
      <c r="N11" s="694">
        <v>0</v>
      </c>
      <c r="O11" s="694">
        <v>0</v>
      </c>
      <c r="P11" s="694">
        <v>0</v>
      </c>
      <c r="Q11" s="694">
        <v>0</v>
      </c>
      <c r="R11" s="694">
        <v>0</v>
      </c>
      <c r="S11" s="694">
        <v>0</v>
      </c>
      <c r="T11" s="694">
        <v>0</v>
      </c>
      <c r="U11" s="694">
        <v>0</v>
      </c>
      <c r="V11" s="1596">
        <f>IFERROR(SUM(N11:U11), 0)</f>
        <v>0</v>
      </c>
      <c r="W11" s="242"/>
      <c r="X11" s="281" t="s">
        <v>8362</v>
      </c>
      <c r="Y11" s="242"/>
      <c r="Z11" s="283"/>
      <c r="AA11" s="242"/>
      <c r="AB11" s="886"/>
      <c r="AC11" s="284">
        <f>IF( SUM( AE11:AU11 ) = 0, 0, $AE$9 )</f>
        <v>0</v>
      </c>
      <c r="AD11" s="886"/>
      <c r="AE11" s="285">
        <f t="shared" ref="AE11" si="0" xml:space="preserve"> IF( ISNUMBER( E11 ), 0, 1 )</f>
        <v>0</v>
      </c>
      <c r="AF11" s="285">
        <f t="shared" ref="AF11" si="1" xml:space="preserve"> IF( ISNUMBER( F11 ), 0, 1 )</f>
        <v>0</v>
      </c>
      <c r="AG11" s="285">
        <f t="shared" ref="AG11" si="2" xml:space="preserve"> IF( ISNUMBER( G11 ), 0, 1 )</f>
        <v>0</v>
      </c>
      <c r="AH11" s="285">
        <f t="shared" ref="AH11" si="3" xml:space="preserve"> IF( ISNUMBER( H11 ), 0, 1 )</f>
        <v>0</v>
      </c>
      <c r="AI11" s="285">
        <f t="shared" ref="AI11" si="4" xml:space="preserve"> IF( ISNUMBER( I11 ), 0, 1 )</f>
        <v>0</v>
      </c>
      <c r="AJ11" s="285">
        <f t="shared" ref="AJ11" si="5" xml:space="preserve"> IF( ISNUMBER( J11 ), 0, 1 )</f>
        <v>0</v>
      </c>
      <c r="AK11" s="285">
        <f t="shared" ref="AK11" si="6" xml:space="preserve"> IF( ISNUMBER( K11 ), 0, 1 )</f>
        <v>0</v>
      </c>
      <c r="AL11" s="285">
        <f t="shared" ref="AL11" si="7" xml:space="preserve"> IF( ISNUMBER( L11 ), 0, 1 )</f>
        <v>0</v>
      </c>
      <c r="AM11" s="270"/>
      <c r="AN11" s="285">
        <f t="shared" ref="AN11" si="8" xml:space="preserve"> IF( ISNUMBER( N11 ), 0, 1 )</f>
        <v>0</v>
      </c>
      <c r="AO11" s="285">
        <f t="shared" ref="AO11" si="9" xml:space="preserve"> IF( ISNUMBER( O11 ), 0, 1 )</f>
        <v>0</v>
      </c>
      <c r="AP11" s="285">
        <f t="shared" ref="AP11" si="10" xml:space="preserve"> IF( ISNUMBER( P11 ), 0, 1 )</f>
        <v>0</v>
      </c>
      <c r="AQ11" s="285">
        <f t="shared" ref="AQ11" si="11" xml:space="preserve"> IF( ISNUMBER( Q11 ), 0, 1 )</f>
        <v>0</v>
      </c>
      <c r="AR11" s="285">
        <f t="shared" ref="AR11" si="12" xml:space="preserve"> IF( ISNUMBER( R11 ), 0, 1 )</f>
        <v>0</v>
      </c>
      <c r="AS11" s="285">
        <f t="shared" ref="AS11" si="13" xml:space="preserve"> IF( ISNUMBER( S11 ), 0, 1 )</f>
        <v>0</v>
      </c>
      <c r="AT11" s="285">
        <f t="shared" ref="AT11" si="14" xml:space="preserve"> IF( ISNUMBER( T11 ), 0, 1 )</f>
        <v>0</v>
      </c>
      <c r="AU11" s="285">
        <f t="shared" ref="AU11" si="15" xml:space="preserve"> IF( ISNUMBER( U11 ), 0, 1 )</f>
        <v>0</v>
      </c>
      <c r="AV11" s="886"/>
      <c r="AW11" s="242"/>
      <c r="AX11" s="242"/>
      <c r="AY11" s="242"/>
      <c r="AZ11" s="242"/>
      <c r="BA11" s="242"/>
      <c r="BB11" s="242"/>
      <c r="BC11" s="242"/>
      <c r="BD11" s="242"/>
      <c r="BE11" s="242"/>
      <c r="BF11" s="242"/>
    </row>
    <row r="12" spans="1:58" s="9" customFormat="1" ht="15.75" customHeight="1">
      <c r="A12" s="242"/>
      <c r="B12" s="775" t="s">
        <v>8363</v>
      </c>
      <c r="C12" s="286" t="s">
        <v>4215</v>
      </c>
      <c r="D12" s="286">
        <v>3</v>
      </c>
      <c r="E12" s="697">
        <v>0</v>
      </c>
      <c r="F12" s="697">
        <v>0</v>
      </c>
      <c r="G12" s="697">
        <v>0</v>
      </c>
      <c r="H12" s="697">
        <v>0</v>
      </c>
      <c r="I12" s="697">
        <v>0</v>
      </c>
      <c r="J12" s="697">
        <v>0</v>
      </c>
      <c r="K12" s="697">
        <v>0</v>
      </c>
      <c r="L12" s="697">
        <v>0</v>
      </c>
      <c r="M12" s="1597">
        <f>IFERROR(SUM(E12:L12), 0)</f>
        <v>0</v>
      </c>
      <c r="N12" s="697">
        <v>0</v>
      </c>
      <c r="O12" s="697">
        <v>0</v>
      </c>
      <c r="P12" s="697">
        <v>0</v>
      </c>
      <c r="Q12" s="697">
        <v>0</v>
      </c>
      <c r="R12" s="697">
        <v>0</v>
      </c>
      <c r="S12" s="697">
        <v>0</v>
      </c>
      <c r="T12" s="697">
        <v>0</v>
      </c>
      <c r="U12" s="697">
        <v>0</v>
      </c>
      <c r="V12" s="1598">
        <f>IFERROR(SUM(N12:U12), 0)</f>
        <v>0</v>
      </c>
      <c r="W12" s="242"/>
      <c r="X12" s="290" t="s">
        <v>8364</v>
      </c>
      <c r="Y12" s="242"/>
      <c r="Z12" s="291"/>
      <c r="AA12" s="242"/>
      <c r="AB12" s="886"/>
      <c r="AC12" s="284">
        <f t="shared" ref="AC12:AC20" si="16">IF( SUM( AE12:AU12 ) = 0, 0, $AE$9 )</f>
        <v>0</v>
      </c>
      <c r="AD12" s="886"/>
      <c r="AE12" s="285">
        <f t="shared" ref="AE12:AE20" si="17" xml:space="preserve"> IF( ISNUMBER( E12 ), 0, 1 )</f>
        <v>0</v>
      </c>
      <c r="AF12" s="285">
        <f t="shared" ref="AF12:AF20" si="18" xml:space="preserve"> IF( ISNUMBER( F12 ), 0, 1 )</f>
        <v>0</v>
      </c>
      <c r="AG12" s="285">
        <f t="shared" ref="AG12:AG20" si="19" xml:space="preserve"> IF( ISNUMBER( G12 ), 0, 1 )</f>
        <v>0</v>
      </c>
      <c r="AH12" s="285">
        <f t="shared" ref="AH12:AH20" si="20" xml:space="preserve"> IF( ISNUMBER( H12 ), 0, 1 )</f>
        <v>0</v>
      </c>
      <c r="AI12" s="285">
        <f t="shared" ref="AI12:AI20" si="21" xml:space="preserve"> IF( ISNUMBER( I12 ), 0, 1 )</f>
        <v>0</v>
      </c>
      <c r="AJ12" s="285">
        <f t="shared" ref="AJ12:AJ20" si="22" xml:space="preserve"> IF( ISNUMBER( J12 ), 0, 1 )</f>
        <v>0</v>
      </c>
      <c r="AK12" s="285">
        <f t="shared" ref="AK12:AK20" si="23" xml:space="preserve"> IF( ISNUMBER( K12 ), 0, 1 )</f>
        <v>0</v>
      </c>
      <c r="AL12" s="285">
        <f t="shared" ref="AL12:AL20" si="24" xml:space="preserve"> IF( ISNUMBER( L12 ), 0, 1 )</f>
        <v>0</v>
      </c>
      <c r="AM12" s="270"/>
      <c r="AN12" s="285">
        <f t="shared" ref="AN12:AN20" si="25" xml:space="preserve"> IF( ISNUMBER( N12 ), 0, 1 )</f>
        <v>0</v>
      </c>
      <c r="AO12" s="285">
        <f t="shared" ref="AO12:AO20" si="26" xml:space="preserve"> IF( ISNUMBER( O12 ), 0, 1 )</f>
        <v>0</v>
      </c>
      <c r="AP12" s="285">
        <f t="shared" ref="AP12:AP20" si="27" xml:space="preserve"> IF( ISNUMBER( P12 ), 0, 1 )</f>
        <v>0</v>
      </c>
      <c r="AQ12" s="285">
        <f t="shared" ref="AQ12:AQ20" si="28" xml:space="preserve"> IF( ISNUMBER( Q12 ), 0, 1 )</f>
        <v>0</v>
      </c>
      <c r="AR12" s="285">
        <f t="shared" ref="AR12:AR20" si="29" xml:space="preserve"> IF( ISNUMBER( R12 ), 0, 1 )</f>
        <v>0</v>
      </c>
      <c r="AS12" s="285">
        <f t="shared" ref="AS12:AS20" si="30" xml:space="preserve"> IF( ISNUMBER( S12 ), 0, 1 )</f>
        <v>0</v>
      </c>
      <c r="AT12" s="285">
        <f t="shared" ref="AT12:AT20" si="31" xml:space="preserve"> IF( ISNUMBER( T12 ), 0, 1 )</f>
        <v>0</v>
      </c>
      <c r="AU12" s="285">
        <f t="shared" ref="AU12:AU20" si="32" xml:space="preserve"> IF( ISNUMBER( U12 ), 0, 1 )</f>
        <v>0</v>
      </c>
      <c r="AV12" s="886"/>
      <c r="AW12" s="242"/>
      <c r="AX12" s="242"/>
      <c r="AY12" s="242"/>
      <c r="AZ12" s="242"/>
      <c r="BA12" s="242"/>
      <c r="BB12" s="242"/>
      <c r="BC12" s="242"/>
      <c r="BD12" s="242"/>
      <c r="BE12" s="242"/>
      <c r="BF12" s="242"/>
    </row>
    <row r="13" spans="1:58" s="9" customFormat="1" ht="15.75" customHeight="1">
      <c r="A13" s="242"/>
      <c r="B13" s="775" t="s">
        <v>8365</v>
      </c>
      <c r="C13" s="286" t="s">
        <v>4215</v>
      </c>
      <c r="D13" s="286">
        <v>3</v>
      </c>
      <c r="E13" s="697">
        <v>0</v>
      </c>
      <c r="F13" s="697">
        <v>0</v>
      </c>
      <c r="G13" s="697">
        <v>0</v>
      </c>
      <c r="H13" s="697">
        <v>0</v>
      </c>
      <c r="I13" s="697">
        <v>0</v>
      </c>
      <c r="J13" s="697">
        <v>0</v>
      </c>
      <c r="K13" s="697">
        <v>0</v>
      </c>
      <c r="L13" s="697">
        <v>0</v>
      </c>
      <c r="M13" s="1597">
        <f t="shared" ref="M13:M20" si="33">IFERROR(SUM(E13:L13), 0)</f>
        <v>0</v>
      </c>
      <c r="N13" s="697">
        <v>0</v>
      </c>
      <c r="O13" s="697">
        <v>0</v>
      </c>
      <c r="P13" s="697">
        <v>0</v>
      </c>
      <c r="Q13" s="697">
        <v>0</v>
      </c>
      <c r="R13" s="697">
        <v>0</v>
      </c>
      <c r="S13" s="697">
        <v>0</v>
      </c>
      <c r="T13" s="697">
        <v>0</v>
      </c>
      <c r="U13" s="697">
        <v>0</v>
      </c>
      <c r="V13" s="1598">
        <f t="shared" ref="V13:V20" si="34">IFERROR(SUM(N13:U13), 0)</f>
        <v>0</v>
      </c>
      <c r="W13" s="242"/>
      <c r="X13" s="290" t="s">
        <v>8366</v>
      </c>
      <c r="Y13" s="242"/>
      <c r="Z13" s="291"/>
      <c r="AA13" s="242"/>
      <c r="AB13" s="886"/>
      <c r="AC13" s="284">
        <f t="shared" si="16"/>
        <v>0</v>
      </c>
      <c r="AD13" s="886"/>
      <c r="AE13" s="285">
        <f t="shared" si="17"/>
        <v>0</v>
      </c>
      <c r="AF13" s="285">
        <f t="shared" si="18"/>
        <v>0</v>
      </c>
      <c r="AG13" s="285">
        <f t="shared" si="19"/>
        <v>0</v>
      </c>
      <c r="AH13" s="285">
        <f t="shared" si="20"/>
        <v>0</v>
      </c>
      <c r="AI13" s="285">
        <f t="shared" si="21"/>
        <v>0</v>
      </c>
      <c r="AJ13" s="285">
        <f t="shared" si="22"/>
        <v>0</v>
      </c>
      <c r="AK13" s="285">
        <f t="shared" si="23"/>
        <v>0</v>
      </c>
      <c r="AL13" s="285">
        <f t="shared" si="24"/>
        <v>0</v>
      </c>
      <c r="AM13" s="270"/>
      <c r="AN13" s="285">
        <f t="shared" si="25"/>
        <v>0</v>
      </c>
      <c r="AO13" s="285">
        <f t="shared" si="26"/>
        <v>0</v>
      </c>
      <c r="AP13" s="285">
        <f t="shared" si="27"/>
        <v>0</v>
      </c>
      <c r="AQ13" s="285">
        <f t="shared" si="28"/>
        <v>0</v>
      </c>
      <c r="AR13" s="285">
        <f t="shared" si="29"/>
        <v>0</v>
      </c>
      <c r="AS13" s="285">
        <f t="shared" si="30"/>
        <v>0</v>
      </c>
      <c r="AT13" s="285">
        <f t="shared" si="31"/>
        <v>0</v>
      </c>
      <c r="AU13" s="285">
        <f t="shared" si="32"/>
        <v>0</v>
      </c>
      <c r="AV13" s="886"/>
      <c r="AW13" s="242"/>
      <c r="AX13" s="242"/>
      <c r="AY13" s="242"/>
      <c r="AZ13" s="242"/>
      <c r="BA13" s="242"/>
      <c r="BB13" s="242"/>
      <c r="BC13" s="242"/>
      <c r="BD13" s="242"/>
      <c r="BE13" s="242"/>
      <c r="BF13" s="242"/>
    </row>
    <row r="14" spans="1:58" s="9" customFormat="1" ht="15.75" customHeight="1">
      <c r="A14" s="242"/>
      <c r="B14" s="775" t="s">
        <v>8367</v>
      </c>
      <c r="C14" s="286" t="s">
        <v>4215</v>
      </c>
      <c r="D14" s="286">
        <v>3</v>
      </c>
      <c r="E14" s="697">
        <v>0</v>
      </c>
      <c r="F14" s="697">
        <v>0</v>
      </c>
      <c r="G14" s="697">
        <v>0</v>
      </c>
      <c r="H14" s="697">
        <v>0</v>
      </c>
      <c r="I14" s="697">
        <v>0</v>
      </c>
      <c r="J14" s="697">
        <v>0</v>
      </c>
      <c r="K14" s="697">
        <v>0</v>
      </c>
      <c r="L14" s="697">
        <v>0</v>
      </c>
      <c r="M14" s="1597">
        <f t="shared" si="33"/>
        <v>0</v>
      </c>
      <c r="N14" s="697">
        <v>0</v>
      </c>
      <c r="O14" s="697">
        <v>0</v>
      </c>
      <c r="P14" s="697">
        <v>0</v>
      </c>
      <c r="Q14" s="697">
        <v>0</v>
      </c>
      <c r="R14" s="697">
        <v>0</v>
      </c>
      <c r="S14" s="697">
        <v>0</v>
      </c>
      <c r="T14" s="697">
        <v>0</v>
      </c>
      <c r="U14" s="697">
        <v>0</v>
      </c>
      <c r="V14" s="1598">
        <f t="shared" si="34"/>
        <v>0</v>
      </c>
      <c r="W14" s="242"/>
      <c r="X14" s="290" t="s">
        <v>8368</v>
      </c>
      <c r="Y14" s="242"/>
      <c r="Z14" s="291"/>
      <c r="AA14" s="242"/>
      <c r="AB14" s="886"/>
      <c r="AC14" s="284">
        <f t="shared" si="16"/>
        <v>0</v>
      </c>
      <c r="AD14" s="886"/>
      <c r="AE14" s="285">
        <f t="shared" si="17"/>
        <v>0</v>
      </c>
      <c r="AF14" s="285">
        <f t="shared" si="18"/>
        <v>0</v>
      </c>
      <c r="AG14" s="285">
        <f t="shared" si="19"/>
        <v>0</v>
      </c>
      <c r="AH14" s="285">
        <f t="shared" si="20"/>
        <v>0</v>
      </c>
      <c r="AI14" s="285">
        <f t="shared" si="21"/>
        <v>0</v>
      </c>
      <c r="AJ14" s="285">
        <f t="shared" si="22"/>
        <v>0</v>
      </c>
      <c r="AK14" s="285">
        <f t="shared" si="23"/>
        <v>0</v>
      </c>
      <c r="AL14" s="285">
        <f t="shared" si="24"/>
        <v>0</v>
      </c>
      <c r="AM14" s="270"/>
      <c r="AN14" s="285">
        <f t="shared" si="25"/>
        <v>0</v>
      </c>
      <c r="AO14" s="285">
        <f t="shared" si="26"/>
        <v>0</v>
      </c>
      <c r="AP14" s="285">
        <f t="shared" si="27"/>
        <v>0</v>
      </c>
      <c r="AQ14" s="285">
        <f t="shared" si="28"/>
        <v>0</v>
      </c>
      <c r="AR14" s="285">
        <f t="shared" si="29"/>
        <v>0</v>
      </c>
      <c r="AS14" s="285">
        <f t="shared" si="30"/>
        <v>0</v>
      </c>
      <c r="AT14" s="285">
        <f t="shared" si="31"/>
        <v>0</v>
      </c>
      <c r="AU14" s="285">
        <f t="shared" si="32"/>
        <v>0</v>
      </c>
      <c r="AV14" s="886"/>
      <c r="AW14" s="242"/>
      <c r="AX14" s="242"/>
      <c r="AY14" s="242"/>
      <c r="AZ14" s="242"/>
      <c r="BA14" s="242"/>
      <c r="BB14" s="242"/>
      <c r="BC14" s="242"/>
      <c r="BD14" s="242"/>
      <c r="BE14" s="242"/>
      <c r="BF14" s="242"/>
    </row>
    <row r="15" spans="1:58" s="9" customFormat="1" ht="15.75" customHeight="1">
      <c r="A15" s="242"/>
      <c r="B15" s="775" t="s">
        <v>8369</v>
      </c>
      <c r="C15" s="286" t="s">
        <v>4215</v>
      </c>
      <c r="D15" s="286">
        <v>3</v>
      </c>
      <c r="E15" s="697">
        <v>0</v>
      </c>
      <c r="F15" s="697">
        <v>0</v>
      </c>
      <c r="G15" s="697">
        <v>0</v>
      </c>
      <c r="H15" s="697">
        <v>0</v>
      </c>
      <c r="I15" s="697">
        <v>0</v>
      </c>
      <c r="J15" s="697">
        <v>0</v>
      </c>
      <c r="K15" s="697">
        <v>0</v>
      </c>
      <c r="L15" s="697">
        <v>0</v>
      </c>
      <c r="M15" s="1597">
        <f t="shared" si="33"/>
        <v>0</v>
      </c>
      <c r="N15" s="697">
        <v>0</v>
      </c>
      <c r="O15" s="697">
        <v>0</v>
      </c>
      <c r="P15" s="697">
        <v>0</v>
      </c>
      <c r="Q15" s="697">
        <v>0</v>
      </c>
      <c r="R15" s="697">
        <v>0</v>
      </c>
      <c r="S15" s="697">
        <v>0</v>
      </c>
      <c r="T15" s="697">
        <v>0</v>
      </c>
      <c r="U15" s="697">
        <v>0</v>
      </c>
      <c r="V15" s="1598">
        <f t="shared" si="34"/>
        <v>0</v>
      </c>
      <c r="W15" s="242"/>
      <c r="X15" s="290" t="s">
        <v>8370</v>
      </c>
      <c r="Y15" s="242"/>
      <c r="Z15" s="291"/>
      <c r="AA15" s="242"/>
      <c r="AB15" s="886"/>
      <c r="AC15" s="284">
        <f t="shared" si="16"/>
        <v>0</v>
      </c>
      <c r="AD15" s="886"/>
      <c r="AE15" s="285">
        <f t="shared" si="17"/>
        <v>0</v>
      </c>
      <c r="AF15" s="285">
        <f t="shared" si="18"/>
        <v>0</v>
      </c>
      <c r="AG15" s="285">
        <f t="shared" si="19"/>
        <v>0</v>
      </c>
      <c r="AH15" s="285">
        <f t="shared" si="20"/>
        <v>0</v>
      </c>
      <c r="AI15" s="285">
        <f t="shared" si="21"/>
        <v>0</v>
      </c>
      <c r="AJ15" s="285">
        <f t="shared" si="22"/>
        <v>0</v>
      </c>
      <c r="AK15" s="285">
        <f t="shared" si="23"/>
        <v>0</v>
      </c>
      <c r="AL15" s="285">
        <f t="shared" si="24"/>
        <v>0</v>
      </c>
      <c r="AM15" s="270"/>
      <c r="AN15" s="285">
        <f t="shared" si="25"/>
        <v>0</v>
      </c>
      <c r="AO15" s="285">
        <f t="shared" si="26"/>
        <v>0</v>
      </c>
      <c r="AP15" s="285">
        <f t="shared" si="27"/>
        <v>0</v>
      </c>
      <c r="AQ15" s="285">
        <f t="shared" si="28"/>
        <v>0</v>
      </c>
      <c r="AR15" s="285">
        <f t="shared" si="29"/>
        <v>0</v>
      </c>
      <c r="AS15" s="285">
        <f t="shared" si="30"/>
        <v>0</v>
      </c>
      <c r="AT15" s="285">
        <f t="shared" si="31"/>
        <v>0</v>
      </c>
      <c r="AU15" s="285">
        <f t="shared" si="32"/>
        <v>0</v>
      </c>
      <c r="AV15" s="886"/>
      <c r="AW15" s="242"/>
      <c r="AX15" s="242"/>
      <c r="AY15" s="242"/>
      <c r="AZ15" s="242"/>
      <c r="BA15" s="242"/>
      <c r="BB15" s="242"/>
      <c r="BC15" s="242"/>
      <c r="BD15" s="242"/>
      <c r="BE15" s="242"/>
      <c r="BF15" s="242"/>
    </row>
    <row r="16" spans="1:58" s="9" customFormat="1" ht="15.75" customHeight="1">
      <c r="A16" s="242"/>
      <c r="B16" s="775" t="s">
        <v>8371</v>
      </c>
      <c r="C16" s="286" t="s">
        <v>4215</v>
      </c>
      <c r="D16" s="286">
        <v>3</v>
      </c>
      <c r="E16" s="697">
        <v>0</v>
      </c>
      <c r="F16" s="697">
        <v>0</v>
      </c>
      <c r="G16" s="697">
        <v>0</v>
      </c>
      <c r="H16" s="697">
        <v>0</v>
      </c>
      <c r="I16" s="697">
        <v>0</v>
      </c>
      <c r="J16" s="697">
        <v>0</v>
      </c>
      <c r="K16" s="697">
        <v>0</v>
      </c>
      <c r="L16" s="697">
        <v>0</v>
      </c>
      <c r="M16" s="1597">
        <f t="shared" si="33"/>
        <v>0</v>
      </c>
      <c r="N16" s="697">
        <v>0</v>
      </c>
      <c r="O16" s="697">
        <v>0</v>
      </c>
      <c r="P16" s="697">
        <v>0</v>
      </c>
      <c r="Q16" s="697">
        <v>0</v>
      </c>
      <c r="R16" s="697">
        <v>0</v>
      </c>
      <c r="S16" s="697">
        <v>0</v>
      </c>
      <c r="T16" s="697">
        <v>0</v>
      </c>
      <c r="U16" s="697">
        <v>0</v>
      </c>
      <c r="V16" s="1598">
        <f t="shared" si="34"/>
        <v>0</v>
      </c>
      <c r="W16" s="242"/>
      <c r="X16" s="290" t="s">
        <v>8372</v>
      </c>
      <c r="Y16" s="242"/>
      <c r="Z16" s="291"/>
      <c r="AA16" s="242"/>
      <c r="AB16" s="886"/>
      <c r="AC16" s="284">
        <f t="shared" si="16"/>
        <v>0</v>
      </c>
      <c r="AD16" s="886"/>
      <c r="AE16" s="285">
        <f t="shared" si="17"/>
        <v>0</v>
      </c>
      <c r="AF16" s="285">
        <f t="shared" si="18"/>
        <v>0</v>
      </c>
      <c r="AG16" s="285">
        <f t="shared" si="19"/>
        <v>0</v>
      </c>
      <c r="AH16" s="285">
        <f t="shared" si="20"/>
        <v>0</v>
      </c>
      <c r="AI16" s="285">
        <f t="shared" si="21"/>
        <v>0</v>
      </c>
      <c r="AJ16" s="285">
        <f t="shared" si="22"/>
        <v>0</v>
      </c>
      <c r="AK16" s="285">
        <f t="shared" si="23"/>
        <v>0</v>
      </c>
      <c r="AL16" s="285">
        <f t="shared" si="24"/>
        <v>0</v>
      </c>
      <c r="AM16" s="270"/>
      <c r="AN16" s="285">
        <f t="shared" si="25"/>
        <v>0</v>
      </c>
      <c r="AO16" s="285">
        <f t="shared" si="26"/>
        <v>0</v>
      </c>
      <c r="AP16" s="285">
        <f t="shared" si="27"/>
        <v>0</v>
      </c>
      <c r="AQ16" s="285">
        <f t="shared" si="28"/>
        <v>0</v>
      </c>
      <c r="AR16" s="285">
        <f t="shared" si="29"/>
        <v>0</v>
      </c>
      <c r="AS16" s="285">
        <f t="shared" si="30"/>
        <v>0</v>
      </c>
      <c r="AT16" s="285">
        <f t="shared" si="31"/>
        <v>0</v>
      </c>
      <c r="AU16" s="285">
        <f t="shared" si="32"/>
        <v>0</v>
      </c>
      <c r="AV16" s="886"/>
      <c r="AW16" s="242"/>
      <c r="AX16" s="242"/>
      <c r="AY16" s="242"/>
      <c r="AZ16" s="242"/>
      <c r="BA16" s="242"/>
      <c r="BB16" s="242"/>
      <c r="BC16" s="242"/>
      <c r="BD16" s="242"/>
      <c r="BE16" s="242"/>
      <c r="BF16" s="242"/>
    </row>
    <row r="17" spans="1:58" s="9" customFormat="1" ht="15.75" customHeight="1">
      <c r="A17" s="242"/>
      <c r="B17" s="775" t="s">
        <v>8373</v>
      </c>
      <c r="C17" s="286" t="s">
        <v>4215</v>
      </c>
      <c r="D17" s="286">
        <v>3</v>
      </c>
      <c r="E17" s="697">
        <v>0</v>
      </c>
      <c r="F17" s="697">
        <v>0</v>
      </c>
      <c r="G17" s="697">
        <v>0</v>
      </c>
      <c r="H17" s="697">
        <v>0</v>
      </c>
      <c r="I17" s="697">
        <v>0</v>
      </c>
      <c r="J17" s="697">
        <v>0</v>
      </c>
      <c r="K17" s="697">
        <v>0</v>
      </c>
      <c r="L17" s="697">
        <v>0</v>
      </c>
      <c r="M17" s="1597">
        <f t="shared" si="33"/>
        <v>0</v>
      </c>
      <c r="N17" s="697">
        <v>0</v>
      </c>
      <c r="O17" s="697">
        <v>0</v>
      </c>
      <c r="P17" s="697">
        <v>0</v>
      </c>
      <c r="Q17" s="697">
        <v>0</v>
      </c>
      <c r="R17" s="697">
        <v>0</v>
      </c>
      <c r="S17" s="697">
        <v>0</v>
      </c>
      <c r="T17" s="697">
        <v>0</v>
      </c>
      <c r="U17" s="697">
        <v>0</v>
      </c>
      <c r="V17" s="1598">
        <f t="shared" si="34"/>
        <v>0</v>
      </c>
      <c r="W17" s="242"/>
      <c r="X17" s="290" t="s">
        <v>8374</v>
      </c>
      <c r="Y17" s="242"/>
      <c r="Z17" s="291"/>
      <c r="AA17" s="242"/>
      <c r="AB17" s="886"/>
      <c r="AC17" s="284">
        <f t="shared" si="16"/>
        <v>0</v>
      </c>
      <c r="AD17" s="886"/>
      <c r="AE17" s="285">
        <f t="shared" si="17"/>
        <v>0</v>
      </c>
      <c r="AF17" s="285">
        <f t="shared" si="18"/>
        <v>0</v>
      </c>
      <c r="AG17" s="285">
        <f t="shared" si="19"/>
        <v>0</v>
      </c>
      <c r="AH17" s="285">
        <f t="shared" si="20"/>
        <v>0</v>
      </c>
      <c r="AI17" s="285">
        <f t="shared" si="21"/>
        <v>0</v>
      </c>
      <c r="AJ17" s="285">
        <f t="shared" si="22"/>
        <v>0</v>
      </c>
      <c r="AK17" s="285">
        <f t="shared" si="23"/>
        <v>0</v>
      </c>
      <c r="AL17" s="285">
        <f t="shared" si="24"/>
        <v>0</v>
      </c>
      <c r="AM17" s="270"/>
      <c r="AN17" s="285">
        <f t="shared" si="25"/>
        <v>0</v>
      </c>
      <c r="AO17" s="285">
        <f t="shared" si="26"/>
        <v>0</v>
      </c>
      <c r="AP17" s="285">
        <f t="shared" si="27"/>
        <v>0</v>
      </c>
      <c r="AQ17" s="285">
        <f t="shared" si="28"/>
        <v>0</v>
      </c>
      <c r="AR17" s="285">
        <f t="shared" si="29"/>
        <v>0</v>
      </c>
      <c r="AS17" s="285">
        <f t="shared" si="30"/>
        <v>0</v>
      </c>
      <c r="AT17" s="285">
        <f t="shared" si="31"/>
        <v>0</v>
      </c>
      <c r="AU17" s="285">
        <f t="shared" si="32"/>
        <v>0</v>
      </c>
      <c r="AV17" s="886"/>
      <c r="AW17" s="242"/>
      <c r="AX17" s="242"/>
      <c r="AY17" s="242"/>
      <c r="AZ17" s="242"/>
      <c r="BA17" s="242"/>
      <c r="BB17" s="242"/>
      <c r="BC17" s="242"/>
      <c r="BD17" s="242"/>
      <c r="BE17" s="242"/>
      <c r="BF17" s="242"/>
    </row>
    <row r="18" spans="1:58" s="9" customFormat="1" ht="15.75" customHeight="1">
      <c r="A18" s="242"/>
      <c r="B18" s="775" t="s">
        <v>8375</v>
      </c>
      <c r="C18" s="286" t="s">
        <v>4215</v>
      </c>
      <c r="D18" s="286">
        <v>3</v>
      </c>
      <c r="E18" s="697">
        <v>0</v>
      </c>
      <c r="F18" s="697">
        <v>0</v>
      </c>
      <c r="G18" s="697">
        <v>0</v>
      </c>
      <c r="H18" s="697">
        <v>0</v>
      </c>
      <c r="I18" s="697">
        <v>0</v>
      </c>
      <c r="J18" s="697">
        <v>0</v>
      </c>
      <c r="K18" s="697">
        <v>0</v>
      </c>
      <c r="L18" s="697">
        <v>0</v>
      </c>
      <c r="M18" s="1597">
        <f t="shared" si="33"/>
        <v>0</v>
      </c>
      <c r="N18" s="697">
        <v>0</v>
      </c>
      <c r="O18" s="697">
        <v>0</v>
      </c>
      <c r="P18" s="697">
        <v>0</v>
      </c>
      <c r="Q18" s="697">
        <v>0</v>
      </c>
      <c r="R18" s="697">
        <v>0</v>
      </c>
      <c r="S18" s="697">
        <v>0</v>
      </c>
      <c r="T18" s="697">
        <v>0</v>
      </c>
      <c r="U18" s="697">
        <v>0</v>
      </c>
      <c r="V18" s="1598">
        <f t="shared" si="34"/>
        <v>0</v>
      </c>
      <c r="W18" s="242"/>
      <c r="X18" s="290" t="s">
        <v>8376</v>
      </c>
      <c r="Y18" s="242"/>
      <c r="Z18" s="291"/>
      <c r="AA18" s="242"/>
      <c r="AB18" s="886"/>
      <c r="AC18" s="284">
        <f t="shared" si="16"/>
        <v>0</v>
      </c>
      <c r="AD18" s="886"/>
      <c r="AE18" s="285">
        <f t="shared" si="17"/>
        <v>0</v>
      </c>
      <c r="AF18" s="285">
        <f t="shared" si="18"/>
        <v>0</v>
      </c>
      <c r="AG18" s="285">
        <f t="shared" si="19"/>
        <v>0</v>
      </c>
      <c r="AH18" s="285">
        <f t="shared" si="20"/>
        <v>0</v>
      </c>
      <c r="AI18" s="285">
        <f t="shared" si="21"/>
        <v>0</v>
      </c>
      <c r="AJ18" s="285">
        <f t="shared" si="22"/>
        <v>0</v>
      </c>
      <c r="AK18" s="285">
        <f t="shared" si="23"/>
        <v>0</v>
      </c>
      <c r="AL18" s="285">
        <f t="shared" si="24"/>
        <v>0</v>
      </c>
      <c r="AM18" s="270"/>
      <c r="AN18" s="285">
        <f t="shared" si="25"/>
        <v>0</v>
      </c>
      <c r="AO18" s="285">
        <f t="shared" si="26"/>
        <v>0</v>
      </c>
      <c r="AP18" s="285">
        <f t="shared" si="27"/>
        <v>0</v>
      </c>
      <c r="AQ18" s="285">
        <f t="shared" si="28"/>
        <v>0</v>
      </c>
      <c r="AR18" s="285">
        <f t="shared" si="29"/>
        <v>0</v>
      </c>
      <c r="AS18" s="285">
        <f t="shared" si="30"/>
        <v>0</v>
      </c>
      <c r="AT18" s="285">
        <f t="shared" si="31"/>
        <v>0</v>
      </c>
      <c r="AU18" s="285">
        <f t="shared" si="32"/>
        <v>0</v>
      </c>
      <c r="AV18" s="886"/>
      <c r="AW18" s="242"/>
      <c r="AX18" s="242"/>
      <c r="AY18" s="242"/>
      <c r="AZ18" s="242"/>
      <c r="BA18" s="242"/>
      <c r="BB18" s="242"/>
      <c r="BC18" s="242"/>
      <c r="BD18" s="242"/>
      <c r="BE18" s="242"/>
      <c r="BF18" s="242"/>
    </row>
    <row r="19" spans="1:58" s="9" customFormat="1" ht="15.75" customHeight="1">
      <c r="A19" s="242"/>
      <c r="B19" s="775" t="s">
        <v>8377</v>
      </c>
      <c r="C19" s="286" t="s">
        <v>4215</v>
      </c>
      <c r="D19" s="286">
        <v>3</v>
      </c>
      <c r="E19" s="697">
        <v>0</v>
      </c>
      <c r="F19" s="697">
        <v>0</v>
      </c>
      <c r="G19" s="697">
        <v>0</v>
      </c>
      <c r="H19" s="697">
        <v>0</v>
      </c>
      <c r="I19" s="697">
        <v>0</v>
      </c>
      <c r="J19" s="697">
        <v>0</v>
      </c>
      <c r="K19" s="697">
        <v>0</v>
      </c>
      <c r="L19" s="697">
        <v>0</v>
      </c>
      <c r="M19" s="1597">
        <f t="shared" si="33"/>
        <v>0</v>
      </c>
      <c r="N19" s="697">
        <v>0</v>
      </c>
      <c r="O19" s="697">
        <v>0</v>
      </c>
      <c r="P19" s="697">
        <v>0</v>
      </c>
      <c r="Q19" s="697">
        <v>0</v>
      </c>
      <c r="R19" s="697">
        <v>0</v>
      </c>
      <c r="S19" s="697">
        <v>0</v>
      </c>
      <c r="T19" s="697">
        <v>0</v>
      </c>
      <c r="U19" s="697">
        <v>0</v>
      </c>
      <c r="V19" s="1598">
        <f t="shared" si="34"/>
        <v>0</v>
      </c>
      <c r="W19" s="242"/>
      <c r="X19" s="290" t="s">
        <v>8378</v>
      </c>
      <c r="Y19" s="242"/>
      <c r="Z19" s="291"/>
      <c r="AA19" s="242"/>
      <c r="AB19" s="886"/>
      <c r="AC19" s="284">
        <f t="shared" si="16"/>
        <v>0</v>
      </c>
      <c r="AD19" s="886"/>
      <c r="AE19" s="285">
        <f t="shared" si="17"/>
        <v>0</v>
      </c>
      <c r="AF19" s="285">
        <f t="shared" si="18"/>
        <v>0</v>
      </c>
      <c r="AG19" s="285">
        <f t="shared" si="19"/>
        <v>0</v>
      </c>
      <c r="AH19" s="285">
        <f t="shared" si="20"/>
        <v>0</v>
      </c>
      <c r="AI19" s="285">
        <f t="shared" si="21"/>
        <v>0</v>
      </c>
      <c r="AJ19" s="285">
        <f t="shared" si="22"/>
        <v>0</v>
      </c>
      <c r="AK19" s="285">
        <f t="shared" si="23"/>
        <v>0</v>
      </c>
      <c r="AL19" s="285">
        <f t="shared" si="24"/>
        <v>0</v>
      </c>
      <c r="AM19" s="270"/>
      <c r="AN19" s="285">
        <f t="shared" si="25"/>
        <v>0</v>
      </c>
      <c r="AO19" s="285">
        <f t="shared" si="26"/>
        <v>0</v>
      </c>
      <c r="AP19" s="285">
        <f t="shared" si="27"/>
        <v>0</v>
      </c>
      <c r="AQ19" s="285">
        <f t="shared" si="28"/>
        <v>0</v>
      </c>
      <c r="AR19" s="285">
        <f t="shared" si="29"/>
        <v>0</v>
      </c>
      <c r="AS19" s="285">
        <f t="shared" si="30"/>
        <v>0</v>
      </c>
      <c r="AT19" s="285">
        <f t="shared" si="31"/>
        <v>0</v>
      </c>
      <c r="AU19" s="285">
        <f t="shared" si="32"/>
        <v>0</v>
      </c>
      <c r="AV19" s="886"/>
      <c r="AW19" s="242"/>
      <c r="AX19" s="242"/>
      <c r="AY19" s="242"/>
      <c r="AZ19" s="242"/>
      <c r="BA19" s="242"/>
      <c r="BB19" s="242"/>
      <c r="BC19" s="242"/>
      <c r="BD19" s="242"/>
      <c r="BE19" s="242"/>
      <c r="BF19" s="242"/>
    </row>
    <row r="20" spans="1:58" s="9" customFormat="1" ht="15.75" customHeight="1">
      <c r="A20" s="242"/>
      <c r="B20" s="775" t="s">
        <v>8379</v>
      </c>
      <c r="C20" s="286" t="s">
        <v>4215</v>
      </c>
      <c r="D20" s="286">
        <v>3</v>
      </c>
      <c r="E20" s="697">
        <v>0</v>
      </c>
      <c r="F20" s="697">
        <v>0</v>
      </c>
      <c r="G20" s="697">
        <v>0</v>
      </c>
      <c r="H20" s="697">
        <v>0</v>
      </c>
      <c r="I20" s="697">
        <v>0</v>
      </c>
      <c r="J20" s="697">
        <v>0</v>
      </c>
      <c r="K20" s="697">
        <v>0</v>
      </c>
      <c r="L20" s="697">
        <v>0</v>
      </c>
      <c r="M20" s="1597">
        <f t="shared" si="33"/>
        <v>0</v>
      </c>
      <c r="N20" s="697">
        <v>0</v>
      </c>
      <c r="O20" s="697">
        <v>0</v>
      </c>
      <c r="P20" s="697">
        <v>0</v>
      </c>
      <c r="Q20" s="697">
        <v>0</v>
      </c>
      <c r="R20" s="697">
        <v>0</v>
      </c>
      <c r="S20" s="697">
        <v>0</v>
      </c>
      <c r="T20" s="697">
        <v>0</v>
      </c>
      <c r="U20" s="697">
        <v>0</v>
      </c>
      <c r="V20" s="1598">
        <f t="shared" si="34"/>
        <v>0</v>
      </c>
      <c r="W20" s="242"/>
      <c r="X20" s="290" t="s">
        <v>8380</v>
      </c>
      <c r="Y20" s="242"/>
      <c r="Z20" s="291"/>
      <c r="AA20" s="242"/>
      <c r="AB20" s="886"/>
      <c r="AC20" s="284">
        <f t="shared" si="16"/>
        <v>0</v>
      </c>
      <c r="AD20" s="886"/>
      <c r="AE20" s="285">
        <f t="shared" si="17"/>
        <v>0</v>
      </c>
      <c r="AF20" s="285">
        <f t="shared" si="18"/>
        <v>0</v>
      </c>
      <c r="AG20" s="285">
        <f t="shared" si="19"/>
        <v>0</v>
      </c>
      <c r="AH20" s="285">
        <f t="shared" si="20"/>
        <v>0</v>
      </c>
      <c r="AI20" s="285">
        <f t="shared" si="21"/>
        <v>0</v>
      </c>
      <c r="AJ20" s="285">
        <f t="shared" si="22"/>
        <v>0</v>
      </c>
      <c r="AK20" s="285">
        <f t="shared" si="23"/>
        <v>0</v>
      </c>
      <c r="AL20" s="285">
        <f t="shared" si="24"/>
        <v>0</v>
      </c>
      <c r="AM20" s="270"/>
      <c r="AN20" s="285">
        <f t="shared" si="25"/>
        <v>0</v>
      </c>
      <c r="AO20" s="285">
        <f t="shared" si="26"/>
        <v>0</v>
      </c>
      <c r="AP20" s="285">
        <f t="shared" si="27"/>
        <v>0</v>
      </c>
      <c r="AQ20" s="285">
        <f t="shared" si="28"/>
        <v>0</v>
      </c>
      <c r="AR20" s="285">
        <f t="shared" si="29"/>
        <v>0</v>
      </c>
      <c r="AS20" s="285">
        <f t="shared" si="30"/>
        <v>0</v>
      </c>
      <c r="AT20" s="285">
        <f t="shared" si="31"/>
        <v>0</v>
      </c>
      <c r="AU20" s="285">
        <f t="shared" si="32"/>
        <v>0</v>
      </c>
      <c r="AV20" s="886"/>
      <c r="AW20" s="242"/>
      <c r="AX20" s="242"/>
      <c r="AY20" s="242"/>
      <c r="AZ20" s="242"/>
      <c r="BA20" s="242"/>
      <c r="BB20" s="242"/>
      <c r="BC20" s="242"/>
      <c r="BD20" s="242"/>
      <c r="BE20" s="242"/>
      <c r="BF20" s="242"/>
    </row>
    <row r="21" spans="1:58" s="9" customFormat="1" ht="30" customHeight="1" thickBot="1">
      <c r="A21" s="242"/>
      <c r="B21" s="463" t="s">
        <v>8331</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8381</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8"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8333</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8382</v>
      </c>
      <c r="C24" s="277" t="s">
        <v>4215</v>
      </c>
      <c r="D24" s="277">
        <v>3</v>
      </c>
      <c r="E24" s="694">
        <v>0</v>
      </c>
      <c r="F24" s="694">
        <v>0</v>
      </c>
      <c r="G24" s="694">
        <v>0</v>
      </c>
      <c r="H24" s="694">
        <v>0</v>
      </c>
      <c r="I24" s="694">
        <v>0</v>
      </c>
      <c r="J24" s="694">
        <v>0</v>
      </c>
      <c r="K24" s="694">
        <v>0</v>
      </c>
      <c r="L24" s="694">
        <v>0</v>
      </c>
      <c r="M24" s="1595">
        <f>IFERROR(SUM(E24:L24), 0)</f>
        <v>0</v>
      </c>
      <c r="N24" s="694">
        <v>0</v>
      </c>
      <c r="O24" s="694">
        <v>0</v>
      </c>
      <c r="P24" s="694">
        <v>0</v>
      </c>
      <c r="Q24" s="694">
        <v>0</v>
      </c>
      <c r="R24" s="694">
        <v>0</v>
      </c>
      <c r="S24" s="694">
        <v>0</v>
      </c>
      <c r="T24" s="694">
        <v>0</v>
      </c>
      <c r="U24" s="694">
        <v>0</v>
      </c>
      <c r="V24" s="1596">
        <f>IFERROR(SUM(N24:U24), 0)</f>
        <v>0</v>
      </c>
      <c r="W24" s="242"/>
      <c r="X24" s="281" t="s">
        <v>8383</v>
      </c>
      <c r="Y24" s="242"/>
      <c r="Z24" s="283"/>
      <c r="AA24" s="242"/>
      <c r="AB24" s="886"/>
      <c r="AC24" s="284">
        <f t="shared" ref="AC24:AC33" si="37">IF( SUM( AE24:AU24 ) = 0, 0, $AE$9 )</f>
        <v>0</v>
      </c>
      <c r="AD24" s="886"/>
      <c r="AE24" s="285">
        <f t="shared" ref="AE24:AE33" si="38" xml:space="preserve"> IF( ISNUMBER( E24 ), 0, 1 )</f>
        <v>0</v>
      </c>
      <c r="AF24" s="285">
        <f t="shared" ref="AF24:AF33" si="39" xml:space="preserve"> IF( ISNUMBER( F24 ), 0, 1 )</f>
        <v>0</v>
      </c>
      <c r="AG24" s="285">
        <f t="shared" ref="AG24:AG33" si="40" xml:space="preserve"> IF( ISNUMBER( G24 ), 0, 1 )</f>
        <v>0</v>
      </c>
      <c r="AH24" s="285">
        <f t="shared" ref="AH24:AH33" si="41" xml:space="preserve"> IF( ISNUMBER( H24 ), 0, 1 )</f>
        <v>0</v>
      </c>
      <c r="AI24" s="285">
        <f t="shared" ref="AI24:AI33" si="42" xml:space="preserve"> IF( ISNUMBER( I24 ), 0, 1 )</f>
        <v>0</v>
      </c>
      <c r="AJ24" s="285">
        <f t="shared" ref="AJ24:AJ33" si="43" xml:space="preserve"> IF( ISNUMBER( J24 ), 0, 1 )</f>
        <v>0</v>
      </c>
      <c r="AK24" s="285">
        <f t="shared" ref="AK24:AK33" si="44" xml:space="preserve"> IF( ISNUMBER( K24 ), 0, 1 )</f>
        <v>0</v>
      </c>
      <c r="AL24" s="285">
        <f t="shared" ref="AL24:AL33" si="45" xml:space="preserve"> IF( ISNUMBER( L24 ), 0, 1 )</f>
        <v>0</v>
      </c>
      <c r="AM24" s="270"/>
      <c r="AN24" s="285">
        <f t="shared" ref="AN24:AN33" si="46" xml:space="preserve"> IF( ISNUMBER( N24 ), 0, 1 )</f>
        <v>0</v>
      </c>
      <c r="AO24" s="285">
        <f t="shared" ref="AO24:AO33" si="47" xml:space="preserve"> IF( ISNUMBER( O24 ), 0, 1 )</f>
        <v>0</v>
      </c>
      <c r="AP24" s="285">
        <f t="shared" ref="AP24:AP33" si="48" xml:space="preserve"> IF( ISNUMBER( P24 ), 0, 1 )</f>
        <v>0</v>
      </c>
      <c r="AQ24" s="285">
        <f t="shared" ref="AQ24:AQ33" si="49" xml:space="preserve"> IF( ISNUMBER( Q24 ), 0, 1 )</f>
        <v>0</v>
      </c>
      <c r="AR24" s="285">
        <f t="shared" ref="AR24:AR33" si="50" xml:space="preserve"> IF( ISNUMBER( R24 ), 0, 1 )</f>
        <v>0</v>
      </c>
      <c r="AS24" s="285">
        <f t="shared" ref="AS24:AS33" si="51" xml:space="preserve"> IF( ISNUMBER( S24 ), 0, 1 )</f>
        <v>0</v>
      </c>
      <c r="AT24" s="285">
        <f t="shared" ref="AT24:AT33" si="52" xml:space="preserve"> IF( ISNUMBER( T24 ), 0, 1 )</f>
        <v>0</v>
      </c>
      <c r="AU24" s="285">
        <f t="shared" ref="AU24:AU33" si="53" xml:space="preserve"> IF( ISNUMBER( U24 ), 0, 1 )</f>
        <v>0</v>
      </c>
      <c r="AV24" s="886"/>
      <c r="AW24" s="242"/>
      <c r="AX24" s="242"/>
      <c r="AY24" s="242"/>
      <c r="AZ24" s="242"/>
      <c r="BA24" s="242"/>
      <c r="BB24" s="242"/>
      <c r="BC24" s="242"/>
      <c r="BD24" s="242"/>
      <c r="BE24" s="242"/>
      <c r="BF24" s="242"/>
    </row>
    <row r="25" spans="1:58" s="9" customFormat="1" ht="15.75" customHeight="1">
      <c r="A25" s="242"/>
      <c r="B25" s="775" t="s">
        <v>8384</v>
      </c>
      <c r="C25" s="286" t="s">
        <v>4215</v>
      </c>
      <c r="D25" s="286">
        <v>3</v>
      </c>
      <c r="E25" s="697">
        <v>0</v>
      </c>
      <c r="F25" s="697">
        <v>0</v>
      </c>
      <c r="G25" s="697">
        <v>0</v>
      </c>
      <c r="H25" s="697">
        <v>0</v>
      </c>
      <c r="I25" s="697">
        <v>0</v>
      </c>
      <c r="J25" s="697">
        <v>0</v>
      </c>
      <c r="K25" s="697">
        <v>0</v>
      </c>
      <c r="L25" s="697">
        <v>0</v>
      </c>
      <c r="M25" s="1597">
        <f>IFERROR(SUM(E25:L25), 0)</f>
        <v>0</v>
      </c>
      <c r="N25" s="697">
        <v>0</v>
      </c>
      <c r="O25" s="697">
        <v>0</v>
      </c>
      <c r="P25" s="697">
        <v>0</v>
      </c>
      <c r="Q25" s="697">
        <v>0</v>
      </c>
      <c r="R25" s="697">
        <v>0</v>
      </c>
      <c r="S25" s="697">
        <v>0</v>
      </c>
      <c r="T25" s="697">
        <v>0</v>
      </c>
      <c r="U25" s="697">
        <v>0</v>
      </c>
      <c r="V25" s="1598">
        <f>IFERROR(SUM(N25:U25), 0)</f>
        <v>0</v>
      </c>
      <c r="W25" s="242"/>
      <c r="X25" s="290" t="s">
        <v>8385</v>
      </c>
      <c r="Y25" s="242"/>
      <c r="Z25" s="291"/>
      <c r="AA25" s="242"/>
      <c r="AB25" s="886"/>
      <c r="AC25" s="284">
        <f t="shared" si="37"/>
        <v>0</v>
      </c>
      <c r="AD25" s="886"/>
      <c r="AE25" s="285">
        <f t="shared" si="38"/>
        <v>0</v>
      </c>
      <c r="AF25" s="285">
        <f t="shared" si="39"/>
        <v>0</v>
      </c>
      <c r="AG25" s="285">
        <f t="shared" si="40"/>
        <v>0</v>
      </c>
      <c r="AH25" s="285">
        <f t="shared" si="41"/>
        <v>0</v>
      </c>
      <c r="AI25" s="285">
        <f t="shared" si="42"/>
        <v>0</v>
      </c>
      <c r="AJ25" s="285">
        <f t="shared" si="43"/>
        <v>0</v>
      </c>
      <c r="AK25" s="285">
        <f t="shared" si="44"/>
        <v>0</v>
      </c>
      <c r="AL25" s="285">
        <f t="shared" si="45"/>
        <v>0</v>
      </c>
      <c r="AM25" s="270"/>
      <c r="AN25" s="285">
        <f t="shared" si="46"/>
        <v>0</v>
      </c>
      <c r="AO25" s="285">
        <f t="shared" si="47"/>
        <v>0</v>
      </c>
      <c r="AP25" s="285">
        <f t="shared" si="48"/>
        <v>0</v>
      </c>
      <c r="AQ25" s="285">
        <f t="shared" si="49"/>
        <v>0</v>
      </c>
      <c r="AR25" s="285">
        <f t="shared" si="50"/>
        <v>0</v>
      </c>
      <c r="AS25" s="285">
        <f t="shared" si="51"/>
        <v>0</v>
      </c>
      <c r="AT25" s="285">
        <f t="shared" si="52"/>
        <v>0</v>
      </c>
      <c r="AU25" s="285">
        <f t="shared" si="53"/>
        <v>0</v>
      </c>
      <c r="AV25" s="886"/>
      <c r="AW25" s="242"/>
      <c r="AX25" s="242"/>
      <c r="AY25" s="242"/>
      <c r="AZ25" s="242"/>
      <c r="BA25" s="242"/>
      <c r="BB25" s="242"/>
      <c r="BC25" s="242"/>
      <c r="BD25" s="242"/>
      <c r="BE25" s="242"/>
      <c r="BF25" s="242"/>
    </row>
    <row r="26" spans="1:58" s="9" customFormat="1" ht="15.75" customHeight="1">
      <c r="A26" s="242"/>
      <c r="B26" s="775" t="s">
        <v>8386</v>
      </c>
      <c r="C26" s="286" t="s">
        <v>4215</v>
      </c>
      <c r="D26" s="286">
        <v>3</v>
      </c>
      <c r="E26" s="697">
        <v>0</v>
      </c>
      <c r="F26" s="697">
        <v>0</v>
      </c>
      <c r="G26" s="697">
        <v>0</v>
      </c>
      <c r="H26" s="697">
        <v>0</v>
      </c>
      <c r="I26" s="697">
        <v>0</v>
      </c>
      <c r="J26" s="697">
        <v>0</v>
      </c>
      <c r="K26" s="697">
        <v>0</v>
      </c>
      <c r="L26" s="697">
        <v>0</v>
      </c>
      <c r="M26" s="1597">
        <f t="shared" ref="M26:M33" si="54">IFERROR(SUM(E26:L26), 0)</f>
        <v>0</v>
      </c>
      <c r="N26" s="697">
        <v>0</v>
      </c>
      <c r="O26" s="697">
        <v>0</v>
      </c>
      <c r="P26" s="697">
        <v>0</v>
      </c>
      <c r="Q26" s="697">
        <v>0</v>
      </c>
      <c r="R26" s="697">
        <v>0</v>
      </c>
      <c r="S26" s="697">
        <v>0</v>
      </c>
      <c r="T26" s="697">
        <v>0</v>
      </c>
      <c r="U26" s="697">
        <v>0</v>
      </c>
      <c r="V26" s="1598">
        <f t="shared" ref="V26:V33" si="55">IFERROR(SUM(N26:U26), 0)</f>
        <v>0</v>
      </c>
      <c r="W26" s="242"/>
      <c r="X26" s="290" t="s">
        <v>8387</v>
      </c>
      <c r="Y26" s="242"/>
      <c r="Z26" s="291"/>
      <c r="AA26" s="242"/>
      <c r="AB26" s="886"/>
      <c r="AC26" s="284">
        <f t="shared" si="37"/>
        <v>0</v>
      </c>
      <c r="AD26" s="886"/>
      <c r="AE26" s="285">
        <f t="shared" si="38"/>
        <v>0</v>
      </c>
      <c r="AF26" s="285">
        <f t="shared" si="39"/>
        <v>0</v>
      </c>
      <c r="AG26" s="285">
        <f t="shared" si="40"/>
        <v>0</v>
      </c>
      <c r="AH26" s="285">
        <f t="shared" si="41"/>
        <v>0</v>
      </c>
      <c r="AI26" s="285">
        <f t="shared" si="42"/>
        <v>0</v>
      </c>
      <c r="AJ26" s="285">
        <f t="shared" si="43"/>
        <v>0</v>
      </c>
      <c r="AK26" s="285">
        <f t="shared" si="44"/>
        <v>0</v>
      </c>
      <c r="AL26" s="285">
        <f t="shared" si="45"/>
        <v>0</v>
      </c>
      <c r="AM26" s="270"/>
      <c r="AN26" s="285">
        <f t="shared" si="46"/>
        <v>0</v>
      </c>
      <c r="AO26" s="285">
        <f t="shared" si="47"/>
        <v>0</v>
      </c>
      <c r="AP26" s="285">
        <f t="shared" si="48"/>
        <v>0</v>
      </c>
      <c r="AQ26" s="285">
        <f t="shared" si="49"/>
        <v>0</v>
      </c>
      <c r="AR26" s="285">
        <f t="shared" si="50"/>
        <v>0</v>
      </c>
      <c r="AS26" s="285">
        <f t="shared" si="51"/>
        <v>0</v>
      </c>
      <c r="AT26" s="285">
        <f t="shared" si="52"/>
        <v>0</v>
      </c>
      <c r="AU26" s="285">
        <f t="shared" si="53"/>
        <v>0</v>
      </c>
      <c r="AV26" s="886"/>
      <c r="AW26" s="242"/>
      <c r="AX26" s="242"/>
      <c r="AY26" s="242"/>
      <c r="AZ26" s="242"/>
      <c r="BA26" s="242"/>
      <c r="BB26" s="242"/>
      <c r="BC26" s="242"/>
      <c r="BD26" s="242"/>
      <c r="BE26" s="242"/>
      <c r="BF26" s="242"/>
    </row>
    <row r="27" spans="1:58" s="9" customFormat="1" ht="15.75" customHeight="1">
      <c r="A27" s="242"/>
      <c r="B27" s="775" t="s">
        <v>8388</v>
      </c>
      <c r="C27" s="286" t="s">
        <v>4215</v>
      </c>
      <c r="D27" s="286">
        <v>3</v>
      </c>
      <c r="E27" s="697">
        <v>0</v>
      </c>
      <c r="F27" s="697">
        <v>0</v>
      </c>
      <c r="G27" s="697">
        <v>0</v>
      </c>
      <c r="H27" s="697">
        <v>0</v>
      </c>
      <c r="I27" s="697">
        <v>0</v>
      </c>
      <c r="J27" s="697">
        <v>0</v>
      </c>
      <c r="K27" s="697">
        <v>0</v>
      </c>
      <c r="L27" s="697">
        <v>0</v>
      </c>
      <c r="M27" s="1597">
        <f t="shared" si="54"/>
        <v>0</v>
      </c>
      <c r="N27" s="697">
        <v>0</v>
      </c>
      <c r="O27" s="697">
        <v>0</v>
      </c>
      <c r="P27" s="697">
        <v>0</v>
      </c>
      <c r="Q27" s="697">
        <v>0</v>
      </c>
      <c r="R27" s="697">
        <v>0</v>
      </c>
      <c r="S27" s="697">
        <v>0</v>
      </c>
      <c r="T27" s="697">
        <v>0</v>
      </c>
      <c r="U27" s="697">
        <v>0</v>
      </c>
      <c r="V27" s="1598">
        <f t="shared" si="55"/>
        <v>0</v>
      </c>
      <c r="W27" s="242"/>
      <c r="X27" s="290" t="s">
        <v>8389</v>
      </c>
      <c r="Y27" s="242"/>
      <c r="Z27" s="291"/>
      <c r="AA27" s="242"/>
      <c r="AB27" s="886"/>
      <c r="AC27" s="284">
        <f t="shared" si="37"/>
        <v>0</v>
      </c>
      <c r="AD27" s="886"/>
      <c r="AE27" s="285">
        <f t="shared" si="38"/>
        <v>0</v>
      </c>
      <c r="AF27" s="285">
        <f t="shared" si="39"/>
        <v>0</v>
      </c>
      <c r="AG27" s="285">
        <f t="shared" si="40"/>
        <v>0</v>
      </c>
      <c r="AH27" s="285">
        <f t="shared" si="41"/>
        <v>0</v>
      </c>
      <c r="AI27" s="285">
        <f t="shared" si="42"/>
        <v>0</v>
      </c>
      <c r="AJ27" s="285">
        <f t="shared" si="43"/>
        <v>0</v>
      </c>
      <c r="AK27" s="285">
        <f t="shared" si="44"/>
        <v>0</v>
      </c>
      <c r="AL27" s="285">
        <f t="shared" si="45"/>
        <v>0</v>
      </c>
      <c r="AM27" s="270"/>
      <c r="AN27" s="285">
        <f t="shared" si="46"/>
        <v>0</v>
      </c>
      <c r="AO27" s="285">
        <f t="shared" si="47"/>
        <v>0</v>
      </c>
      <c r="AP27" s="285">
        <f t="shared" si="48"/>
        <v>0</v>
      </c>
      <c r="AQ27" s="285">
        <f t="shared" si="49"/>
        <v>0</v>
      </c>
      <c r="AR27" s="285">
        <f t="shared" si="50"/>
        <v>0</v>
      </c>
      <c r="AS27" s="285">
        <f t="shared" si="51"/>
        <v>0</v>
      </c>
      <c r="AT27" s="285">
        <f t="shared" si="52"/>
        <v>0</v>
      </c>
      <c r="AU27" s="285">
        <f t="shared" si="53"/>
        <v>0</v>
      </c>
      <c r="AV27" s="886"/>
      <c r="AW27" s="242"/>
      <c r="AX27" s="242"/>
      <c r="AY27" s="242"/>
      <c r="AZ27" s="242"/>
      <c r="BA27" s="242"/>
      <c r="BB27" s="242"/>
      <c r="BC27" s="242"/>
      <c r="BD27" s="242"/>
      <c r="BE27" s="242"/>
      <c r="BF27" s="242"/>
    </row>
    <row r="28" spans="1:58" s="9" customFormat="1" ht="15.75" customHeight="1">
      <c r="A28" s="242"/>
      <c r="B28" s="775" t="s">
        <v>8390</v>
      </c>
      <c r="C28" s="286" t="s">
        <v>4215</v>
      </c>
      <c r="D28" s="286">
        <v>3</v>
      </c>
      <c r="E28" s="697">
        <v>0</v>
      </c>
      <c r="F28" s="697">
        <v>0</v>
      </c>
      <c r="G28" s="697">
        <v>0</v>
      </c>
      <c r="H28" s="697">
        <v>0</v>
      </c>
      <c r="I28" s="697">
        <v>0</v>
      </c>
      <c r="J28" s="697">
        <v>0</v>
      </c>
      <c r="K28" s="697">
        <v>0</v>
      </c>
      <c r="L28" s="697">
        <v>0</v>
      </c>
      <c r="M28" s="1597">
        <f t="shared" si="54"/>
        <v>0</v>
      </c>
      <c r="N28" s="697">
        <v>0</v>
      </c>
      <c r="O28" s="697">
        <v>0</v>
      </c>
      <c r="P28" s="697">
        <v>0</v>
      </c>
      <c r="Q28" s="697">
        <v>0</v>
      </c>
      <c r="R28" s="697">
        <v>0</v>
      </c>
      <c r="S28" s="697">
        <v>0</v>
      </c>
      <c r="T28" s="697">
        <v>0</v>
      </c>
      <c r="U28" s="697">
        <v>0</v>
      </c>
      <c r="V28" s="1598">
        <f t="shared" si="55"/>
        <v>0</v>
      </c>
      <c r="W28" s="242"/>
      <c r="X28" s="290" t="s">
        <v>8391</v>
      </c>
      <c r="Y28" s="242"/>
      <c r="Z28" s="291"/>
      <c r="AA28" s="242"/>
      <c r="AB28" s="886"/>
      <c r="AC28" s="284">
        <f t="shared" si="37"/>
        <v>0</v>
      </c>
      <c r="AD28" s="886"/>
      <c r="AE28" s="285">
        <f t="shared" si="38"/>
        <v>0</v>
      </c>
      <c r="AF28" s="285">
        <f t="shared" si="39"/>
        <v>0</v>
      </c>
      <c r="AG28" s="285">
        <f t="shared" si="40"/>
        <v>0</v>
      </c>
      <c r="AH28" s="285">
        <f t="shared" si="41"/>
        <v>0</v>
      </c>
      <c r="AI28" s="285">
        <f t="shared" si="42"/>
        <v>0</v>
      </c>
      <c r="AJ28" s="285">
        <f t="shared" si="43"/>
        <v>0</v>
      </c>
      <c r="AK28" s="285">
        <f t="shared" si="44"/>
        <v>0</v>
      </c>
      <c r="AL28" s="285">
        <f t="shared" si="45"/>
        <v>0</v>
      </c>
      <c r="AM28" s="270"/>
      <c r="AN28" s="285">
        <f t="shared" si="46"/>
        <v>0</v>
      </c>
      <c r="AO28" s="285">
        <f t="shared" si="47"/>
        <v>0</v>
      </c>
      <c r="AP28" s="285">
        <f t="shared" si="48"/>
        <v>0</v>
      </c>
      <c r="AQ28" s="285">
        <f t="shared" si="49"/>
        <v>0</v>
      </c>
      <c r="AR28" s="285">
        <f t="shared" si="50"/>
        <v>0</v>
      </c>
      <c r="AS28" s="285">
        <f t="shared" si="51"/>
        <v>0</v>
      </c>
      <c r="AT28" s="285">
        <f t="shared" si="52"/>
        <v>0</v>
      </c>
      <c r="AU28" s="285">
        <f t="shared" si="53"/>
        <v>0</v>
      </c>
      <c r="AV28" s="886"/>
      <c r="AW28" s="242"/>
      <c r="AX28" s="242"/>
      <c r="AY28" s="242"/>
      <c r="AZ28" s="242"/>
      <c r="BA28" s="242"/>
      <c r="BB28" s="242"/>
      <c r="BC28" s="242"/>
      <c r="BD28" s="242"/>
      <c r="BE28" s="242"/>
      <c r="BF28" s="242"/>
    </row>
    <row r="29" spans="1:58" s="9" customFormat="1" ht="15.75" customHeight="1">
      <c r="A29" s="242"/>
      <c r="B29" s="775" t="s">
        <v>8392</v>
      </c>
      <c r="C29" s="286" t="s">
        <v>4215</v>
      </c>
      <c r="D29" s="286">
        <v>3</v>
      </c>
      <c r="E29" s="697">
        <v>0</v>
      </c>
      <c r="F29" s="697">
        <v>0</v>
      </c>
      <c r="G29" s="697">
        <v>0</v>
      </c>
      <c r="H29" s="697">
        <v>0</v>
      </c>
      <c r="I29" s="697">
        <v>0</v>
      </c>
      <c r="J29" s="697">
        <v>0</v>
      </c>
      <c r="K29" s="697">
        <v>0</v>
      </c>
      <c r="L29" s="697">
        <v>0</v>
      </c>
      <c r="M29" s="1597">
        <f t="shared" si="54"/>
        <v>0</v>
      </c>
      <c r="N29" s="697">
        <v>0</v>
      </c>
      <c r="O29" s="697">
        <v>0</v>
      </c>
      <c r="P29" s="697">
        <v>0</v>
      </c>
      <c r="Q29" s="697">
        <v>0</v>
      </c>
      <c r="R29" s="697">
        <v>0</v>
      </c>
      <c r="S29" s="697">
        <v>0</v>
      </c>
      <c r="T29" s="697">
        <v>0</v>
      </c>
      <c r="U29" s="697">
        <v>0</v>
      </c>
      <c r="V29" s="1598">
        <f t="shared" si="55"/>
        <v>0</v>
      </c>
      <c r="W29" s="242"/>
      <c r="X29" s="290" t="s">
        <v>8393</v>
      </c>
      <c r="Y29" s="242"/>
      <c r="Z29" s="291"/>
      <c r="AA29" s="242"/>
      <c r="AB29" s="886"/>
      <c r="AC29" s="284">
        <f t="shared" si="37"/>
        <v>0</v>
      </c>
      <c r="AD29" s="886"/>
      <c r="AE29" s="285">
        <f t="shared" si="38"/>
        <v>0</v>
      </c>
      <c r="AF29" s="285">
        <f t="shared" si="39"/>
        <v>0</v>
      </c>
      <c r="AG29" s="285">
        <f t="shared" si="40"/>
        <v>0</v>
      </c>
      <c r="AH29" s="285">
        <f t="shared" si="41"/>
        <v>0</v>
      </c>
      <c r="AI29" s="285">
        <f t="shared" si="42"/>
        <v>0</v>
      </c>
      <c r="AJ29" s="285">
        <f t="shared" si="43"/>
        <v>0</v>
      </c>
      <c r="AK29" s="285">
        <f t="shared" si="44"/>
        <v>0</v>
      </c>
      <c r="AL29" s="285">
        <f t="shared" si="45"/>
        <v>0</v>
      </c>
      <c r="AM29" s="270"/>
      <c r="AN29" s="285">
        <f t="shared" si="46"/>
        <v>0</v>
      </c>
      <c r="AO29" s="285">
        <f t="shared" si="47"/>
        <v>0</v>
      </c>
      <c r="AP29" s="285">
        <f t="shared" si="48"/>
        <v>0</v>
      </c>
      <c r="AQ29" s="285">
        <f t="shared" si="49"/>
        <v>0</v>
      </c>
      <c r="AR29" s="285">
        <f t="shared" si="50"/>
        <v>0</v>
      </c>
      <c r="AS29" s="285">
        <f t="shared" si="51"/>
        <v>0</v>
      </c>
      <c r="AT29" s="285">
        <f t="shared" si="52"/>
        <v>0</v>
      </c>
      <c r="AU29" s="285">
        <f t="shared" si="53"/>
        <v>0</v>
      </c>
      <c r="AV29" s="886"/>
      <c r="AW29" s="242"/>
      <c r="AX29" s="242"/>
      <c r="AY29" s="242"/>
      <c r="AZ29" s="242"/>
      <c r="BA29" s="242"/>
      <c r="BB29" s="242"/>
      <c r="BC29" s="242"/>
      <c r="BD29" s="242"/>
      <c r="BE29" s="242"/>
      <c r="BF29" s="242"/>
    </row>
    <row r="30" spans="1:58" s="9" customFormat="1" ht="15.75" customHeight="1">
      <c r="A30" s="242"/>
      <c r="B30" s="775" t="s">
        <v>8394</v>
      </c>
      <c r="C30" s="286" t="s">
        <v>4215</v>
      </c>
      <c r="D30" s="286">
        <v>3</v>
      </c>
      <c r="E30" s="697">
        <v>0</v>
      </c>
      <c r="F30" s="697">
        <v>0</v>
      </c>
      <c r="G30" s="697">
        <v>0</v>
      </c>
      <c r="H30" s="697">
        <v>0</v>
      </c>
      <c r="I30" s="697">
        <v>0</v>
      </c>
      <c r="J30" s="697">
        <v>0</v>
      </c>
      <c r="K30" s="697">
        <v>0</v>
      </c>
      <c r="L30" s="697">
        <v>0</v>
      </c>
      <c r="M30" s="1597">
        <f t="shared" si="54"/>
        <v>0</v>
      </c>
      <c r="N30" s="697">
        <v>0</v>
      </c>
      <c r="O30" s="697">
        <v>0</v>
      </c>
      <c r="P30" s="697">
        <v>0</v>
      </c>
      <c r="Q30" s="697">
        <v>0</v>
      </c>
      <c r="R30" s="697">
        <v>0</v>
      </c>
      <c r="S30" s="697">
        <v>0</v>
      </c>
      <c r="T30" s="697">
        <v>0</v>
      </c>
      <c r="U30" s="697">
        <v>0</v>
      </c>
      <c r="V30" s="1598">
        <f t="shared" si="55"/>
        <v>0</v>
      </c>
      <c r="W30" s="242"/>
      <c r="X30" s="290" t="s">
        <v>8395</v>
      </c>
      <c r="Y30" s="242"/>
      <c r="Z30" s="291"/>
      <c r="AA30" s="242"/>
      <c r="AB30" s="886"/>
      <c r="AC30" s="284">
        <f t="shared" si="37"/>
        <v>0</v>
      </c>
      <c r="AD30" s="886"/>
      <c r="AE30" s="285">
        <f t="shared" si="38"/>
        <v>0</v>
      </c>
      <c r="AF30" s="285">
        <f t="shared" si="39"/>
        <v>0</v>
      </c>
      <c r="AG30" s="285">
        <f t="shared" si="40"/>
        <v>0</v>
      </c>
      <c r="AH30" s="285">
        <f t="shared" si="41"/>
        <v>0</v>
      </c>
      <c r="AI30" s="285">
        <f t="shared" si="42"/>
        <v>0</v>
      </c>
      <c r="AJ30" s="285">
        <f t="shared" si="43"/>
        <v>0</v>
      </c>
      <c r="AK30" s="285">
        <f t="shared" si="44"/>
        <v>0</v>
      </c>
      <c r="AL30" s="285">
        <f t="shared" si="45"/>
        <v>0</v>
      </c>
      <c r="AM30" s="270"/>
      <c r="AN30" s="285">
        <f t="shared" si="46"/>
        <v>0</v>
      </c>
      <c r="AO30" s="285">
        <f t="shared" si="47"/>
        <v>0</v>
      </c>
      <c r="AP30" s="285">
        <f t="shared" si="48"/>
        <v>0</v>
      </c>
      <c r="AQ30" s="285">
        <f t="shared" si="49"/>
        <v>0</v>
      </c>
      <c r="AR30" s="285">
        <f t="shared" si="50"/>
        <v>0</v>
      </c>
      <c r="AS30" s="285">
        <f t="shared" si="51"/>
        <v>0</v>
      </c>
      <c r="AT30" s="285">
        <f t="shared" si="52"/>
        <v>0</v>
      </c>
      <c r="AU30" s="285">
        <f t="shared" si="53"/>
        <v>0</v>
      </c>
      <c r="AV30" s="886"/>
      <c r="AW30" s="242"/>
      <c r="AX30" s="242"/>
      <c r="AY30" s="242"/>
      <c r="AZ30" s="242"/>
      <c r="BA30" s="242"/>
      <c r="BB30" s="242"/>
      <c r="BC30" s="242"/>
      <c r="BD30" s="242"/>
      <c r="BE30" s="242"/>
      <c r="BF30" s="242"/>
    </row>
    <row r="31" spans="1:58" s="9" customFormat="1" ht="15.75" customHeight="1">
      <c r="A31" s="242"/>
      <c r="B31" s="775" t="s">
        <v>8396</v>
      </c>
      <c r="C31" s="286" t="s">
        <v>4215</v>
      </c>
      <c r="D31" s="286">
        <v>3</v>
      </c>
      <c r="E31" s="697">
        <v>0</v>
      </c>
      <c r="F31" s="697">
        <v>0</v>
      </c>
      <c r="G31" s="697">
        <v>0</v>
      </c>
      <c r="H31" s="697">
        <v>0</v>
      </c>
      <c r="I31" s="697">
        <v>0</v>
      </c>
      <c r="J31" s="697">
        <v>0</v>
      </c>
      <c r="K31" s="697">
        <v>0</v>
      </c>
      <c r="L31" s="697">
        <v>0</v>
      </c>
      <c r="M31" s="1597">
        <f t="shared" si="54"/>
        <v>0</v>
      </c>
      <c r="N31" s="697">
        <v>0</v>
      </c>
      <c r="O31" s="697">
        <v>0</v>
      </c>
      <c r="P31" s="697">
        <v>0</v>
      </c>
      <c r="Q31" s="697">
        <v>0</v>
      </c>
      <c r="R31" s="697">
        <v>0</v>
      </c>
      <c r="S31" s="697">
        <v>0</v>
      </c>
      <c r="T31" s="697">
        <v>0</v>
      </c>
      <c r="U31" s="697">
        <v>0</v>
      </c>
      <c r="V31" s="1598">
        <f t="shared" si="55"/>
        <v>0</v>
      </c>
      <c r="W31" s="242"/>
      <c r="X31" s="290" t="s">
        <v>8397</v>
      </c>
      <c r="Y31" s="242"/>
      <c r="Z31" s="291"/>
      <c r="AA31" s="242"/>
      <c r="AB31" s="886"/>
      <c r="AC31" s="284">
        <f t="shared" si="37"/>
        <v>0</v>
      </c>
      <c r="AD31" s="886"/>
      <c r="AE31" s="285">
        <f t="shared" si="38"/>
        <v>0</v>
      </c>
      <c r="AF31" s="285">
        <f t="shared" si="39"/>
        <v>0</v>
      </c>
      <c r="AG31" s="285">
        <f t="shared" si="40"/>
        <v>0</v>
      </c>
      <c r="AH31" s="285">
        <f t="shared" si="41"/>
        <v>0</v>
      </c>
      <c r="AI31" s="285">
        <f t="shared" si="42"/>
        <v>0</v>
      </c>
      <c r="AJ31" s="285">
        <f t="shared" si="43"/>
        <v>0</v>
      </c>
      <c r="AK31" s="285">
        <f t="shared" si="44"/>
        <v>0</v>
      </c>
      <c r="AL31" s="285">
        <f t="shared" si="45"/>
        <v>0</v>
      </c>
      <c r="AM31" s="270"/>
      <c r="AN31" s="285">
        <f t="shared" si="46"/>
        <v>0</v>
      </c>
      <c r="AO31" s="285">
        <f t="shared" si="47"/>
        <v>0</v>
      </c>
      <c r="AP31" s="285">
        <f t="shared" si="48"/>
        <v>0</v>
      </c>
      <c r="AQ31" s="285">
        <f t="shared" si="49"/>
        <v>0</v>
      </c>
      <c r="AR31" s="285">
        <f t="shared" si="50"/>
        <v>0</v>
      </c>
      <c r="AS31" s="285">
        <f t="shared" si="51"/>
        <v>0</v>
      </c>
      <c r="AT31" s="285">
        <f t="shared" si="52"/>
        <v>0</v>
      </c>
      <c r="AU31" s="285">
        <f t="shared" si="53"/>
        <v>0</v>
      </c>
      <c r="AV31" s="886"/>
      <c r="AW31" s="242"/>
      <c r="AX31" s="242"/>
      <c r="AY31" s="242"/>
      <c r="AZ31" s="242"/>
      <c r="BA31" s="242"/>
      <c r="BB31" s="242"/>
      <c r="BC31" s="242"/>
      <c r="BD31" s="242"/>
      <c r="BE31" s="242"/>
      <c r="BF31" s="242"/>
    </row>
    <row r="32" spans="1:58" s="9" customFormat="1" ht="15.75" customHeight="1">
      <c r="A32" s="242"/>
      <c r="B32" s="775" t="s">
        <v>8398</v>
      </c>
      <c r="C32" s="286" t="s">
        <v>4215</v>
      </c>
      <c r="D32" s="286">
        <v>3</v>
      </c>
      <c r="E32" s="697">
        <v>0</v>
      </c>
      <c r="F32" s="697">
        <v>0</v>
      </c>
      <c r="G32" s="697">
        <v>0</v>
      </c>
      <c r="H32" s="697">
        <v>0</v>
      </c>
      <c r="I32" s="697">
        <v>0</v>
      </c>
      <c r="J32" s="697">
        <v>0</v>
      </c>
      <c r="K32" s="697">
        <v>0</v>
      </c>
      <c r="L32" s="697">
        <v>0</v>
      </c>
      <c r="M32" s="1597">
        <f t="shared" si="54"/>
        <v>0</v>
      </c>
      <c r="N32" s="697">
        <v>0</v>
      </c>
      <c r="O32" s="697">
        <v>0</v>
      </c>
      <c r="P32" s="697">
        <v>0</v>
      </c>
      <c r="Q32" s="697">
        <v>0</v>
      </c>
      <c r="R32" s="697">
        <v>0</v>
      </c>
      <c r="S32" s="697">
        <v>0</v>
      </c>
      <c r="T32" s="697">
        <v>0</v>
      </c>
      <c r="U32" s="697">
        <v>0</v>
      </c>
      <c r="V32" s="1598">
        <f t="shared" si="55"/>
        <v>0</v>
      </c>
      <c r="W32" s="242"/>
      <c r="X32" s="290" t="s">
        <v>8399</v>
      </c>
      <c r="Y32" s="242"/>
      <c r="Z32" s="291"/>
      <c r="AA32" s="242"/>
      <c r="AB32" s="886"/>
      <c r="AC32" s="284">
        <f t="shared" si="37"/>
        <v>0</v>
      </c>
      <c r="AD32" s="886"/>
      <c r="AE32" s="285">
        <f t="shared" si="38"/>
        <v>0</v>
      </c>
      <c r="AF32" s="285">
        <f t="shared" si="39"/>
        <v>0</v>
      </c>
      <c r="AG32" s="285">
        <f t="shared" si="40"/>
        <v>0</v>
      </c>
      <c r="AH32" s="285">
        <f t="shared" si="41"/>
        <v>0</v>
      </c>
      <c r="AI32" s="285">
        <f t="shared" si="42"/>
        <v>0</v>
      </c>
      <c r="AJ32" s="285">
        <f t="shared" si="43"/>
        <v>0</v>
      </c>
      <c r="AK32" s="285">
        <f t="shared" si="44"/>
        <v>0</v>
      </c>
      <c r="AL32" s="285">
        <f t="shared" si="45"/>
        <v>0</v>
      </c>
      <c r="AM32" s="270"/>
      <c r="AN32" s="285">
        <f t="shared" si="46"/>
        <v>0</v>
      </c>
      <c r="AO32" s="285">
        <f t="shared" si="47"/>
        <v>0</v>
      </c>
      <c r="AP32" s="285">
        <f t="shared" si="48"/>
        <v>0</v>
      </c>
      <c r="AQ32" s="285">
        <f t="shared" si="49"/>
        <v>0</v>
      </c>
      <c r="AR32" s="285">
        <f t="shared" si="50"/>
        <v>0</v>
      </c>
      <c r="AS32" s="285">
        <f t="shared" si="51"/>
        <v>0</v>
      </c>
      <c r="AT32" s="285">
        <f t="shared" si="52"/>
        <v>0</v>
      </c>
      <c r="AU32" s="285">
        <f t="shared" si="53"/>
        <v>0</v>
      </c>
      <c r="AV32" s="886"/>
      <c r="AW32" s="242"/>
      <c r="AX32" s="242"/>
      <c r="AY32" s="242"/>
      <c r="AZ32" s="242"/>
      <c r="BA32" s="242"/>
      <c r="BB32" s="242"/>
      <c r="BC32" s="242"/>
      <c r="BD32" s="242"/>
      <c r="BE32" s="242"/>
      <c r="BF32" s="242"/>
    </row>
    <row r="33" spans="1:58" s="9" customFormat="1" ht="15.75" customHeight="1">
      <c r="A33" s="242"/>
      <c r="B33" s="775" t="s">
        <v>8400</v>
      </c>
      <c r="C33" s="286" t="s">
        <v>4215</v>
      </c>
      <c r="D33" s="286">
        <v>3</v>
      </c>
      <c r="E33" s="697">
        <v>0</v>
      </c>
      <c r="F33" s="697">
        <v>0</v>
      </c>
      <c r="G33" s="697">
        <v>0</v>
      </c>
      <c r="H33" s="697">
        <v>0</v>
      </c>
      <c r="I33" s="697">
        <v>0</v>
      </c>
      <c r="J33" s="697">
        <v>0</v>
      </c>
      <c r="K33" s="697">
        <v>0</v>
      </c>
      <c r="L33" s="697">
        <v>0</v>
      </c>
      <c r="M33" s="1597">
        <f t="shared" si="54"/>
        <v>0</v>
      </c>
      <c r="N33" s="697">
        <v>0</v>
      </c>
      <c r="O33" s="697">
        <v>0</v>
      </c>
      <c r="P33" s="697">
        <v>0</v>
      </c>
      <c r="Q33" s="697">
        <v>0</v>
      </c>
      <c r="R33" s="697">
        <v>0</v>
      </c>
      <c r="S33" s="697">
        <v>0</v>
      </c>
      <c r="T33" s="697">
        <v>0</v>
      </c>
      <c r="U33" s="697">
        <v>0</v>
      </c>
      <c r="V33" s="1598">
        <f t="shared" si="55"/>
        <v>0</v>
      </c>
      <c r="W33" s="242"/>
      <c r="X33" s="290" t="s">
        <v>8401</v>
      </c>
      <c r="Y33" s="242"/>
      <c r="Z33" s="291"/>
      <c r="AA33" s="242"/>
      <c r="AB33" s="886"/>
      <c r="AC33" s="284">
        <f t="shared" si="37"/>
        <v>0</v>
      </c>
      <c r="AD33" s="886"/>
      <c r="AE33" s="285">
        <f t="shared" si="38"/>
        <v>0</v>
      </c>
      <c r="AF33" s="285">
        <f t="shared" si="39"/>
        <v>0</v>
      </c>
      <c r="AG33" s="285">
        <f t="shared" si="40"/>
        <v>0</v>
      </c>
      <c r="AH33" s="285">
        <f t="shared" si="41"/>
        <v>0</v>
      </c>
      <c r="AI33" s="285">
        <f t="shared" si="42"/>
        <v>0</v>
      </c>
      <c r="AJ33" s="285">
        <f t="shared" si="43"/>
        <v>0</v>
      </c>
      <c r="AK33" s="285">
        <f t="shared" si="44"/>
        <v>0</v>
      </c>
      <c r="AL33" s="285">
        <f t="shared" si="45"/>
        <v>0</v>
      </c>
      <c r="AM33" s="270"/>
      <c r="AN33" s="285">
        <f t="shared" si="46"/>
        <v>0</v>
      </c>
      <c r="AO33" s="285">
        <f t="shared" si="47"/>
        <v>0</v>
      </c>
      <c r="AP33" s="285">
        <f t="shared" si="48"/>
        <v>0</v>
      </c>
      <c r="AQ33" s="285">
        <f t="shared" si="49"/>
        <v>0</v>
      </c>
      <c r="AR33" s="285">
        <f t="shared" si="50"/>
        <v>0</v>
      </c>
      <c r="AS33" s="285">
        <f t="shared" si="51"/>
        <v>0</v>
      </c>
      <c r="AT33" s="285">
        <f t="shared" si="52"/>
        <v>0</v>
      </c>
      <c r="AU33" s="285">
        <f t="shared" si="53"/>
        <v>0</v>
      </c>
      <c r="AV33" s="886"/>
      <c r="AW33" s="242"/>
      <c r="AX33" s="242"/>
      <c r="AY33" s="242"/>
      <c r="AZ33" s="242"/>
      <c r="BA33" s="242"/>
      <c r="BB33" s="242"/>
      <c r="BC33" s="242"/>
      <c r="BD33" s="242"/>
      <c r="BE33" s="242"/>
      <c r="BF33" s="242"/>
    </row>
    <row r="34" spans="1:58" s="9" customFormat="1" ht="28.5" customHeight="1" thickBot="1">
      <c r="A34" s="242"/>
      <c r="B34" s="463" t="s">
        <v>8354</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8402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0" priority="2" operator="equal">
      <formula>0</formula>
    </cfRule>
  </conditionalFormatting>
  <conditionalFormatting sqref="AC24:AC33">
    <cfRule type="cellIs" dxfId="12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3.8"/>
  <cols>
    <col min="1" max="1" width="12.296875" bestFit="1" customWidth="1"/>
    <col min="2" max="2" width="20.59765625" bestFit="1" customWidth="1"/>
    <col min="4" max="4" width="65.69921875" customWidth="1"/>
  </cols>
  <sheetData>
    <row r="1" spans="1:16">
      <c r="A1" t="s">
        <v>17319</v>
      </c>
      <c r="B1" t="s">
        <v>17320</v>
      </c>
      <c r="C1" t="s">
        <v>17321</v>
      </c>
      <c r="D1" t="s">
        <v>17322</v>
      </c>
      <c r="E1" t="s">
        <v>630</v>
      </c>
      <c r="F1" t="s">
        <v>17323</v>
      </c>
      <c r="G1" t="s">
        <v>4204</v>
      </c>
      <c r="H1" t="s">
        <v>17324</v>
      </c>
      <c r="I1" t="s">
        <v>17325</v>
      </c>
      <c r="J1" t="s">
        <v>17326</v>
      </c>
      <c r="K1" t="s">
        <v>17327</v>
      </c>
      <c r="L1" t="s">
        <v>17328</v>
      </c>
      <c r="M1" t="s">
        <v>17329</v>
      </c>
      <c r="N1" t="s">
        <v>17330</v>
      </c>
      <c r="O1" t="s">
        <v>17331</v>
      </c>
      <c r="P1" t="s">
        <v>17332</v>
      </c>
    </row>
    <row r="2" spans="1:16">
      <c r="A2" t="s">
        <v>17333</v>
      </c>
      <c r="B2" t="s">
        <v>16476</v>
      </c>
      <c r="D2" t="s">
        <v>15636</v>
      </c>
      <c r="E2" t="s">
        <v>4215</v>
      </c>
      <c r="F2" t="s">
        <v>17334</v>
      </c>
      <c r="G2">
        <v>3</v>
      </c>
      <c r="O2" t="s">
        <v>15636</v>
      </c>
    </row>
    <row r="3" spans="1:16">
      <c r="A3" t="s">
        <v>17333</v>
      </c>
      <c r="B3" t="s">
        <v>16485</v>
      </c>
      <c r="D3" t="s">
        <v>15637</v>
      </c>
      <c r="E3" t="s">
        <v>4215</v>
      </c>
      <c r="F3" t="s">
        <v>17334</v>
      </c>
      <c r="G3">
        <v>3</v>
      </c>
      <c r="O3" t="s">
        <v>15637</v>
      </c>
    </row>
    <row r="4" spans="1:16">
      <c r="A4" t="s">
        <v>17333</v>
      </c>
      <c r="B4" t="s">
        <v>16494</v>
      </c>
      <c r="D4" t="s">
        <v>15638</v>
      </c>
      <c r="E4" t="s">
        <v>4215</v>
      </c>
      <c r="F4" t="s">
        <v>17334</v>
      </c>
      <c r="G4">
        <v>3</v>
      </c>
      <c r="O4" t="s">
        <v>15638</v>
      </c>
    </row>
    <row r="5" spans="1:16">
      <c r="A5" t="s">
        <v>17333</v>
      </c>
      <c r="B5" t="s">
        <v>16503</v>
      </c>
      <c r="D5" t="s">
        <v>15639</v>
      </c>
      <c r="E5" t="s">
        <v>4215</v>
      </c>
      <c r="F5" t="s">
        <v>17334</v>
      </c>
      <c r="G5">
        <v>3</v>
      </c>
      <c r="O5" t="s">
        <v>15639</v>
      </c>
    </row>
    <row r="6" spans="1:16">
      <c r="A6" t="s">
        <v>17333</v>
      </c>
      <c r="B6" t="s">
        <v>16512</v>
      </c>
      <c r="D6" t="s">
        <v>15640</v>
      </c>
      <c r="E6" t="s">
        <v>4215</v>
      </c>
      <c r="F6" t="s">
        <v>17334</v>
      </c>
      <c r="G6">
        <v>3</v>
      </c>
      <c r="O6" t="s">
        <v>15640</v>
      </c>
    </row>
    <row r="7" spans="1:16">
      <c r="A7" t="s">
        <v>17333</v>
      </c>
      <c r="B7" t="s">
        <v>16521</v>
      </c>
      <c r="D7" t="s">
        <v>15641</v>
      </c>
      <c r="E7" t="s">
        <v>4215</v>
      </c>
      <c r="F7" t="s">
        <v>17334</v>
      </c>
      <c r="G7">
        <v>3</v>
      </c>
      <c r="O7" t="s">
        <v>15641</v>
      </c>
    </row>
    <row r="8" spans="1:16">
      <c r="A8" t="s">
        <v>17333</v>
      </c>
      <c r="B8" t="s">
        <v>16530</v>
      </c>
      <c r="D8" t="s">
        <v>15642</v>
      </c>
      <c r="E8" t="s">
        <v>4215</v>
      </c>
      <c r="F8" t="s">
        <v>17334</v>
      </c>
      <c r="G8">
        <v>3</v>
      </c>
      <c r="O8" t="s">
        <v>15642</v>
      </c>
    </row>
    <row r="9" spans="1:16">
      <c r="A9" t="s">
        <v>17333</v>
      </c>
      <c r="B9" t="s">
        <v>16539</v>
      </c>
      <c r="D9" t="s">
        <v>15643</v>
      </c>
      <c r="E9" t="s">
        <v>4215</v>
      </c>
      <c r="F9" t="s">
        <v>17334</v>
      </c>
      <c r="G9">
        <v>3</v>
      </c>
      <c r="O9" t="s">
        <v>15643</v>
      </c>
    </row>
    <row r="10" spans="1:16">
      <c r="A10" t="s">
        <v>17333</v>
      </c>
      <c r="B10" t="s">
        <v>16546</v>
      </c>
      <c r="D10" t="s">
        <v>15644</v>
      </c>
      <c r="E10" t="s">
        <v>4215</v>
      </c>
      <c r="F10" t="s">
        <v>17334</v>
      </c>
      <c r="G10">
        <v>3</v>
      </c>
      <c r="O10" t="s">
        <v>15644</v>
      </c>
    </row>
    <row r="11" spans="1:16">
      <c r="A11" t="s">
        <v>17333</v>
      </c>
      <c r="B11" t="s">
        <v>16553</v>
      </c>
      <c r="D11" t="s">
        <v>15645</v>
      </c>
      <c r="E11" t="s">
        <v>4215</v>
      </c>
      <c r="F11" t="s">
        <v>17334</v>
      </c>
      <c r="G11">
        <v>3</v>
      </c>
      <c r="O11" t="s">
        <v>15645</v>
      </c>
    </row>
    <row r="12" spans="1:16">
      <c r="A12" t="s">
        <v>17333</v>
      </c>
      <c r="B12" t="s">
        <v>16560</v>
      </c>
      <c r="D12" t="s">
        <v>15646</v>
      </c>
      <c r="E12" t="s">
        <v>4215</v>
      </c>
      <c r="F12" t="s">
        <v>17334</v>
      </c>
      <c r="G12">
        <v>3</v>
      </c>
      <c r="O12" t="s">
        <v>15646</v>
      </c>
    </row>
    <row r="13" spans="1:16">
      <c r="A13" t="s">
        <v>17333</v>
      </c>
      <c r="B13" t="s">
        <v>16567</v>
      </c>
      <c r="D13" t="s">
        <v>15647</v>
      </c>
      <c r="E13" t="s">
        <v>4215</v>
      </c>
      <c r="F13" t="s">
        <v>17334</v>
      </c>
      <c r="G13">
        <v>3</v>
      </c>
      <c r="O13" t="s">
        <v>15647</v>
      </c>
    </row>
    <row r="14" spans="1:16">
      <c r="A14" t="s">
        <v>17333</v>
      </c>
      <c r="B14" t="s">
        <v>16574</v>
      </c>
      <c r="D14" t="s">
        <v>15648</v>
      </c>
      <c r="E14" t="s">
        <v>4215</v>
      </c>
      <c r="F14" t="s">
        <v>17334</v>
      </c>
      <c r="G14">
        <v>3</v>
      </c>
      <c r="O14" t="s">
        <v>15648</v>
      </c>
    </row>
    <row r="15" spans="1:16">
      <c r="A15" t="s">
        <v>17333</v>
      </c>
      <c r="B15" t="s">
        <v>16581</v>
      </c>
      <c r="D15" t="s">
        <v>15649</v>
      </c>
      <c r="E15" t="s">
        <v>4215</v>
      </c>
      <c r="F15" t="s">
        <v>17334</v>
      </c>
      <c r="G15">
        <v>3</v>
      </c>
      <c r="O15" t="s">
        <v>15649</v>
      </c>
    </row>
    <row r="16" spans="1:16">
      <c r="A16" t="s">
        <v>17333</v>
      </c>
      <c r="B16" t="s">
        <v>16588</v>
      </c>
      <c r="D16" t="s">
        <v>15650</v>
      </c>
      <c r="E16" t="s">
        <v>4215</v>
      </c>
      <c r="F16" t="s">
        <v>17334</v>
      </c>
      <c r="G16">
        <v>3</v>
      </c>
      <c r="O16" t="s">
        <v>15650</v>
      </c>
    </row>
    <row r="17" spans="1:15">
      <c r="A17" t="s">
        <v>17333</v>
      </c>
      <c r="B17" t="s">
        <v>16595</v>
      </c>
      <c r="D17" t="s">
        <v>15651</v>
      </c>
      <c r="E17" t="s">
        <v>4215</v>
      </c>
      <c r="F17" t="s">
        <v>17334</v>
      </c>
      <c r="G17">
        <v>3</v>
      </c>
      <c r="O17" t="s">
        <v>15651</v>
      </c>
    </row>
    <row r="18" spans="1:15">
      <c r="A18" t="s">
        <v>17333</v>
      </c>
      <c r="B18" t="s">
        <v>16602</v>
      </c>
      <c r="D18" t="s">
        <v>15652</v>
      </c>
      <c r="E18" t="s">
        <v>4215</v>
      </c>
      <c r="F18" t="s">
        <v>17334</v>
      </c>
      <c r="G18">
        <v>3</v>
      </c>
      <c r="O18" t="s">
        <v>15652</v>
      </c>
    </row>
    <row r="19" spans="1:15">
      <c r="A19" t="s">
        <v>17333</v>
      </c>
      <c r="B19" t="s">
        <v>16609</v>
      </c>
      <c r="D19" t="s">
        <v>15653</v>
      </c>
      <c r="E19" t="s">
        <v>4215</v>
      </c>
      <c r="F19" t="s">
        <v>17334</v>
      </c>
      <c r="G19">
        <v>3</v>
      </c>
      <c r="O19" t="s">
        <v>15653</v>
      </c>
    </row>
    <row r="20" spans="1:15">
      <c r="A20" t="s">
        <v>17333</v>
      </c>
      <c r="B20" t="s">
        <v>16616</v>
      </c>
      <c r="D20" t="s">
        <v>15654</v>
      </c>
      <c r="E20" t="s">
        <v>4215</v>
      </c>
      <c r="F20" t="s">
        <v>17334</v>
      </c>
      <c r="G20">
        <v>3</v>
      </c>
      <c r="O20" t="s">
        <v>15654</v>
      </c>
    </row>
    <row r="21" spans="1:15">
      <c r="A21" t="s">
        <v>17333</v>
      </c>
      <c r="B21" t="s">
        <v>16623</v>
      </c>
      <c r="D21" t="s">
        <v>15655</v>
      </c>
      <c r="E21" t="s">
        <v>4215</v>
      </c>
      <c r="F21" t="s">
        <v>17334</v>
      </c>
      <c r="G21">
        <v>3</v>
      </c>
      <c r="O21" t="s">
        <v>15655</v>
      </c>
    </row>
    <row r="22" spans="1:15">
      <c r="A22" t="s">
        <v>17333</v>
      </c>
      <c r="B22" t="s">
        <v>16630</v>
      </c>
      <c r="D22" t="s">
        <v>15656</v>
      </c>
      <c r="E22" t="s">
        <v>4215</v>
      </c>
      <c r="F22" t="s">
        <v>17334</v>
      </c>
      <c r="G22">
        <v>3</v>
      </c>
      <c r="O22" t="s">
        <v>15656</v>
      </c>
    </row>
    <row r="23" spans="1:15">
      <c r="A23" t="s">
        <v>17333</v>
      </c>
      <c r="B23" t="s">
        <v>16637</v>
      </c>
      <c r="D23" t="s">
        <v>15657</v>
      </c>
      <c r="E23" t="s">
        <v>4215</v>
      </c>
      <c r="F23" t="s">
        <v>17334</v>
      </c>
      <c r="G23">
        <v>3</v>
      </c>
      <c r="O23" t="s">
        <v>15657</v>
      </c>
    </row>
    <row r="24" spans="1:15">
      <c r="A24" t="s">
        <v>17333</v>
      </c>
      <c r="B24" t="s">
        <v>16644</v>
      </c>
      <c r="D24" t="s">
        <v>15658</v>
      </c>
      <c r="E24" t="s">
        <v>4215</v>
      </c>
      <c r="F24" t="s">
        <v>17334</v>
      </c>
      <c r="G24">
        <v>3</v>
      </c>
      <c r="O24" t="s">
        <v>15658</v>
      </c>
    </row>
    <row r="25" spans="1:15">
      <c r="A25" t="s">
        <v>17333</v>
      </c>
      <c r="B25" t="s">
        <v>16651</v>
      </c>
      <c r="D25" t="s">
        <v>15659</v>
      </c>
      <c r="E25" t="s">
        <v>4215</v>
      </c>
      <c r="F25" t="s">
        <v>17334</v>
      </c>
      <c r="G25">
        <v>3</v>
      </c>
      <c r="O25" t="s">
        <v>15659</v>
      </c>
    </row>
    <row r="26" spans="1:15">
      <c r="A26" t="s">
        <v>17333</v>
      </c>
      <c r="B26" t="s">
        <v>16658</v>
      </c>
      <c r="D26" t="s">
        <v>15660</v>
      </c>
      <c r="E26" t="s">
        <v>4215</v>
      </c>
      <c r="F26" t="s">
        <v>17334</v>
      </c>
      <c r="G26">
        <v>3</v>
      </c>
      <c r="O26" t="s">
        <v>15660</v>
      </c>
    </row>
    <row r="27" spans="1:15">
      <c r="A27" t="s">
        <v>17333</v>
      </c>
      <c r="B27" t="s">
        <v>16665</v>
      </c>
      <c r="D27" t="s">
        <v>15661</v>
      </c>
      <c r="E27" t="s">
        <v>4215</v>
      </c>
      <c r="F27" t="s">
        <v>17334</v>
      </c>
      <c r="G27">
        <v>3</v>
      </c>
      <c r="O27" t="s">
        <v>15661</v>
      </c>
    </row>
    <row r="28" spans="1:15">
      <c r="A28" t="s">
        <v>17333</v>
      </c>
      <c r="B28" t="s">
        <v>16672</v>
      </c>
      <c r="D28" t="s">
        <v>15662</v>
      </c>
      <c r="E28" t="s">
        <v>4215</v>
      </c>
      <c r="F28" t="s">
        <v>17334</v>
      </c>
      <c r="G28">
        <v>3</v>
      </c>
      <c r="O28" t="s">
        <v>15662</v>
      </c>
    </row>
    <row r="29" spans="1:15">
      <c r="A29" t="s">
        <v>17333</v>
      </c>
      <c r="B29" t="s">
        <v>16679</v>
      </c>
      <c r="D29" t="s">
        <v>15663</v>
      </c>
      <c r="E29" t="s">
        <v>4215</v>
      </c>
      <c r="F29" t="s">
        <v>17334</v>
      </c>
      <c r="G29">
        <v>3</v>
      </c>
      <c r="O29" t="s">
        <v>15663</v>
      </c>
    </row>
    <row r="30" spans="1:15">
      <c r="A30" t="s">
        <v>17333</v>
      </c>
      <c r="B30" t="s">
        <v>16477</v>
      </c>
      <c r="D30" t="s">
        <v>15664</v>
      </c>
      <c r="E30" t="s">
        <v>4215</v>
      </c>
      <c r="F30" t="s">
        <v>17334</v>
      </c>
      <c r="G30">
        <v>3</v>
      </c>
      <c r="O30" t="s">
        <v>15664</v>
      </c>
    </row>
    <row r="31" spans="1:15">
      <c r="A31" t="s">
        <v>17333</v>
      </c>
      <c r="B31" t="s">
        <v>16486</v>
      </c>
      <c r="D31" t="s">
        <v>15665</v>
      </c>
      <c r="E31" t="s">
        <v>4215</v>
      </c>
      <c r="F31" t="s">
        <v>17334</v>
      </c>
      <c r="G31">
        <v>3</v>
      </c>
      <c r="O31" t="s">
        <v>15665</v>
      </c>
    </row>
    <row r="32" spans="1:15">
      <c r="A32" t="s">
        <v>17333</v>
      </c>
      <c r="B32" t="s">
        <v>16495</v>
      </c>
      <c r="D32" t="s">
        <v>15666</v>
      </c>
      <c r="E32" t="s">
        <v>4215</v>
      </c>
      <c r="F32" t="s">
        <v>17334</v>
      </c>
      <c r="G32">
        <v>3</v>
      </c>
      <c r="O32" t="s">
        <v>15666</v>
      </c>
    </row>
    <row r="33" spans="1:15">
      <c r="A33" t="s">
        <v>17333</v>
      </c>
      <c r="B33" t="s">
        <v>16504</v>
      </c>
      <c r="D33" t="s">
        <v>15667</v>
      </c>
      <c r="E33" t="s">
        <v>4215</v>
      </c>
      <c r="F33" t="s">
        <v>17334</v>
      </c>
      <c r="G33">
        <v>3</v>
      </c>
      <c r="O33" t="s">
        <v>15667</v>
      </c>
    </row>
    <row r="34" spans="1:15">
      <c r="A34" t="s">
        <v>17333</v>
      </c>
      <c r="B34" t="s">
        <v>16513</v>
      </c>
      <c r="D34" t="s">
        <v>15668</v>
      </c>
      <c r="E34" t="s">
        <v>4215</v>
      </c>
      <c r="F34" t="s">
        <v>17334</v>
      </c>
      <c r="G34">
        <v>3</v>
      </c>
      <c r="O34" t="s">
        <v>15668</v>
      </c>
    </row>
    <row r="35" spans="1:15">
      <c r="A35" t="s">
        <v>17333</v>
      </c>
      <c r="B35" t="s">
        <v>16522</v>
      </c>
      <c r="D35" t="s">
        <v>15669</v>
      </c>
      <c r="E35" t="s">
        <v>4215</v>
      </c>
      <c r="F35" t="s">
        <v>17334</v>
      </c>
      <c r="G35">
        <v>3</v>
      </c>
      <c r="O35" t="s">
        <v>15669</v>
      </c>
    </row>
    <row r="36" spans="1:15">
      <c r="A36" t="s">
        <v>17333</v>
      </c>
      <c r="B36" t="s">
        <v>16531</v>
      </c>
      <c r="D36" t="s">
        <v>15670</v>
      </c>
      <c r="E36" t="s">
        <v>4215</v>
      </c>
      <c r="F36" t="s">
        <v>17334</v>
      </c>
      <c r="G36">
        <v>3</v>
      </c>
      <c r="O36" t="s">
        <v>15670</v>
      </c>
    </row>
    <row r="37" spans="1:15">
      <c r="A37" t="s">
        <v>17333</v>
      </c>
      <c r="B37" t="s">
        <v>16540</v>
      </c>
      <c r="D37" t="s">
        <v>15671</v>
      </c>
      <c r="E37" t="s">
        <v>4215</v>
      </c>
      <c r="F37" t="s">
        <v>17334</v>
      </c>
      <c r="G37">
        <v>3</v>
      </c>
      <c r="O37" t="s">
        <v>15671</v>
      </c>
    </row>
    <row r="38" spans="1:15">
      <c r="A38" t="s">
        <v>17333</v>
      </c>
      <c r="B38" t="s">
        <v>16547</v>
      </c>
      <c r="D38" t="s">
        <v>15672</v>
      </c>
      <c r="E38" t="s">
        <v>4215</v>
      </c>
      <c r="F38" t="s">
        <v>17334</v>
      </c>
      <c r="G38">
        <v>3</v>
      </c>
      <c r="O38" t="s">
        <v>15672</v>
      </c>
    </row>
    <row r="39" spans="1:15">
      <c r="A39" t="s">
        <v>17333</v>
      </c>
      <c r="B39" t="s">
        <v>16554</v>
      </c>
      <c r="D39" t="s">
        <v>15673</v>
      </c>
      <c r="E39" t="s">
        <v>4215</v>
      </c>
      <c r="F39" t="s">
        <v>17334</v>
      </c>
      <c r="G39">
        <v>3</v>
      </c>
      <c r="O39" t="s">
        <v>15673</v>
      </c>
    </row>
    <row r="40" spans="1:15">
      <c r="A40" t="s">
        <v>17333</v>
      </c>
      <c r="B40" t="s">
        <v>16561</v>
      </c>
      <c r="D40" t="s">
        <v>15674</v>
      </c>
      <c r="E40" t="s">
        <v>4215</v>
      </c>
      <c r="F40" t="s">
        <v>17334</v>
      </c>
      <c r="G40">
        <v>3</v>
      </c>
      <c r="O40" t="s">
        <v>15674</v>
      </c>
    </row>
    <row r="41" spans="1:15">
      <c r="A41" t="s">
        <v>17333</v>
      </c>
      <c r="B41" t="s">
        <v>16568</v>
      </c>
      <c r="D41" t="s">
        <v>15675</v>
      </c>
      <c r="E41" t="s">
        <v>4215</v>
      </c>
      <c r="F41" t="s">
        <v>17334</v>
      </c>
      <c r="G41">
        <v>3</v>
      </c>
      <c r="O41" t="s">
        <v>15675</v>
      </c>
    </row>
    <row r="42" spans="1:15">
      <c r="A42" t="s">
        <v>17333</v>
      </c>
      <c r="B42" t="s">
        <v>16575</v>
      </c>
      <c r="D42" t="s">
        <v>15676</v>
      </c>
      <c r="E42" t="s">
        <v>4215</v>
      </c>
      <c r="F42" t="s">
        <v>17334</v>
      </c>
      <c r="G42">
        <v>3</v>
      </c>
      <c r="O42" t="s">
        <v>15676</v>
      </c>
    </row>
    <row r="43" spans="1:15">
      <c r="A43" t="s">
        <v>17333</v>
      </c>
      <c r="B43" t="s">
        <v>16582</v>
      </c>
      <c r="D43" t="s">
        <v>15677</v>
      </c>
      <c r="E43" t="s">
        <v>4215</v>
      </c>
      <c r="F43" t="s">
        <v>17334</v>
      </c>
      <c r="G43">
        <v>3</v>
      </c>
      <c r="O43" t="s">
        <v>15677</v>
      </c>
    </row>
    <row r="44" spans="1:15">
      <c r="A44" t="s">
        <v>17333</v>
      </c>
      <c r="B44" t="s">
        <v>16589</v>
      </c>
      <c r="D44" t="s">
        <v>15678</v>
      </c>
      <c r="E44" t="s">
        <v>4215</v>
      </c>
      <c r="F44" t="s">
        <v>17334</v>
      </c>
      <c r="G44">
        <v>3</v>
      </c>
      <c r="O44" t="s">
        <v>15678</v>
      </c>
    </row>
    <row r="45" spans="1:15">
      <c r="A45" t="s">
        <v>17333</v>
      </c>
      <c r="B45" t="s">
        <v>16596</v>
      </c>
      <c r="D45" t="s">
        <v>15679</v>
      </c>
      <c r="E45" t="s">
        <v>4215</v>
      </c>
      <c r="F45" t="s">
        <v>17334</v>
      </c>
      <c r="G45">
        <v>3</v>
      </c>
      <c r="O45" t="s">
        <v>15679</v>
      </c>
    </row>
    <row r="46" spans="1:15">
      <c r="A46" t="s">
        <v>17333</v>
      </c>
      <c r="B46" t="s">
        <v>16603</v>
      </c>
      <c r="D46" t="s">
        <v>15680</v>
      </c>
      <c r="E46" t="s">
        <v>4215</v>
      </c>
      <c r="F46" t="s">
        <v>17334</v>
      </c>
      <c r="G46">
        <v>3</v>
      </c>
      <c r="O46" t="s">
        <v>15680</v>
      </c>
    </row>
    <row r="47" spans="1:15">
      <c r="A47" t="s">
        <v>17333</v>
      </c>
      <c r="B47" t="s">
        <v>16610</v>
      </c>
      <c r="D47" t="s">
        <v>15681</v>
      </c>
      <c r="E47" t="s">
        <v>4215</v>
      </c>
      <c r="F47" t="s">
        <v>17334</v>
      </c>
      <c r="G47">
        <v>3</v>
      </c>
      <c r="O47" t="s">
        <v>15681</v>
      </c>
    </row>
    <row r="48" spans="1:15">
      <c r="A48" t="s">
        <v>17333</v>
      </c>
      <c r="B48" t="s">
        <v>16617</v>
      </c>
      <c r="D48" t="s">
        <v>15682</v>
      </c>
      <c r="E48" t="s">
        <v>4215</v>
      </c>
      <c r="F48" t="s">
        <v>17334</v>
      </c>
      <c r="G48">
        <v>3</v>
      </c>
      <c r="O48" t="s">
        <v>15682</v>
      </c>
    </row>
    <row r="49" spans="1:15">
      <c r="A49" t="s">
        <v>17333</v>
      </c>
      <c r="B49" t="s">
        <v>16624</v>
      </c>
      <c r="D49" t="s">
        <v>15683</v>
      </c>
      <c r="E49" t="s">
        <v>4215</v>
      </c>
      <c r="F49" t="s">
        <v>17334</v>
      </c>
      <c r="G49">
        <v>3</v>
      </c>
      <c r="O49" t="s">
        <v>15683</v>
      </c>
    </row>
    <row r="50" spans="1:15">
      <c r="A50" t="s">
        <v>17333</v>
      </c>
      <c r="B50" t="s">
        <v>16631</v>
      </c>
      <c r="D50" t="s">
        <v>15684</v>
      </c>
      <c r="E50" t="s">
        <v>4215</v>
      </c>
      <c r="F50" t="s">
        <v>17334</v>
      </c>
      <c r="G50">
        <v>3</v>
      </c>
      <c r="O50" t="s">
        <v>15684</v>
      </c>
    </row>
    <row r="51" spans="1:15">
      <c r="A51" t="s">
        <v>17333</v>
      </c>
      <c r="B51" t="s">
        <v>16638</v>
      </c>
      <c r="D51" t="s">
        <v>15685</v>
      </c>
      <c r="E51" t="s">
        <v>4215</v>
      </c>
      <c r="F51" t="s">
        <v>17334</v>
      </c>
      <c r="G51">
        <v>3</v>
      </c>
      <c r="O51" t="s">
        <v>15685</v>
      </c>
    </row>
    <row r="52" spans="1:15">
      <c r="A52" t="s">
        <v>17333</v>
      </c>
      <c r="B52" t="s">
        <v>16645</v>
      </c>
      <c r="D52" t="s">
        <v>15686</v>
      </c>
      <c r="E52" t="s">
        <v>4215</v>
      </c>
      <c r="F52" t="s">
        <v>17334</v>
      </c>
      <c r="G52">
        <v>3</v>
      </c>
      <c r="O52" t="s">
        <v>15686</v>
      </c>
    </row>
    <row r="53" spans="1:15">
      <c r="A53" t="s">
        <v>17333</v>
      </c>
      <c r="B53" t="s">
        <v>16652</v>
      </c>
      <c r="D53" t="s">
        <v>15687</v>
      </c>
      <c r="E53" t="s">
        <v>4215</v>
      </c>
      <c r="F53" t="s">
        <v>17334</v>
      </c>
      <c r="G53">
        <v>3</v>
      </c>
      <c r="O53" t="s">
        <v>15687</v>
      </c>
    </row>
    <row r="54" spans="1:15">
      <c r="A54" t="s">
        <v>17333</v>
      </c>
      <c r="B54" t="s">
        <v>16659</v>
      </c>
      <c r="D54" t="s">
        <v>15688</v>
      </c>
      <c r="E54" t="s">
        <v>4215</v>
      </c>
      <c r="F54" t="s">
        <v>17334</v>
      </c>
      <c r="G54">
        <v>3</v>
      </c>
      <c r="O54" t="s">
        <v>15688</v>
      </c>
    </row>
    <row r="55" spans="1:15">
      <c r="A55" t="s">
        <v>17333</v>
      </c>
      <c r="B55" t="s">
        <v>16666</v>
      </c>
      <c r="D55" t="s">
        <v>15689</v>
      </c>
      <c r="E55" t="s">
        <v>4215</v>
      </c>
      <c r="F55" t="s">
        <v>17334</v>
      </c>
      <c r="G55">
        <v>3</v>
      </c>
      <c r="O55" t="s">
        <v>15689</v>
      </c>
    </row>
    <row r="56" spans="1:15">
      <c r="A56" t="s">
        <v>17333</v>
      </c>
      <c r="B56" t="s">
        <v>16673</v>
      </c>
      <c r="D56" t="s">
        <v>15690</v>
      </c>
      <c r="E56" t="s">
        <v>4215</v>
      </c>
      <c r="F56" t="s">
        <v>17334</v>
      </c>
      <c r="G56">
        <v>3</v>
      </c>
      <c r="O56" t="s">
        <v>15690</v>
      </c>
    </row>
    <row r="57" spans="1:15">
      <c r="A57" t="s">
        <v>17333</v>
      </c>
      <c r="B57" t="s">
        <v>16680</v>
      </c>
      <c r="D57" t="s">
        <v>15691</v>
      </c>
      <c r="E57" t="s">
        <v>4215</v>
      </c>
      <c r="F57" t="s">
        <v>17334</v>
      </c>
      <c r="G57">
        <v>3</v>
      </c>
      <c r="O57" t="s">
        <v>15691</v>
      </c>
    </row>
    <row r="58" spans="1:15">
      <c r="A58" t="s">
        <v>17333</v>
      </c>
      <c r="B58" t="s">
        <v>16478</v>
      </c>
      <c r="D58" t="s">
        <v>15692</v>
      </c>
      <c r="E58" t="s">
        <v>4215</v>
      </c>
      <c r="F58" t="s">
        <v>17334</v>
      </c>
      <c r="G58">
        <v>3</v>
      </c>
      <c r="O58" t="s">
        <v>15692</v>
      </c>
    </row>
    <row r="59" spans="1:15">
      <c r="A59" t="s">
        <v>17333</v>
      </c>
      <c r="B59" t="s">
        <v>16487</v>
      </c>
      <c r="D59" t="s">
        <v>15693</v>
      </c>
      <c r="E59" t="s">
        <v>4215</v>
      </c>
      <c r="F59" t="s">
        <v>17334</v>
      </c>
      <c r="G59">
        <v>3</v>
      </c>
      <c r="O59" t="s">
        <v>15693</v>
      </c>
    </row>
    <row r="60" spans="1:15">
      <c r="A60" t="s">
        <v>17333</v>
      </c>
      <c r="B60" t="s">
        <v>16496</v>
      </c>
      <c r="D60" t="s">
        <v>15694</v>
      </c>
      <c r="E60" t="s">
        <v>4215</v>
      </c>
      <c r="F60" t="s">
        <v>17334</v>
      </c>
      <c r="G60">
        <v>3</v>
      </c>
      <c r="O60" t="s">
        <v>15694</v>
      </c>
    </row>
    <row r="61" spans="1:15">
      <c r="A61" t="s">
        <v>17333</v>
      </c>
      <c r="B61" t="s">
        <v>16505</v>
      </c>
      <c r="D61" t="s">
        <v>15695</v>
      </c>
      <c r="E61" t="s">
        <v>4215</v>
      </c>
      <c r="F61" t="s">
        <v>17334</v>
      </c>
      <c r="G61">
        <v>3</v>
      </c>
      <c r="O61" t="s">
        <v>15695</v>
      </c>
    </row>
    <row r="62" spans="1:15">
      <c r="A62" t="s">
        <v>17333</v>
      </c>
      <c r="B62" t="s">
        <v>16514</v>
      </c>
      <c r="D62" t="s">
        <v>15696</v>
      </c>
      <c r="E62" t="s">
        <v>4215</v>
      </c>
      <c r="F62" t="s">
        <v>17334</v>
      </c>
      <c r="G62">
        <v>3</v>
      </c>
      <c r="O62" t="s">
        <v>15696</v>
      </c>
    </row>
    <row r="63" spans="1:15">
      <c r="A63" t="s">
        <v>17333</v>
      </c>
      <c r="B63" t="s">
        <v>16523</v>
      </c>
      <c r="D63" t="s">
        <v>15697</v>
      </c>
      <c r="E63" t="s">
        <v>4215</v>
      </c>
      <c r="F63" t="s">
        <v>17334</v>
      </c>
      <c r="G63">
        <v>3</v>
      </c>
      <c r="O63" t="s">
        <v>15697</v>
      </c>
    </row>
    <row r="64" spans="1:15">
      <c r="A64" t="s">
        <v>17333</v>
      </c>
      <c r="B64" t="s">
        <v>16532</v>
      </c>
      <c r="D64" t="s">
        <v>15698</v>
      </c>
      <c r="E64" t="s">
        <v>4215</v>
      </c>
      <c r="F64" t="s">
        <v>17334</v>
      </c>
      <c r="G64">
        <v>3</v>
      </c>
      <c r="O64" t="s">
        <v>15698</v>
      </c>
    </row>
    <row r="65" spans="1:15">
      <c r="A65" t="s">
        <v>17333</v>
      </c>
      <c r="B65" t="s">
        <v>16541</v>
      </c>
      <c r="D65" t="s">
        <v>15699</v>
      </c>
      <c r="E65" t="s">
        <v>4215</v>
      </c>
      <c r="F65" t="s">
        <v>17334</v>
      </c>
      <c r="G65">
        <v>3</v>
      </c>
      <c r="O65" t="s">
        <v>15699</v>
      </c>
    </row>
    <row r="66" spans="1:15">
      <c r="A66" t="s">
        <v>17333</v>
      </c>
      <c r="B66" t="s">
        <v>16548</v>
      </c>
      <c r="D66" t="s">
        <v>15700</v>
      </c>
      <c r="E66" t="s">
        <v>4215</v>
      </c>
      <c r="F66" t="s">
        <v>17334</v>
      </c>
      <c r="G66">
        <v>3</v>
      </c>
      <c r="O66" t="s">
        <v>15700</v>
      </c>
    </row>
    <row r="67" spans="1:15">
      <c r="A67" t="s">
        <v>17333</v>
      </c>
      <c r="B67" t="s">
        <v>16555</v>
      </c>
      <c r="D67" t="s">
        <v>15701</v>
      </c>
      <c r="E67" t="s">
        <v>4215</v>
      </c>
      <c r="F67" t="s">
        <v>17334</v>
      </c>
      <c r="G67">
        <v>3</v>
      </c>
      <c r="O67" t="s">
        <v>15701</v>
      </c>
    </row>
    <row r="68" spans="1:15">
      <c r="A68" t="s">
        <v>17333</v>
      </c>
      <c r="B68" t="s">
        <v>16562</v>
      </c>
      <c r="D68" t="s">
        <v>15702</v>
      </c>
      <c r="E68" t="s">
        <v>4215</v>
      </c>
      <c r="F68" t="s">
        <v>17334</v>
      </c>
      <c r="G68">
        <v>3</v>
      </c>
      <c r="O68" t="s">
        <v>15702</v>
      </c>
    </row>
    <row r="69" spans="1:15">
      <c r="A69" t="s">
        <v>17333</v>
      </c>
      <c r="B69" t="s">
        <v>16569</v>
      </c>
      <c r="D69" t="s">
        <v>15703</v>
      </c>
      <c r="E69" t="s">
        <v>4215</v>
      </c>
      <c r="F69" t="s">
        <v>17334</v>
      </c>
      <c r="G69">
        <v>3</v>
      </c>
      <c r="O69" t="s">
        <v>15703</v>
      </c>
    </row>
    <row r="70" spans="1:15">
      <c r="A70" t="s">
        <v>17333</v>
      </c>
      <c r="B70" t="s">
        <v>16576</v>
      </c>
      <c r="D70" t="s">
        <v>15704</v>
      </c>
      <c r="E70" t="s">
        <v>4215</v>
      </c>
      <c r="F70" t="s">
        <v>17334</v>
      </c>
      <c r="G70">
        <v>3</v>
      </c>
      <c r="O70" t="s">
        <v>15704</v>
      </c>
    </row>
    <row r="71" spans="1:15">
      <c r="A71" t="s">
        <v>17333</v>
      </c>
      <c r="B71" t="s">
        <v>16583</v>
      </c>
      <c r="D71" t="s">
        <v>15705</v>
      </c>
      <c r="E71" t="s">
        <v>4215</v>
      </c>
      <c r="F71" t="s">
        <v>17334</v>
      </c>
      <c r="G71">
        <v>3</v>
      </c>
      <c r="O71" t="s">
        <v>15705</v>
      </c>
    </row>
    <row r="72" spans="1:15">
      <c r="A72" t="s">
        <v>17333</v>
      </c>
      <c r="B72" t="s">
        <v>16590</v>
      </c>
      <c r="D72" t="s">
        <v>15706</v>
      </c>
      <c r="E72" t="s">
        <v>4215</v>
      </c>
      <c r="F72" t="s">
        <v>17334</v>
      </c>
      <c r="G72">
        <v>3</v>
      </c>
      <c r="O72" t="s">
        <v>15706</v>
      </c>
    </row>
    <row r="73" spans="1:15">
      <c r="A73" t="s">
        <v>17333</v>
      </c>
      <c r="B73" t="s">
        <v>16597</v>
      </c>
      <c r="D73" t="s">
        <v>15707</v>
      </c>
      <c r="E73" t="s">
        <v>4215</v>
      </c>
      <c r="F73" t="s">
        <v>17334</v>
      </c>
      <c r="G73">
        <v>3</v>
      </c>
      <c r="O73" t="s">
        <v>15707</v>
      </c>
    </row>
    <row r="74" spans="1:15">
      <c r="A74" t="s">
        <v>17333</v>
      </c>
      <c r="B74" t="s">
        <v>16604</v>
      </c>
      <c r="D74" t="s">
        <v>15708</v>
      </c>
      <c r="E74" t="s">
        <v>4215</v>
      </c>
      <c r="F74" t="s">
        <v>17334</v>
      </c>
      <c r="G74">
        <v>3</v>
      </c>
      <c r="O74" t="s">
        <v>15708</v>
      </c>
    </row>
    <row r="75" spans="1:15">
      <c r="A75" t="s">
        <v>17333</v>
      </c>
      <c r="B75" t="s">
        <v>16611</v>
      </c>
      <c r="D75" t="s">
        <v>15709</v>
      </c>
      <c r="E75" t="s">
        <v>4215</v>
      </c>
      <c r="F75" t="s">
        <v>17334</v>
      </c>
      <c r="G75">
        <v>3</v>
      </c>
      <c r="O75" t="s">
        <v>15709</v>
      </c>
    </row>
    <row r="76" spans="1:15">
      <c r="A76" t="s">
        <v>17333</v>
      </c>
      <c r="B76" t="s">
        <v>16618</v>
      </c>
      <c r="D76" t="s">
        <v>15710</v>
      </c>
      <c r="E76" t="s">
        <v>4215</v>
      </c>
      <c r="F76" t="s">
        <v>17334</v>
      </c>
      <c r="G76">
        <v>3</v>
      </c>
      <c r="O76" t="s">
        <v>15710</v>
      </c>
    </row>
    <row r="77" spans="1:15">
      <c r="A77" t="s">
        <v>17333</v>
      </c>
      <c r="B77" t="s">
        <v>16625</v>
      </c>
      <c r="D77" t="s">
        <v>15711</v>
      </c>
      <c r="E77" t="s">
        <v>4215</v>
      </c>
      <c r="F77" t="s">
        <v>17334</v>
      </c>
      <c r="G77">
        <v>3</v>
      </c>
      <c r="O77" t="s">
        <v>15711</v>
      </c>
    </row>
    <row r="78" spans="1:15">
      <c r="A78" t="s">
        <v>17333</v>
      </c>
      <c r="B78" t="s">
        <v>16632</v>
      </c>
      <c r="D78" t="s">
        <v>15712</v>
      </c>
      <c r="E78" t="s">
        <v>4215</v>
      </c>
      <c r="F78" t="s">
        <v>17334</v>
      </c>
      <c r="G78">
        <v>3</v>
      </c>
      <c r="O78" t="s">
        <v>15712</v>
      </c>
    </row>
    <row r="79" spans="1:15">
      <c r="A79" t="s">
        <v>17333</v>
      </c>
      <c r="B79" t="s">
        <v>16639</v>
      </c>
      <c r="D79" t="s">
        <v>15713</v>
      </c>
      <c r="E79" t="s">
        <v>4215</v>
      </c>
      <c r="F79" t="s">
        <v>17334</v>
      </c>
      <c r="G79">
        <v>3</v>
      </c>
      <c r="O79" t="s">
        <v>15713</v>
      </c>
    </row>
    <row r="80" spans="1:15">
      <c r="A80" t="s">
        <v>17333</v>
      </c>
      <c r="B80" t="s">
        <v>16646</v>
      </c>
      <c r="D80" t="s">
        <v>15714</v>
      </c>
      <c r="E80" t="s">
        <v>4215</v>
      </c>
      <c r="F80" t="s">
        <v>17334</v>
      </c>
      <c r="G80">
        <v>3</v>
      </c>
      <c r="O80" t="s">
        <v>15714</v>
      </c>
    </row>
    <row r="81" spans="1:15">
      <c r="A81" t="s">
        <v>17333</v>
      </c>
      <c r="B81" t="s">
        <v>16653</v>
      </c>
      <c r="D81" t="s">
        <v>15715</v>
      </c>
      <c r="E81" t="s">
        <v>4215</v>
      </c>
      <c r="F81" t="s">
        <v>17334</v>
      </c>
      <c r="G81">
        <v>3</v>
      </c>
      <c r="O81" t="s">
        <v>15715</v>
      </c>
    </row>
    <row r="82" spans="1:15">
      <c r="A82" t="s">
        <v>17333</v>
      </c>
      <c r="B82" t="s">
        <v>16660</v>
      </c>
      <c r="D82" t="s">
        <v>15716</v>
      </c>
      <c r="E82" t="s">
        <v>4215</v>
      </c>
      <c r="F82" t="s">
        <v>17334</v>
      </c>
      <c r="G82">
        <v>3</v>
      </c>
      <c r="O82" t="s">
        <v>15716</v>
      </c>
    </row>
    <row r="83" spans="1:15">
      <c r="A83" t="s">
        <v>17333</v>
      </c>
      <c r="B83" t="s">
        <v>16667</v>
      </c>
      <c r="D83" t="s">
        <v>15717</v>
      </c>
      <c r="E83" t="s">
        <v>4215</v>
      </c>
      <c r="F83" t="s">
        <v>17334</v>
      </c>
      <c r="G83">
        <v>3</v>
      </c>
      <c r="O83" t="s">
        <v>15717</v>
      </c>
    </row>
    <row r="84" spans="1:15">
      <c r="A84" t="s">
        <v>17333</v>
      </c>
      <c r="B84" t="s">
        <v>16674</v>
      </c>
      <c r="D84" t="s">
        <v>15718</v>
      </c>
      <c r="E84" t="s">
        <v>4215</v>
      </c>
      <c r="F84" t="s">
        <v>17334</v>
      </c>
      <c r="G84">
        <v>3</v>
      </c>
      <c r="O84" t="s">
        <v>15718</v>
      </c>
    </row>
    <row r="85" spans="1:15">
      <c r="A85" t="s">
        <v>17333</v>
      </c>
      <c r="B85" t="s">
        <v>16681</v>
      </c>
      <c r="D85" t="s">
        <v>15719</v>
      </c>
      <c r="E85" t="s">
        <v>4215</v>
      </c>
      <c r="F85" t="s">
        <v>17334</v>
      </c>
      <c r="G85">
        <v>3</v>
      </c>
      <c r="O85" t="s">
        <v>15719</v>
      </c>
    </row>
    <row r="86" spans="1:15">
      <c r="A86" t="s">
        <v>17333</v>
      </c>
      <c r="B86" t="s">
        <v>16479</v>
      </c>
      <c r="D86" t="s">
        <v>15720</v>
      </c>
      <c r="E86" t="s">
        <v>4215</v>
      </c>
      <c r="F86" t="s">
        <v>17334</v>
      </c>
      <c r="G86">
        <v>3</v>
      </c>
      <c r="O86" t="s">
        <v>15720</v>
      </c>
    </row>
    <row r="87" spans="1:15">
      <c r="A87" t="s">
        <v>17333</v>
      </c>
      <c r="B87" t="s">
        <v>16488</v>
      </c>
      <c r="D87" t="s">
        <v>15721</v>
      </c>
      <c r="E87" t="s">
        <v>4215</v>
      </c>
      <c r="F87" t="s">
        <v>17334</v>
      </c>
      <c r="G87">
        <v>3</v>
      </c>
      <c r="O87" t="s">
        <v>15721</v>
      </c>
    </row>
    <row r="88" spans="1:15">
      <c r="A88" t="s">
        <v>17333</v>
      </c>
      <c r="B88" t="s">
        <v>16497</v>
      </c>
      <c r="D88" t="s">
        <v>15722</v>
      </c>
      <c r="E88" t="s">
        <v>4215</v>
      </c>
      <c r="F88" t="s">
        <v>17334</v>
      </c>
      <c r="G88">
        <v>3</v>
      </c>
      <c r="O88" t="s">
        <v>15722</v>
      </c>
    </row>
    <row r="89" spans="1:15">
      <c r="A89" t="s">
        <v>17333</v>
      </c>
      <c r="B89" t="s">
        <v>16506</v>
      </c>
      <c r="D89" t="s">
        <v>15723</v>
      </c>
      <c r="E89" t="s">
        <v>4215</v>
      </c>
      <c r="F89" t="s">
        <v>17334</v>
      </c>
      <c r="G89">
        <v>3</v>
      </c>
      <c r="O89" t="s">
        <v>15723</v>
      </c>
    </row>
    <row r="90" spans="1:15">
      <c r="A90" t="s">
        <v>17333</v>
      </c>
      <c r="B90" t="s">
        <v>16515</v>
      </c>
      <c r="D90" t="s">
        <v>15724</v>
      </c>
      <c r="E90" t="s">
        <v>4215</v>
      </c>
      <c r="F90" t="s">
        <v>17334</v>
      </c>
      <c r="G90">
        <v>3</v>
      </c>
      <c r="O90" t="s">
        <v>15724</v>
      </c>
    </row>
    <row r="91" spans="1:15">
      <c r="A91" t="s">
        <v>17333</v>
      </c>
      <c r="B91" t="s">
        <v>16524</v>
      </c>
      <c r="D91" t="s">
        <v>15725</v>
      </c>
      <c r="E91" t="s">
        <v>4215</v>
      </c>
      <c r="F91" t="s">
        <v>17334</v>
      </c>
      <c r="G91">
        <v>3</v>
      </c>
      <c r="O91" t="s">
        <v>15725</v>
      </c>
    </row>
    <row r="92" spans="1:15">
      <c r="A92" t="s">
        <v>17333</v>
      </c>
      <c r="B92" t="s">
        <v>16533</v>
      </c>
      <c r="D92" t="s">
        <v>15726</v>
      </c>
      <c r="E92" t="s">
        <v>4215</v>
      </c>
      <c r="F92" t="s">
        <v>17334</v>
      </c>
      <c r="G92">
        <v>3</v>
      </c>
      <c r="O92" t="s">
        <v>15726</v>
      </c>
    </row>
    <row r="93" spans="1:15">
      <c r="A93" t="s">
        <v>17333</v>
      </c>
      <c r="B93" t="s">
        <v>16542</v>
      </c>
      <c r="D93" t="s">
        <v>15727</v>
      </c>
      <c r="E93" t="s">
        <v>4215</v>
      </c>
      <c r="F93" t="s">
        <v>17334</v>
      </c>
      <c r="G93">
        <v>3</v>
      </c>
      <c r="O93" t="s">
        <v>15727</v>
      </c>
    </row>
    <row r="94" spans="1:15">
      <c r="A94" t="s">
        <v>17333</v>
      </c>
      <c r="B94" t="s">
        <v>16549</v>
      </c>
      <c r="D94" t="s">
        <v>15728</v>
      </c>
      <c r="E94" t="s">
        <v>4215</v>
      </c>
      <c r="F94" t="s">
        <v>17334</v>
      </c>
      <c r="G94">
        <v>3</v>
      </c>
      <c r="O94" t="s">
        <v>15728</v>
      </c>
    </row>
    <row r="95" spans="1:15">
      <c r="A95" t="s">
        <v>17333</v>
      </c>
      <c r="B95" t="s">
        <v>16556</v>
      </c>
      <c r="D95" t="s">
        <v>15729</v>
      </c>
      <c r="E95" t="s">
        <v>4215</v>
      </c>
      <c r="F95" t="s">
        <v>17334</v>
      </c>
      <c r="G95">
        <v>3</v>
      </c>
      <c r="O95" t="s">
        <v>15729</v>
      </c>
    </row>
    <row r="96" spans="1:15">
      <c r="A96" t="s">
        <v>17333</v>
      </c>
      <c r="B96" t="s">
        <v>16563</v>
      </c>
      <c r="D96" t="s">
        <v>15730</v>
      </c>
      <c r="E96" t="s">
        <v>4215</v>
      </c>
      <c r="F96" t="s">
        <v>17334</v>
      </c>
      <c r="G96">
        <v>3</v>
      </c>
      <c r="O96" t="s">
        <v>15730</v>
      </c>
    </row>
    <row r="97" spans="1:15">
      <c r="A97" t="s">
        <v>17333</v>
      </c>
      <c r="B97" t="s">
        <v>16570</v>
      </c>
      <c r="D97" t="s">
        <v>15731</v>
      </c>
      <c r="E97" t="s">
        <v>4215</v>
      </c>
      <c r="F97" t="s">
        <v>17334</v>
      </c>
      <c r="G97">
        <v>3</v>
      </c>
      <c r="O97" t="s">
        <v>15731</v>
      </c>
    </row>
    <row r="98" spans="1:15">
      <c r="A98" t="s">
        <v>17333</v>
      </c>
      <c r="B98" t="s">
        <v>16577</v>
      </c>
      <c r="D98" t="s">
        <v>15732</v>
      </c>
      <c r="E98" t="s">
        <v>4215</v>
      </c>
      <c r="F98" t="s">
        <v>17334</v>
      </c>
      <c r="G98">
        <v>3</v>
      </c>
      <c r="O98" t="s">
        <v>15732</v>
      </c>
    </row>
    <row r="99" spans="1:15">
      <c r="A99" t="s">
        <v>17333</v>
      </c>
      <c r="B99" t="s">
        <v>16584</v>
      </c>
      <c r="D99" t="s">
        <v>15733</v>
      </c>
      <c r="E99" t="s">
        <v>4215</v>
      </c>
      <c r="F99" t="s">
        <v>17334</v>
      </c>
      <c r="G99">
        <v>3</v>
      </c>
      <c r="O99" t="s">
        <v>15733</v>
      </c>
    </row>
    <row r="100" spans="1:15">
      <c r="A100" t="s">
        <v>17333</v>
      </c>
      <c r="B100" t="s">
        <v>16591</v>
      </c>
      <c r="D100" t="s">
        <v>15734</v>
      </c>
      <c r="E100" t="s">
        <v>4215</v>
      </c>
      <c r="F100" t="s">
        <v>17334</v>
      </c>
      <c r="G100">
        <v>3</v>
      </c>
      <c r="O100" t="s">
        <v>15734</v>
      </c>
    </row>
    <row r="101" spans="1:15">
      <c r="A101" t="s">
        <v>17333</v>
      </c>
      <c r="B101" t="s">
        <v>16598</v>
      </c>
      <c r="D101" t="s">
        <v>15735</v>
      </c>
      <c r="E101" t="s">
        <v>4215</v>
      </c>
      <c r="F101" t="s">
        <v>17334</v>
      </c>
      <c r="G101">
        <v>3</v>
      </c>
      <c r="O101" t="s">
        <v>15735</v>
      </c>
    </row>
    <row r="102" spans="1:15">
      <c r="A102" t="s">
        <v>17333</v>
      </c>
      <c r="B102" t="s">
        <v>16605</v>
      </c>
      <c r="D102" t="s">
        <v>15736</v>
      </c>
      <c r="E102" t="s">
        <v>4215</v>
      </c>
      <c r="F102" t="s">
        <v>17334</v>
      </c>
      <c r="G102">
        <v>3</v>
      </c>
      <c r="O102" t="s">
        <v>15736</v>
      </c>
    </row>
    <row r="103" spans="1:15">
      <c r="A103" t="s">
        <v>17333</v>
      </c>
      <c r="B103" t="s">
        <v>16612</v>
      </c>
      <c r="D103" t="s">
        <v>15737</v>
      </c>
      <c r="E103" t="s">
        <v>4215</v>
      </c>
      <c r="F103" t="s">
        <v>17334</v>
      </c>
      <c r="G103">
        <v>3</v>
      </c>
      <c r="O103" t="s">
        <v>15737</v>
      </c>
    </row>
    <row r="104" spans="1:15">
      <c r="A104" t="s">
        <v>17333</v>
      </c>
      <c r="B104" t="s">
        <v>16619</v>
      </c>
      <c r="D104" t="s">
        <v>15738</v>
      </c>
      <c r="E104" t="s">
        <v>4215</v>
      </c>
      <c r="F104" t="s">
        <v>17334</v>
      </c>
      <c r="G104">
        <v>3</v>
      </c>
      <c r="O104" t="s">
        <v>15738</v>
      </c>
    </row>
    <row r="105" spans="1:15">
      <c r="A105" t="s">
        <v>17333</v>
      </c>
      <c r="B105" t="s">
        <v>16626</v>
      </c>
      <c r="D105" t="s">
        <v>15739</v>
      </c>
      <c r="E105" t="s">
        <v>4215</v>
      </c>
      <c r="F105" t="s">
        <v>17334</v>
      </c>
      <c r="G105">
        <v>3</v>
      </c>
      <c r="O105" t="s">
        <v>15739</v>
      </c>
    </row>
    <row r="106" spans="1:15">
      <c r="A106" t="s">
        <v>17333</v>
      </c>
      <c r="B106" t="s">
        <v>16633</v>
      </c>
      <c r="D106" t="s">
        <v>15740</v>
      </c>
      <c r="E106" t="s">
        <v>4215</v>
      </c>
      <c r="F106" t="s">
        <v>17334</v>
      </c>
      <c r="G106">
        <v>3</v>
      </c>
      <c r="O106" t="s">
        <v>15740</v>
      </c>
    </row>
    <row r="107" spans="1:15">
      <c r="A107" t="s">
        <v>17333</v>
      </c>
      <c r="B107" t="s">
        <v>16640</v>
      </c>
      <c r="D107" t="s">
        <v>15741</v>
      </c>
      <c r="E107" t="s">
        <v>4215</v>
      </c>
      <c r="F107" t="s">
        <v>17334</v>
      </c>
      <c r="G107">
        <v>3</v>
      </c>
      <c r="O107" t="s">
        <v>15741</v>
      </c>
    </row>
    <row r="108" spans="1:15">
      <c r="A108" t="s">
        <v>17333</v>
      </c>
      <c r="B108" t="s">
        <v>16647</v>
      </c>
      <c r="D108" t="s">
        <v>15742</v>
      </c>
      <c r="E108" t="s">
        <v>4215</v>
      </c>
      <c r="F108" t="s">
        <v>17334</v>
      </c>
      <c r="G108">
        <v>3</v>
      </c>
      <c r="O108" t="s">
        <v>15742</v>
      </c>
    </row>
    <row r="109" spans="1:15">
      <c r="A109" t="s">
        <v>17333</v>
      </c>
      <c r="B109" t="s">
        <v>16654</v>
      </c>
      <c r="D109" t="s">
        <v>15743</v>
      </c>
      <c r="E109" t="s">
        <v>4215</v>
      </c>
      <c r="F109" t="s">
        <v>17334</v>
      </c>
      <c r="G109">
        <v>3</v>
      </c>
      <c r="O109" t="s">
        <v>15743</v>
      </c>
    </row>
    <row r="110" spans="1:15">
      <c r="A110" t="s">
        <v>17333</v>
      </c>
      <c r="B110" t="s">
        <v>16661</v>
      </c>
      <c r="D110" t="s">
        <v>15744</v>
      </c>
      <c r="E110" t="s">
        <v>4215</v>
      </c>
      <c r="F110" t="s">
        <v>17334</v>
      </c>
      <c r="G110">
        <v>3</v>
      </c>
      <c r="O110" t="s">
        <v>15744</v>
      </c>
    </row>
    <row r="111" spans="1:15">
      <c r="A111" t="s">
        <v>17333</v>
      </c>
      <c r="B111" t="s">
        <v>16668</v>
      </c>
      <c r="D111" t="s">
        <v>15745</v>
      </c>
      <c r="E111" t="s">
        <v>4215</v>
      </c>
      <c r="F111" t="s">
        <v>17334</v>
      </c>
      <c r="G111">
        <v>3</v>
      </c>
      <c r="O111" t="s">
        <v>15745</v>
      </c>
    </row>
    <row r="112" spans="1:15">
      <c r="A112" t="s">
        <v>17333</v>
      </c>
      <c r="B112" t="s">
        <v>16675</v>
      </c>
      <c r="D112" t="s">
        <v>15746</v>
      </c>
      <c r="E112" t="s">
        <v>4215</v>
      </c>
      <c r="F112" t="s">
        <v>17334</v>
      </c>
      <c r="G112">
        <v>3</v>
      </c>
      <c r="O112" t="s">
        <v>15746</v>
      </c>
    </row>
    <row r="113" spans="1:15">
      <c r="A113" t="s">
        <v>17333</v>
      </c>
      <c r="B113" t="s">
        <v>16682</v>
      </c>
      <c r="D113" t="s">
        <v>15747</v>
      </c>
      <c r="E113" t="s">
        <v>4215</v>
      </c>
      <c r="F113" t="s">
        <v>17334</v>
      </c>
      <c r="G113">
        <v>3</v>
      </c>
      <c r="O113" t="s">
        <v>15747</v>
      </c>
    </row>
    <row r="114" spans="1:15">
      <c r="A114" t="s">
        <v>17333</v>
      </c>
      <c r="B114" t="s">
        <v>16480</v>
      </c>
      <c r="D114" t="s">
        <v>15748</v>
      </c>
      <c r="E114" t="s">
        <v>4215</v>
      </c>
      <c r="F114" t="s">
        <v>17334</v>
      </c>
      <c r="G114">
        <v>3</v>
      </c>
      <c r="O114" t="s">
        <v>15748</v>
      </c>
    </row>
    <row r="115" spans="1:15">
      <c r="A115" t="s">
        <v>17333</v>
      </c>
      <c r="B115" t="s">
        <v>16489</v>
      </c>
      <c r="D115" t="s">
        <v>15749</v>
      </c>
      <c r="E115" t="s">
        <v>4215</v>
      </c>
      <c r="F115" t="s">
        <v>17334</v>
      </c>
      <c r="G115">
        <v>3</v>
      </c>
      <c r="O115" t="s">
        <v>15749</v>
      </c>
    </row>
    <row r="116" spans="1:15">
      <c r="A116" t="s">
        <v>17333</v>
      </c>
      <c r="B116" t="s">
        <v>16498</v>
      </c>
      <c r="D116" t="s">
        <v>15750</v>
      </c>
      <c r="E116" t="s">
        <v>4215</v>
      </c>
      <c r="F116" t="s">
        <v>17334</v>
      </c>
      <c r="G116">
        <v>3</v>
      </c>
      <c r="O116" t="s">
        <v>15750</v>
      </c>
    </row>
    <row r="117" spans="1:15">
      <c r="A117" t="s">
        <v>17333</v>
      </c>
      <c r="B117" t="s">
        <v>16507</v>
      </c>
      <c r="D117" t="s">
        <v>15751</v>
      </c>
      <c r="E117" t="s">
        <v>4215</v>
      </c>
      <c r="F117" t="s">
        <v>17334</v>
      </c>
      <c r="G117">
        <v>3</v>
      </c>
      <c r="O117" t="s">
        <v>15751</v>
      </c>
    </row>
    <row r="118" spans="1:15">
      <c r="A118" t="s">
        <v>17333</v>
      </c>
      <c r="B118" t="s">
        <v>16516</v>
      </c>
      <c r="D118" t="s">
        <v>15752</v>
      </c>
      <c r="E118" t="s">
        <v>4215</v>
      </c>
      <c r="F118" t="s">
        <v>17334</v>
      </c>
      <c r="G118">
        <v>3</v>
      </c>
      <c r="O118" t="s">
        <v>15752</v>
      </c>
    </row>
    <row r="119" spans="1:15">
      <c r="A119" t="s">
        <v>17333</v>
      </c>
      <c r="B119" t="s">
        <v>16525</v>
      </c>
      <c r="D119" t="s">
        <v>15753</v>
      </c>
      <c r="E119" t="s">
        <v>4215</v>
      </c>
      <c r="F119" t="s">
        <v>17334</v>
      </c>
      <c r="G119">
        <v>3</v>
      </c>
      <c r="O119" t="s">
        <v>15753</v>
      </c>
    </row>
    <row r="120" spans="1:15">
      <c r="A120" t="s">
        <v>17333</v>
      </c>
      <c r="B120" t="s">
        <v>16534</v>
      </c>
      <c r="D120" t="s">
        <v>15754</v>
      </c>
      <c r="E120" t="s">
        <v>4215</v>
      </c>
      <c r="F120" t="s">
        <v>17334</v>
      </c>
      <c r="G120">
        <v>3</v>
      </c>
      <c r="O120" t="s">
        <v>15754</v>
      </c>
    </row>
    <row r="121" spans="1:15">
      <c r="A121" t="s">
        <v>17333</v>
      </c>
      <c r="B121" t="s">
        <v>16543</v>
      </c>
      <c r="D121" t="s">
        <v>15755</v>
      </c>
      <c r="E121" t="s">
        <v>4215</v>
      </c>
      <c r="F121" t="s">
        <v>17334</v>
      </c>
      <c r="G121">
        <v>3</v>
      </c>
      <c r="O121" t="s">
        <v>15755</v>
      </c>
    </row>
    <row r="122" spans="1:15">
      <c r="A122" t="s">
        <v>17333</v>
      </c>
      <c r="B122" t="s">
        <v>16550</v>
      </c>
      <c r="D122" t="s">
        <v>15756</v>
      </c>
      <c r="E122" t="s">
        <v>4215</v>
      </c>
      <c r="F122" t="s">
        <v>17334</v>
      </c>
      <c r="G122">
        <v>3</v>
      </c>
      <c r="O122" t="s">
        <v>15756</v>
      </c>
    </row>
    <row r="123" spans="1:15">
      <c r="A123" t="s">
        <v>17333</v>
      </c>
      <c r="B123" t="s">
        <v>16557</v>
      </c>
      <c r="D123" t="s">
        <v>15757</v>
      </c>
      <c r="E123" t="s">
        <v>4215</v>
      </c>
      <c r="F123" t="s">
        <v>17334</v>
      </c>
      <c r="G123">
        <v>3</v>
      </c>
      <c r="O123" t="s">
        <v>15757</v>
      </c>
    </row>
    <row r="124" spans="1:15">
      <c r="A124" t="s">
        <v>17333</v>
      </c>
      <c r="B124" t="s">
        <v>16564</v>
      </c>
      <c r="D124" t="s">
        <v>15758</v>
      </c>
      <c r="E124" t="s">
        <v>4215</v>
      </c>
      <c r="F124" t="s">
        <v>17334</v>
      </c>
      <c r="G124">
        <v>3</v>
      </c>
      <c r="O124" t="s">
        <v>15758</v>
      </c>
    </row>
    <row r="125" spans="1:15">
      <c r="A125" t="s">
        <v>17333</v>
      </c>
      <c r="B125" t="s">
        <v>16571</v>
      </c>
      <c r="D125" t="s">
        <v>15759</v>
      </c>
      <c r="E125" t="s">
        <v>4215</v>
      </c>
      <c r="F125" t="s">
        <v>17334</v>
      </c>
      <c r="G125">
        <v>3</v>
      </c>
      <c r="O125" t="s">
        <v>15759</v>
      </c>
    </row>
    <row r="126" spans="1:15">
      <c r="A126" t="s">
        <v>17333</v>
      </c>
      <c r="B126" t="s">
        <v>16578</v>
      </c>
      <c r="D126" t="s">
        <v>15760</v>
      </c>
      <c r="E126" t="s">
        <v>4215</v>
      </c>
      <c r="F126" t="s">
        <v>17334</v>
      </c>
      <c r="G126">
        <v>3</v>
      </c>
      <c r="O126" t="s">
        <v>15760</v>
      </c>
    </row>
    <row r="127" spans="1:15">
      <c r="A127" t="s">
        <v>17333</v>
      </c>
      <c r="B127" t="s">
        <v>16585</v>
      </c>
      <c r="D127" t="s">
        <v>15761</v>
      </c>
      <c r="E127" t="s">
        <v>4215</v>
      </c>
      <c r="F127" t="s">
        <v>17334</v>
      </c>
      <c r="G127">
        <v>3</v>
      </c>
      <c r="O127" t="s">
        <v>15761</v>
      </c>
    </row>
    <row r="128" spans="1:15">
      <c r="A128" t="s">
        <v>17333</v>
      </c>
      <c r="B128" t="s">
        <v>16592</v>
      </c>
      <c r="D128" t="s">
        <v>15762</v>
      </c>
      <c r="E128" t="s">
        <v>4215</v>
      </c>
      <c r="F128" t="s">
        <v>17334</v>
      </c>
      <c r="G128">
        <v>3</v>
      </c>
      <c r="O128" t="s">
        <v>15762</v>
      </c>
    </row>
    <row r="129" spans="1:15">
      <c r="A129" t="s">
        <v>17333</v>
      </c>
      <c r="B129" t="s">
        <v>16599</v>
      </c>
      <c r="D129" t="s">
        <v>15763</v>
      </c>
      <c r="E129" t="s">
        <v>4215</v>
      </c>
      <c r="F129" t="s">
        <v>17334</v>
      </c>
      <c r="G129">
        <v>3</v>
      </c>
      <c r="O129" t="s">
        <v>15763</v>
      </c>
    </row>
    <row r="130" spans="1:15">
      <c r="A130" t="s">
        <v>17333</v>
      </c>
      <c r="B130" t="s">
        <v>16606</v>
      </c>
      <c r="D130" t="s">
        <v>15764</v>
      </c>
      <c r="E130" t="s">
        <v>4215</v>
      </c>
      <c r="F130" t="s">
        <v>17334</v>
      </c>
      <c r="G130">
        <v>3</v>
      </c>
      <c r="O130" t="s">
        <v>15764</v>
      </c>
    </row>
    <row r="131" spans="1:15">
      <c r="A131" t="s">
        <v>17333</v>
      </c>
      <c r="B131" t="s">
        <v>16613</v>
      </c>
      <c r="D131" t="s">
        <v>15765</v>
      </c>
      <c r="E131" t="s">
        <v>4215</v>
      </c>
      <c r="F131" t="s">
        <v>17334</v>
      </c>
      <c r="G131">
        <v>3</v>
      </c>
      <c r="O131" t="s">
        <v>15765</v>
      </c>
    </row>
    <row r="132" spans="1:15">
      <c r="A132" t="s">
        <v>17333</v>
      </c>
      <c r="B132" t="s">
        <v>16620</v>
      </c>
      <c r="D132" t="s">
        <v>15766</v>
      </c>
      <c r="E132" t="s">
        <v>4215</v>
      </c>
      <c r="F132" t="s">
        <v>17334</v>
      </c>
      <c r="G132">
        <v>3</v>
      </c>
      <c r="O132" t="s">
        <v>15766</v>
      </c>
    </row>
    <row r="133" spans="1:15">
      <c r="A133" t="s">
        <v>17333</v>
      </c>
      <c r="B133" t="s">
        <v>16627</v>
      </c>
      <c r="D133" t="s">
        <v>15767</v>
      </c>
      <c r="E133" t="s">
        <v>4215</v>
      </c>
      <c r="F133" t="s">
        <v>17334</v>
      </c>
      <c r="G133">
        <v>3</v>
      </c>
      <c r="O133" t="s">
        <v>15767</v>
      </c>
    </row>
    <row r="134" spans="1:15">
      <c r="A134" t="s">
        <v>17333</v>
      </c>
      <c r="B134" t="s">
        <v>16634</v>
      </c>
      <c r="D134" t="s">
        <v>15768</v>
      </c>
      <c r="E134" t="s">
        <v>4215</v>
      </c>
      <c r="F134" t="s">
        <v>17334</v>
      </c>
      <c r="G134">
        <v>3</v>
      </c>
      <c r="O134" t="s">
        <v>15768</v>
      </c>
    </row>
    <row r="135" spans="1:15">
      <c r="A135" t="s">
        <v>17333</v>
      </c>
      <c r="B135" t="s">
        <v>16641</v>
      </c>
      <c r="D135" t="s">
        <v>15769</v>
      </c>
      <c r="E135" t="s">
        <v>4215</v>
      </c>
      <c r="F135" t="s">
        <v>17334</v>
      </c>
      <c r="G135">
        <v>3</v>
      </c>
      <c r="O135" t="s">
        <v>15769</v>
      </c>
    </row>
    <row r="136" spans="1:15">
      <c r="A136" t="s">
        <v>17333</v>
      </c>
      <c r="B136" t="s">
        <v>16648</v>
      </c>
      <c r="D136" t="s">
        <v>15770</v>
      </c>
      <c r="E136" t="s">
        <v>4215</v>
      </c>
      <c r="F136" t="s">
        <v>17334</v>
      </c>
      <c r="G136">
        <v>3</v>
      </c>
      <c r="O136" t="s">
        <v>15770</v>
      </c>
    </row>
    <row r="137" spans="1:15">
      <c r="A137" t="s">
        <v>17333</v>
      </c>
      <c r="B137" t="s">
        <v>16655</v>
      </c>
      <c r="D137" t="s">
        <v>15771</v>
      </c>
      <c r="E137" t="s">
        <v>4215</v>
      </c>
      <c r="F137" t="s">
        <v>17334</v>
      </c>
      <c r="G137">
        <v>3</v>
      </c>
      <c r="O137" t="s">
        <v>15771</v>
      </c>
    </row>
    <row r="138" spans="1:15">
      <c r="A138" t="s">
        <v>17333</v>
      </c>
      <c r="B138" t="s">
        <v>16662</v>
      </c>
      <c r="D138" t="s">
        <v>15772</v>
      </c>
      <c r="E138" t="s">
        <v>4215</v>
      </c>
      <c r="F138" t="s">
        <v>17334</v>
      </c>
      <c r="G138">
        <v>3</v>
      </c>
      <c r="O138" t="s">
        <v>15772</v>
      </c>
    </row>
    <row r="139" spans="1:15">
      <c r="A139" t="s">
        <v>17333</v>
      </c>
      <c r="B139" t="s">
        <v>16669</v>
      </c>
      <c r="D139" t="s">
        <v>15773</v>
      </c>
      <c r="E139" t="s">
        <v>4215</v>
      </c>
      <c r="F139" t="s">
        <v>17334</v>
      </c>
      <c r="G139">
        <v>3</v>
      </c>
      <c r="O139" t="s">
        <v>15773</v>
      </c>
    </row>
    <row r="140" spans="1:15">
      <c r="A140" t="s">
        <v>17333</v>
      </c>
      <c r="B140" t="s">
        <v>16676</v>
      </c>
      <c r="D140" t="s">
        <v>15774</v>
      </c>
      <c r="E140" t="s">
        <v>4215</v>
      </c>
      <c r="F140" t="s">
        <v>17334</v>
      </c>
      <c r="G140">
        <v>3</v>
      </c>
      <c r="O140" t="s">
        <v>15774</v>
      </c>
    </row>
    <row r="141" spans="1:15">
      <c r="A141" t="s">
        <v>17333</v>
      </c>
      <c r="B141" t="s">
        <v>16683</v>
      </c>
      <c r="D141" t="s">
        <v>15775</v>
      </c>
      <c r="E141" t="s">
        <v>4215</v>
      </c>
      <c r="F141" t="s">
        <v>17334</v>
      </c>
      <c r="G141">
        <v>3</v>
      </c>
      <c r="O141" t="s">
        <v>15775</v>
      </c>
    </row>
    <row r="142" spans="1:15">
      <c r="A142" t="s">
        <v>17333</v>
      </c>
      <c r="B142" t="s">
        <v>16481</v>
      </c>
      <c r="D142" t="s">
        <v>15776</v>
      </c>
      <c r="E142" t="s">
        <v>4215</v>
      </c>
      <c r="F142" t="s">
        <v>17334</v>
      </c>
      <c r="G142">
        <v>3</v>
      </c>
      <c r="O142" t="s">
        <v>15776</v>
      </c>
    </row>
    <row r="143" spans="1:15">
      <c r="A143" t="s">
        <v>17333</v>
      </c>
      <c r="B143" t="s">
        <v>16490</v>
      </c>
      <c r="D143" t="s">
        <v>15777</v>
      </c>
      <c r="E143" t="s">
        <v>4215</v>
      </c>
      <c r="F143" t="s">
        <v>17334</v>
      </c>
      <c r="G143">
        <v>3</v>
      </c>
      <c r="O143" t="s">
        <v>15777</v>
      </c>
    </row>
    <row r="144" spans="1:15">
      <c r="A144" t="s">
        <v>17333</v>
      </c>
      <c r="B144" t="s">
        <v>16499</v>
      </c>
      <c r="D144" t="s">
        <v>15778</v>
      </c>
      <c r="E144" t="s">
        <v>4215</v>
      </c>
      <c r="F144" t="s">
        <v>17334</v>
      </c>
      <c r="G144">
        <v>3</v>
      </c>
      <c r="O144" t="s">
        <v>15778</v>
      </c>
    </row>
    <row r="145" spans="1:15">
      <c r="A145" t="s">
        <v>17333</v>
      </c>
      <c r="B145" t="s">
        <v>16508</v>
      </c>
      <c r="D145" t="s">
        <v>15779</v>
      </c>
      <c r="E145" t="s">
        <v>4215</v>
      </c>
      <c r="F145" t="s">
        <v>17334</v>
      </c>
      <c r="G145">
        <v>3</v>
      </c>
      <c r="O145" t="s">
        <v>15779</v>
      </c>
    </row>
    <row r="146" spans="1:15">
      <c r="A146" t="s">
        <v>17333</v>
      </c>
      <c r="B146" t="s">
        <v>16517</v>
      </c>
      <c r="D146" t="s">
        <v>15780</v>
      </c>
      <c r="E146" t="s">
        <v>4215</v>
      </c>
      <c r="F146" t="s">
        <v>17334</v>
      </c>
      <c r="G146">
        <v>3</v>
      </c>
      <c r="O146" t="s">
        <v>15780</v>
      </c>
    </row>
    <row r="147" spans="1:15">
      <c r="A147" t="s">
        <v>17333</v>
      </c>
      <c r="B147" t="s">
        <v>16526</v>
      </c>
      <c r="D147" t="s">
        <v>15781</v>
      </c>
      <c r="E147" t="s">
        <v>4215</v>
      </c>
      <c r="F147" t="s">
        <v>17334</v>
      </c>
      <c r="G147">
        <v>3</v>
      </c>
      <c r="O147" t="s">
        <v>15781</v>
      </c>
    </row>
    <row r="148" spans="1:15">
      <c r="A148" t="s">
        <v>17333</v>
      </c>
      <c r="B148" t="s">
        <v>16535</v>
      </c>
      <c r="D148" t="s">
        <v>15782</v>
      </c>
      <c r="E148" t="s">
        <v>4215</v>
      </c>
      <c r="F148" t="s">
        <v>17334</v>
      </c>
      <c r="G148">
        <v>3</v>
      </c>
      <c r="O148" t="s">
        <v>15782</v>
      </c>
    </row>
    <row r="149" spans="1:15">
      <c r="A149" t="s">
        <v>17333</v>
      </c>
      <c r="B149" t="s">
        <v>16544</v>
      </c>
      <c r="D149" t="s">
        <v>15783</v>
      </c>
      <c r="E149" t="s">
        <v>4215</v>
      </c>
      <c r="F149" t="s">
        <v>17334</v>
      </c>
      <c r="G149">
        <v>3</v>
      </c>
      <c r="O149" t="s">
        <v>15783</v>
      </c>
    </row>
    <row r="150" spans="1:15">
      <c r="A150" t="s">
        <v>17333</v>
      </c>
      <c r="B150" t="s">
        <v>16551</v>
      </c>
      <c r="D150" t="s">
        <v>15784</v>
      </c>
      <c r="E150" t="s">
        <v>4215</v>
      </c>
      <c r="F150" t="s">
        <v>17334</v>
      </c>
      <c r="G150">
        <v>3</v>
      </c>
      <c r="O150" t="s">
        <v>15784</v>
      </c>
    </row>
    <row r="151" spans="1:15">
      <c r="A151" t="s">
        <v>17333</v>
      </c>
      <c r="B151" t="s">
        <v>16558</v>
      </c>
      <c r="D151" t="s">
        <v>15785</v>
      </c>
      <c r="E151" t="s">
        <v>4215</v>
      </c>
      <c r="F151" t="s">
        <v>17334</v>
      </c>
      <c r="G151">
        <v>3</v>
      </c>
      <c r="O151" t="s">
        <v>15785</v>
      </c>
    </row>
    <row r="152" spans="1:15">
      <c r="A152" t="s">
        <v>17333</v>
      </c>
      <c r="B152" t="s">
        <v>16565</v>
      </c>
      <c r="D152" t="s">
        <v>15786</v>
      </c>
      <c r="E152" t="s">
        <v>4215</v>
      </c>
      <c r="F152" t="s">
        <v>17334</v>
      </c>
      <c r="G152">
        <v>3</v>
      </c>
      <c r="O152" t="s">
        <v>15786</v>
      </c>
    </row>
    <row r="153" spans="1:15">
      <c r="A153" t="s">
        <v>17333</v>
      </c>
      <c r="B153" t="s">
        <v>16572</v>
      </c>
      <c r="D153" t="s">
        <v>15787</v>
      </c>
      <c r="E153" t="s">
        <v>4215</v>
      </c>
      <c r="F153" t="s">
        <v>17334</v>
      </c>
      <c r="G153">
        <v>3</v>
      </c>
      <c r="O153" t="s">
        <v>15787</v>
      </c>
    </row>
    <row r="154" spans="1:15">
      <c r="A154" t="s">
        <v>17333</v>
      </c>
      <c r="B154" t="s">
        <v>16579</v>
      </c>
      <c r="D154" t="s">
        <v>15788</v>
      </c>
      <c r="E154" t="s">
        <v>4215</v>
      </c>
      <c r="F154" t="s">
        <v>17334</v>
      </c>
      <c r="G154">
        <v>3</v>
      </c>
      <c r="O154" t="s">
        <v>15788</v>
      </c>
    </row>
    <row r="155" spans="1:15">
      <c r="A155" t="s">
        <v>17333</v>
      </c>
      <c r="B155" t="s">
        <v>16586</v>
      </c>
      <c r="D155" t="s">
        <v>15789</v>
      </c>
      <c r="E155" t="s">
        <v>4215</v>
      </c>
      <c r="F155" t="s">
        <v>17334</v>
      </c>
      <c r="G155">
        <v>3</v>
      </c>
      <c r="O155" t="s">
        <v>15789</v>
      </c>
    </row>
    <row r="156" spans="1:15">
      <c r="A156" t="s">
        <v>17333</v>
      </c>
      <c r="B156" t="s">
        <v>16593</v>
      </c>
      <c r="D156" t="s">
        <v>15790</v>
      </c>
      <c r="E156" t="s">
        <v>4215</v>
      </c>
      <c r="F156" t="s">
        <v>17334</v>
      </c>
      <c r="G156">
        <v>3</v>
      </c>
      <c r="O156" t="s">
        <v>15790</v>
      </c>
    </row>
    <row r="157" spans="1:15">
      <c r="A157" t="s">
        <v>17333</v>
      </c>
      <c r="B157" t="s">
        <v>16600</v>
      </c>
      <c r="D157" t="s">
        <v>15791</v>
      </c>
      <c r="E157" t="s">
        <v>4215</v>
      </c>
      <c r="F157" t="s">
        <v>17334</v>
      </c>
      <c r="G157">
        <v>3</v>
      </c>
      <c r="O157" t="s">
        <v>15791</v>
      </c>
    </row>
    <row r="158" spans="1:15">
      <c r="A158" t="s">
        <v>17333</v>
      </c>
      <c r="B158" t="s">
        <v>16607</v>
      </c>
      <c r="D158" t="s">
        <v>15792</v>
      </c>
      <c r="E158" t="s">
        <v>4215</v>
      </c>
      <c r="F158" t="s">
        <v>17334</v>
      </c>
      <c r="G158">
        <v>3</v>
      </c>
      <c r="O158" t="s">
        <v>15792</v>
      </c>
    </row>
    <row r="159" spans="1:15">
      <c r="A159" t="s">
        <v>17333</v>
      </c>
      <c r="B159" t="s">
        <v>16614</v>
      </c>
      <c r="D159" t="s">
        <v>15793</v>
      </c>
      <c r="E159" t="s">
        <v>4215</v>
      </c>
      <c r="F159" t="s">
        <v>17334</v>
      </c>
      <c r="G159">
        <v>3</v>
      </c>
      <c r="O159" t="s">
        <v>15793</v>
      </c>
    </row>
    <row r="160" spans="1:15">
      <c r="A160" t="s">
        <v>17333</v>
      </c>
      <c r="B160" t="s">
        <v>16621</v>
      </c>
      <c r="D160" t="s">
        <v>15794</v>
      </c>
      <c r="E160" t="s">
        <v>4215</v>
      </c>
      <c r="F160" t="s">
        <v>17334</v>
      </c>
      <c r="G160">
        <v>3</v>
      </c>
      <c r="O160" t="s">
        <v>15794</v>
      </c>
    </row>
    <row r="161" spans="1:15">
      <c r="A161" t="s">
        <v>17333</v>
      </c>
      <c r="B161" t="s">
        <v>16628</v>
      </c>
      <c r="D161" t="s">
        <v>15795</v>
      </c>
      <c r="E161" t="s">
        <v>4215</v>
      </c>
      <c r="F161" t="s">
        <v>17334</v>
      </c>
      <c r="G161">
        <v>3</v>
      </c>
      <c r="O161" t="s">
        <v>15795</v>
      </c>
    </row>
    <row r="162" spans="1:15">
      <c r="A162" t="s">
        <v>17333</v>
      </c>
      <c r="B162" t="s">
        <v>16635</v>
      </c>
      <c r="D162" t="s">
        <v>15796</v>
      </c>
      <c r="E162" t="s">
        <v>4215</v>
      </c>
      <c r="F162" t="s">
        <v>17334</v>
      </c>
      <c r="G162">
        <v>3</v>
      </c>
      <c r="O162" t="s">
        <v>15796</v>
      </c>
    </row>
    <row r="163" spans="1:15">
      <c r="A163" t="s">
        <v>17333</v>
      </c>
      <c r="B163" t="s">
        <v>16642</v>
      </c>
      <c r="D163" t="s">
        <v>15797</v>
      </c>
      <c r="E163" t="s">
        <v>4215</v>
      </c>
      <c r="F163" t="s">
        <v>17334</v>
      </c>
      <c r="G163">
        <v>3</v>
      </c>
      <c r="O163" t="s">
        <v>15797</v>
      </c>
    </row>
    <row r="164" spans="1:15">
      <c r="A164" t="s">
        <v>17333</v>
      </c>
      <c r="B164" t="s">
        <v>16649</v>
      </c>
      <c r="D164" t="s">
        <v>15798</v>
      </c>
      <c r="E164" t="s">
        <v>4215</v>
      </c>
      <c r="F164" t="s">
        <v>17334</v>
      </c>
      <c r="G164">
        <v>3</v>
      </c>
      <c r="O164" t="s">
        <v>15798</v>
      </c>
    </row>
    <row r="165" spans="1:15">
      <c r="A165" t="s">
        <v>17333</v>
      </c>
      <c r="B165" t="s">
        <v>16656</v>
      </c>
      <c r="D165" t="s">
        <v>15799</v>
      </c>
      <c r="E165" t="s">
        <v>4215</v>
      </c>
      <c r="F165" t="s">
        <v>17334</v>
      </c>
      <c r="G165">
        <v>3</v>
      </c>
      <c r="O165" t="s">
        <v>15799</v>
      </c>
    </row>
    <row r="166" spans="1:15">
      <c r="A166" t="s">
        <v>17333</v>
      </c>
      <c r="B166" t="s">
        <v>16663</v>
      </c>
      <c r="D166" t="s">
        <v>15800</v>
      </c>
      <c r="E166" t="s">
        <v>4215</v>
      </c>
      <c r="F166" t="s">
        <v>17334</v>
      </c>
      <c r="G166">
        <v>3</v>
      </c>
      <c r="O166" t="s">
        <v>15800</v>
      </c>
    </row>
    <row r="167" spans="1:15">
      <c r="A167" t="s">
        <v>17333</v>
      </c>
      <c r="B167" t="s">
        <v>16670</v>
      </c>
      <c r="D167" t="s">
        <v>15801</v>
      </c>
      <c r="E167" t="s">
        <v>4215</v>
      </c>
      <c r="F167" t="s">
        <v>17334</v>
      </c>
      <c r="G167">
        <v>3</v>
      </c>
      <c r="O167" t="s">
        <v>15801</v>
      </c>
    </row>
    <row r="168" spans="1:15">
      <c r="A168" t="s">
        <v>17333</v>
      </c>
      <c r="B168" t="s">
        <v>16677</v>
      </c>
      <c r="D168" t="s">
        <v>15802</v>
      </c>
      <c r="E168" t="s">
        <v>4215</v>
      </c>
      <c r="F168" t="s">
        <v>17334</v>
      </c>
      <c r="G168">
        <v>3</v>
      </c>
      <c r="O168" t="s">
        <v>15802</v>
      </c>
    </row>
    <row r="169" spans="1:15">
      <c r="A169" t="s">
        <v>17333</v>
      </c>
      <c r="B169" t="s">
        <v>16684</v>
      </c>
      <c r="D169" t="s">
        <v>15803</v>
      </c>
      <c r="E169" t="s">
        <v>4215</v>
      </c>
      <c r="F169" t="s">
        <v>17334</v>
      </c>
      <c r="G169">
        <v>3</v>
      </c>
      <c r="O169" t="s">
        <v>15803</v>
      </c>
    </row>
    <row r="170" spans="1:15">
      <c r="A170" t="s">
        <v>17333</v>
      </c>
      <c r="B170" t="s">
        <v>16482</v>
      </c>
      <c r="D170" t="s">
        <v>15804</v>
      </c>
      <c r="E170" t="s">
        <v>4215</v>
      </c>
      <c r="F170" t="s">
        <v>17334</v>
      </c>
      <c r="G170">
        <v>3</v>
      </c>
      <c r="O170" t="s">
        <v>15804</v>
      </c>
    </row>
    <row r="171" spans="1:15">
      <c r="A171" t="s">
        <v>17333</v>
      </c>
      <c r="B171" t="s">
        <v>16491</v>
      </c>
      <c r="D171" t="s">
        <v>15805</v>
      </c>
      <c r="E171" t="s">
        <v>4215</v>
      </c>
      <c r="F171" t="s">
        <v>17334</v>
      </c>
      <c r="G171">
        <v>3</v>
      </c>
      <c r="O171" t="s">
        <v>15805</v>
      </c>
    </row>
    <row r="172" spans="1:15">
      <c r="A172" t="s">
        <v>17333</v>
      </c>
      <c r="B172" t="s">
        <v>16500</v>
      </c>
      <c r="D172" t="s">
        <v>15806</v>
      </c>
      <c r="E172" t="s">
        <v>4215</v>
      </c>
      <c r="F172" t="s">
        <v>17334</v>
      </c>
      <c r="G172">
        <v>3</v>
      </c>
      <c r="O172" t="s">
        <v>15806</v>
      </c>
    </row>
    <row r="173" spans="1:15">
      <c r="A173" t="s">
        <v>17333</v>
      </c>
      <c r="B173" t="s">
        <v>16509</v>
      </c>
      <c r="D173" t="s">
        <v>15807</v>
      </c>
      <c r="E173" t="s">
        <v>4215</v>
      </c>
      <c r="F173" t="s">
        <v>17334</v>
      </c>
      <c r="G173">
        <v>3</v>
      </c>
      <c r="O173" t="s">
        <v>15807</v>
      </c>
    </row>
    <row r="174" spans="1:15">
      <c r="A174" t="s">
        <v>17333</v>
      </c>
      <c r="B174" t="s">
        <v>16518</v>
      </c>
      <c r="D174" t="s">
        <v>15808</v>
      </c>
      <c r="E174" t="s">
        <v>4215</v>
      </c>
      <c r="F174" t="s">
        <v>17334</v>
      </c>
      <c r="G174">
        <v>3</v>
      </c>
      <c r="O174" t="s">
        <v>15808</v>
      </c>
    </row>
    <row r="175" spans="1:15">
      <c r="A175" t="s">
        <v>17333</v>
      </c>
      <c r="B175" t="s">
        <v>16527</v>
      </c>
      <c r="D175" t="s">
        <v>15809</v>
      </c>
      <c r="E175" t="s">
        <v>4215</v>
      </c>
      <c r="F175" t="s">
        <v>17334</v>
      </c>
      <c r="G175">
        <v>3</v>
      </c>
      <c r="O175" t="s">
        <v>15809</v>
      </c>
    </row>
    <row r="176" spans="1:15">
      <c r="A176" t="s">
        <v>17333</v>
      </c>
      <c r="B176" t="s">
        <v>16536</v>
      </c>
      <c r="D176" t="s">
        <v>15810</v>
      </c>
      <c r="E176" t="s">
        <v>4215</v>
      </c>
      <c r="F176" t="s">
        <v>17334</v>
      </c>
      <c r="G176">
        <v>3</v>
      </c>
      <c r="O176" t="s">
        <v>15810</v>
      </c>
    </row>
    <row r="177" spans="1:15">
      <c r="A177" t="s">
        <v>17333</v>
      </c>
      <c r="B177" t="s">
        <v>16545</v>
      </c>
      <c r="D177" t="s">
        <v>15811</v>
      </c>
      <c r="E177" t="s">
        <v>4215</v>
      </c>
      <c r="F177" t="s">
        <v>17334</v>
      </c>
      <c r="G177">
        <v>3</v>
      </c>
      <c r="O177" t="s">
        <v>15811</v>
      </c>
    </row>
    <row r="178" spans="1:15">
      <c r="A178" t="s">
        <v>17333</v>
      </c>
      <c r="B178" t="s">
        <v>16552</v>
      </c>
      <c r="D178" t="s">
        <v>15812</v>
      </c>
      <c r="E178" t="s">
        <v>4215</v>
      </c>
      <c r="F178" t="s">
        <v>17334</v>
      </c>
      <c r="G178">
        <v>3</v>
      </c>
      <c r="O178" t="s">
        <v>15812</v>
      </c>
    </row>
    <row r="179" spans="1:15">
      <c r="A179" t="s">
        <v>17333</v>
      </c>
      <c r="B179" t="s">
        <v>16559</v>
      </c>
      <c r="D179" t="s">
        <v>15813</v>
      </c>
      <c r="E179" t="s">
        <v>4215</v>
      </c>
      <c r="F179" t="s">
        <v>17334</v>
      </c>
      <c r="G179">
        <v>3</v>
      </c>
      <c r="O179" t="s">
        <v>15813</v>
      </c>
    </row>
    <row r="180" spans="1:15">
      <c r="A180" t="s">
        <v>17333</v>
      </c>
      <c r="B180" t="s">
        <v>16566</v>
      </c>
      <c r="D180" t="s">
        <v>15814</v>
      </c>
      <c r="E180" t="s">
        <v>4215</v>
      </c>
      <c r="F180" t="s">
        <v>17334</v>
      </c>
      <c r="G180">
        <v>3</v>
      </c>
      <c r="O180" t="s">
        <v>15814</v>
      </c>
    </row>
    <row r="181" spans="1:15">
      <c r="A181" t="s">
        <v>17333</v>
      </c>
      <c r="B181" t="s">
        <v>16573</v>
      </c>
      <c r="D181" t="s">
        <v>15815</v>
      </c>
      <c r="E181" t="s">
        <v>4215</v>
      </c>
      <c r="F181" t="s">
        <v>17334</v>
      </c>
      <c r="G181">
        <v>3</v>
      </c>
      <c r="O181" t="s">
        <v>15815</v>
      </c>
    </row>
    <row r="182" spans="1:15">
      <c r="A182" t="s">
        <v>17333</v>
      </c>
      <c r="B182" t="s">
        <v>16580</v>
      </c>
      <c r="D182" t="s">
        <v>15816</v>
      </c>
      <c r="E182" t="s">
        <v>4215</v>
      </c>
      <c r="F182" t="s">
        <v>17334</v>
      </c>
      <c r="G182">
        <v>3</v>
      </c>
      <c r="O182" t="s">
        <v>15816</v>
      </c>
    </row>
    <row r="183" spans="1:15">
      <c r="A183" t="s">
        <v>17333</v>
      </c>
      <c r="B183" t="s">
        <v>16587</v>
      </c>
      <c r="D183" t="s">
        <v>15817</v>
      </c>
      <c r="E183" t="s">
        <v>4215</v>
      </c>
      <c r="F183" t="s">
        <v>17334</v>
      </c>
      <c r="G183">
        <v>3</v>
      </c>
      <c r="O183" t="s">
        <v>15817</v>
      </c>
    </row>
    <row r="184" spans="1:15">
      <c r="A184" t="s">
        <v>17333</v>
      </c>
      <c r="B184" t="s">
        <v>16594</v>
      </c>
      <c r="D184" t="s">
        <v>15818</v>
      </c>
      <c r="E184" t="s">
        <v>4215</v>
      </c>
      <c r="F184" t="s">
        <v>17334</v>
      </c>
      <c r="G184">
        <v>3</v>
      </c>
      <c r="O184" t="s">
        <v>15818</v>
      </c>
    </row>
    <row r="185" spans="1:15">
      <c r="A185" t="s">
        <v>17333</v>
      </c>
      <c r="B185" t="s">
        <v>16601</v>
      </c>
      <c r="D185" t="s">
        <v>15819</v>
      </c>
      <c r="E185" t="s">
        <v>4215</v>
      </c>
      <c r="F185" t="s">
        <v>17334</v>
      </c>
      <c r="G185">
        <v>3</v>
      </c>
      <c r="O185" t="s">
        <v>15819</v>
      </c>
    </row>
    <row r="186" spans="1:15">
      <c r="A186" t="s">
        <v>17333</v>
      </c>
      <c r="B186" t="s">
        <v>16608</v>
      </c>
      <c r="D186" t="s">
        <v>15820</v>
      </c>
      <c r="E186" t="s">
        <v>4215</v>
      </c>
      <c r="F186" t="s">
        <v>17334</v>
      </c>
      <c r="G186">
        <v>3</v>
      </c>
      <c r="O186" t="s">
        <v>15820</v>
      </c>
    </row>
    <row r="187" spans="1:15">
      <c r="A187" t="s">
        <v>17333</v>
      </c>
      <c r="B187" t="s">
        <v>16615</v>
      </c>
      <c r="D187" t="s">
        <v>15821</v>
      </c>
      <c r="E187" t="s">
        <v>4215</v>
      </c>
      <c r="F187" t="s">
        <v>17334</v>
      </c>
      <c r="G187">
        <v>3</v>
      </c>
      <c r="O187" t="s">
        <v>15821</v>
      </c>
    </row>
    <row r="188" spans="1:15">
      <c r="A188" t="s">
        <v>17333</v>
      </c>
      <c r="B188" t="s">
        <v>16622</v>
      </c>
      <c r="D188" t="s">
        <v>15822</v>
      </c>
      <c r="E188" t="s">
        <v>4215</v>
      </c>
      <c r="F188" t="s">
        <v>17334</v>
      </c>
      <c r="G188">
        <v>3</v>
      </c>
      <c r="O188" t="s">
        <v>15822</v>
      </c>
    </row>
    <row r="189" spans="1:15">
      <c r="A189" t="s">
        <v>17333</v>
      </c>
      <c r="B189" t="s">
        <v>16629</v>
      </c>
      <c r="D189" t="s">
        <v>15823</v>
      </c>
      <c r="E189" t="s">
        <v>4215</v>
      </c>
      <c r="F189" t="s">
        <v>17334</v>
      </c>
      <c r="G189">
        <v>3</v>
      </c>
      <c r="O189" t="s">
        <v>15823</v>
      </c>
    </row>
    <row r="190" spans="1:15">
      <c r="A190" t="s">
        <v>17333</v>
      </c>
      <c r="B190" t="s">
        <v>16636</v>
      </c>
      <c r="D190" t="s">
        <v>15824</v>
      </c>
      <c r="E190" t="s">
        <v>4215</v>
      </c>
      <c r="F190" t="s">
        <v>17334</v>
      </c>
      <c r="G190">
        <v>3</v>
      </c>
      <c r="O190" t="s">
        <v>15824</v>
      </c>
    </row>
    <row r="191" spans="1:15">
      <c r="A191" t="s">
        <v>17333</v>
      </c>
      <c r="B191" t="s">
        <v>16643</v>
      </c>
      <c r="D191" t="s">
        <v>15825</v>
      </c>
      <c r="E191" t="s">
        <v>4215</v>
      </c>
      <c r="F191" t="s">
        <v>17334</v>
      </c>
      <c r="G191">
        <v>3</v>
      </c>
      <c r="O191" t="s">
        <v>15825</v>
      </c>
    </row>
    <row r="192" spans="1:15">
      <c r="A192" t="s">
        <v>17333</v>
      </c>
      <c r="B192" t="s">
        <v>16650</v>
      </c>
      <c r="D192" t="s">
        <v>15826</v>
      </c>
      <c r="E192" t="s">
        <v>4215</v>
      </c>
      <c r="F192" t="s">
        <v>17334</v>
      </c>
      <c r="G192">
        <v>3</v>
      </c>
      <c r="O192" t="s">
        <v>15826</v>
      </c>
    </row>
    <row r="193" spans="1:15">
      <c r="A193" t="s">
        <v>17333</v>
      </c>
      <c r="B193" t="s">
        <v>16657</v>
      </c>
      <c r="D193" t="s">
        <v>15827</v>
      </c>
      <c r="E193" t="s">
        <v>4215</v>
      </c>
      <c r="F193" t="s">
        <v>17334</v>
      </c>
      <c r="G193">
        <v>3</v>
      </c>
      <c r="O193" t="s">
        <v>15827</v>
      </c>
    </row>
    <row r="194" spans="1:15">
      <c r="A194" t="s">
        <v>17333</v>
      </c>
      <c r="B194" t="s">
        <v>16664</v>
      </c>
      <c r="D194" t="s">
        <v>15828</v>
      </c>
      <c r="E194" t="s">
        <v>4215</v>
      </c>
      <c r="F194" t="s">
        <v>17334</v>
      </c>
      <c r="G194">
        <v>3</v>
      </c>
      <c r="O194" t="s">
        <v>15828</v>
      </c>
    </row>
    <row r="195" spans="1:15">
      <c r="A195" t="s">
        <v>17333</v>
      </c>
      <c r="B195" t="s">
        <v>16671</v>
      </c>
      <c r="D195" t="s">
        <v>15829</v>
      </c>
      <c r="E195" t="s">
        <v>4215</v>
      </c>
      <c r="F195" t="s">
        <v>17334</v>
      </c>
      <c r="G195">
        <v>3</v>
      </c>
      <c r="O195" t="s">
        <v>15829</v>
      </c>
    </row>
    <row r="196" spans="1:15">
      <c r="A196" t="s">
        <v>17333</v>
      </c>
      <c r="B196" t="s">
        <v>16678</v>
      </c>
      <c r="D196" t="s">
        <v>15830</v>
      </c>
      <c r="E196" t="s">
        <v>4215</v>
      </c>
      <c r="F196" t="s">
        <v>17334</v>
      </c>
      <c r="G196">
        <v>3</v>
      </c>
      <c r="O196" t="s">
        <v>15830</v>
      </c>
    </row>
    <row r="197" spans="1:15">
      <c r="A197" t="s">
        <v>17333</v>
      </c>
      <c r="B197" t="s">
        <v>16685</v>
      </c>
      <c r="D197" t="s">
        <v>15831</v>
      </c>
      <c r="E197" t="s">
        <v>4215</v>
      </c>
      <c r="F197" t="s">
        <v>17334</v>
      </c>
      <c r="G197">
        <v>3</v>
      </c>
      <c r="O197" t="s">
        <v>15831</v>
      </c>
    </row>
    <row r="198" spans="1:15">
      <c r="A198" t="s">
        <v>17333</v>
      </c>
      <c r="B198" t="s">
        <v>16483</v>
      </c>
      <c r="D198" t="s">
        <v>15832</v>
      </c>
      <c r="E198" t="s">
        <v>4215</v>
      </c>
      <c r="F198" t="s">
        <v>17334</v>
      </c>
      <c r="G198">
        <v>3</v>
      </c>
      <c r="O198" t="s">
        <v>15832</v>
      </c>
    </row>
    <row r="199" spans="1:15">
      <c r="A199" t="s">
        <v>17333</v>
      </c>
      <c r="B199" t="s">
        <v>16492</v>
      </c>
      <c r="D199" t="s">
        <v>15833</v>
      </c>
      <c r="E199" t="s">
        <v>4215</v>
      </c>
      <c r="F199" t="s">
        <v>17334</v>
      </c>
      <c r="G199">
        <v>3</v>
      </c>
      <c r="O199" t="s">
        <v>15833</v>
      </c>
    </row>
    <row r="200" spans="1:15">
      <c r="A200" t="s">
        <v>17333</v>
      </c>
      <c r="B200" t="s">
        <v>16501</v>
      </c>
      <c r="D200" t="s">
        <v>15834</v>
      </c>
      <c r="E200" t="s">
        <v>4215</v>
      </c>
      <c r="F200" t="s">
        <v>17334</v>
      </c>
      <c r="G200">
        <v>3</v>
      </c>
      <c r="O200" t="s">
        <v>15834</v>
      </c>
    </row>
    <row r="201" spans="1:15">
      <c r="A201" t="s">
        <v>17333</v>
      </c>
      <c r="B201" t="s">
        <v>16510</v>
      </c>
      <c r="D201" t="s">
        <v>15835</v>
      </c>
      <c r="E201" t="s">
        <v>4215</v>
      </c>
      <c r="F201" t="s">
        <v>17334</v>
      </c>
      <c r="G201">
        <v>3</v>
      </c>
      <c r="O201" t="s">
        <v>15835</v>
      </c>
    </row>
    <row r="202" spans="1:15">
      <c r="A202" t="s">
        <v>17333</v>
      </c>
      <c r="B202" t="s">
        <v>16519</v>
      </c>
      <c r="D202" t="s">
        <v>15836</v>
      </c>
      <c r="E202" t="s">
        <v>4215</v>
      </c>
      <c r="F202" t="s">
        <v>17334</v>
      </c>
      <c r="G202">
        <v>3</v>
      </c>
      <c r="O202" t="s">
        <v>15836</v>
      </c>
    </row>
    <row r="203" spans="1:15">
      <c r="A203" t="s">
        <v>17333</v>
      </c>
      <c r="B203" t="s">
        <v>16528</v>
      </c>
      <c r="D203" t="s">
        <v>15837</v>
      </c>
      <c r="E203" t="s">
        <v>4215</v>
      </c>
      <c r="F203" t="s">
        <v>17334</v>
      </c>
      <c r="G203">
        <v>3</v>
      </c>
      <c r="O203" t="s">
        <v>15837</v>
      </c>
    </row>
    <row r="204" spans="1:15">
      <c r="A204" t="s">
        <v>17333</v>
      </c>
      <c r="B204" t="s">
        <v>16537</v>
      </c>
      <c r="D204" t="s">
        <v>15838</v>
      </c>
      <c r="E204" t="s">
        <v>4215</v>
      </c>
      <c r="F204" t="s">
        <v>17334</v>
      </c>
      <c r="G204">
        <v>3</v>
      </c>
      <c r="O204" t="s">
        <v>15838</v>
      </c>
    </row>
    <row r="205" spans="1:15">
      <c r="A205" t="s">
        <v>17333</v>
      </c>
      <c r="B205" t="s">
        <v>16484</v>
      </c>
      <c r="D205" t="s">
        <v>15839</v>
      </c>
      <c r="E205" t="s">
        <v>4215</v>
      </c>
      <c r="F205" t="s">
        <v>17334</v>
      </c>
      <c r="G205">
        <v>3</v>
      </c>
      <c r="O205" t="s">
        <v>15839</v>
      </c>
    </row>
    <row r="206" spans="1:15">
      <c r="A206" t="s">
        <v>17333</v>
      </c>
      <c r="B206" t="s">
        <v>16493</v>
      </c>
      <c r="D206" t="s">
        <v>15840</v>
      </c>
      <c r="E206" t="s">
        <v>4215</v>
      </c>
      <c r="F206" t="s">
        <v>17334</v>
      </c>
      <c r="G206">
        <v>3</v>
      </c>
      <c r="O206" t="s">
        <v>15840</v>
      </c>
    </row>
    <row r="207" spans="1:15">
      <c r="A207" t="s">
        <v>17333</v>
      </c>
      <c r="B207" t="s">
        <v>16502</v>
      </c>
      <c r="D207" t="s">
        <v>15841</v>
      </c>
      <c r="E207" t="s">
        <v>4215</v>
      </c>
      <c r="F207" t="s">
        <v>17334</v>
      </c>
      <c r="G207">
        <v>3</v>
      </c>
      <c r="O207" t="s">
        <v>15841</v>
      </c>
    </row>
    <row r="208" spans="1:15">
      <c r="A208" t="s">
        <v>17333</v>
      </c>
      <c r="B208" t="s">
        <v>16511</v>
      </c>
      <c r="D208" t="s">
        <v>15842</v>
      </c>
      <c r="E208" t="s">
        <v>4215</v>
      </c>
      <c r="F208" t="s">
        <v>17334</v>
      </c>
      <c r="G208">
        <v>3</v>
      </c>
      <c r="O208" t="s">
        <v>15842</v>
      </c>
    </row>
    <row r="209" spans="1:15">
      <c r="A209" t="s">
        <v>17333</v>
      </c>
      <c r="B209" t="s">
        <v>16520</v>
      </c>
      <c r="D209" t="s">
        <v>15843</v>
      </c>
      <c r="E209" t="s">
        <v>4215</v>
      </c>
      <c r="F209" t="s">
        <v>17334</v>
      </c>
      <c r="G209">
        <v>3</v>
      </c>
      <c r="O209" t="s">
        <v>15843</v>
      </c>
    </row>
    <row r="210" spans="1:15">
      <c r="A210" t="s">
        <v>17333</v>
      </c>
      <c r="B210" t="s">
        <v>16529</v>
      </c>
      <c r="D210" t="s">
        <v>15844</v>
      </c>
      <c r="E210" t="s">
        <v>4215</v>
      </c>
      <c r="F210" t="s">
        <v>17334</v>
      </c>
      <c r="G210">
        <v>3</v>
      </c>
      <c r="O210" t="s">
        <v>15844</v>
      </c>
    </row>
    <row r="211" spans="1:15">
      <c r="A211" t="s">
        <v>17333</v>
      </c>
      <c r="B211" t="s">
        <v>16538</v>
      </c>
      <c r="D211" t="s">
        <v>15845</v>
      </c>
      <c r="E211" t="s">
        <v>4215</v>
      </c>
      <c r="F211" t="s">
        <v>17334</v>
      </c>
      <c r="G211">
        <v>3</v>
      </c>
      <c r="O211" t="s">
        <v>15845</v>
      </c>
    </row>
    <row r="212" spans="1:15">
      <c r="A212" t="s">
        <v>17333</v>
      </c>
      <c r="B212" t="s">
        <v>16686</v>
      </c>
      <c r="D212" t="s">
        <v>15846</v>
      </c>
      <c r="E212" t="s">
        <v>4215</v>
      </c>
      <c r="F212" t="s">
        <v>17334</v>
      </c>
      <c r="G212">
        <v>3</v>
      </c>
      <c r="O212" t="s">
        <v>15846</v>
      </c>
    </row>
    <row r="213" spans="1:15">
      <c r="A213" t="s">
        <v>17333</v>
      </c>
      <c r="B213" t="s">
        <v>16695</v>
      </c>
      <c r="D213" t="s">
        <v>15847</v>
      </c>
      <c r="E213" t="s">
        <v>4215</v>
      </c>
      <c r="F213" t="s">
        <v>17334</v>
      </c>
      <c r="G213">
        <v>3</v>
      </c>
      <c r="O213" t="s">
        <v>15847</v>
      </c>
    </row>
    <row r="214" spans="1:15">
      <c r="A214" t="s">
        <v>17333</v>
      </c>
      <c r="B214" t="s">
        <v>16704</v>
      </c>
      <c r="D214" t="s">
        <v>15848</v>
      </c>
      <c r="E214" t="s">
        <v>4215</v>
      </c>
      <c r="F214" t="s">
        <v>17334</v>
      </c>
      <c r="G214">
        <v>3</v>
      </c>
      <c r="O214" t="s">
        <v>15848</v>
      </c>
    </row>
    <row r="215" spans="1:15">
      <c r="A215" t="s">
        <v>17333</v>
      </c>
      <c r="B215" t="s">
        <v>16713</v>
      </c>
      <c r="D215" t="s">
        <v>15849</v>
      </c>
      <c r="E215" t="s">
        <v>4215</v>
      </c>
      <c r="F215" t="s">
        <v>17334</v>
      </c>
      <c r="G215">
        <v>3</v>
      </c>
      <c r="O215" t="s">
        <v>15849</v>
      </c>
    </row>
    <row r="216" spans="1:15">
      <c r="A216" t="s">
        <v>17333</v>
      </c>
      <c r="B216" t="s">
        <v>16722</v>
      </c>
      <c r="D216" t="s">
        <v>15850</v>
      </c>
      <c r="E216" t="s">
        <v>4215</v>
      </c>
      <c r="F216" t="s">
        <v>17334</v>
      </c>
      <c r="G216">
        <v>3</v>
      </c>
      <c r="O216" t="s">
        <v>15850</v>
      </c>
    </row>
    <row r="217" spans="1:15">
      <c r="A217" t="s">
        <v>17333</v>
      </c>
      <c r="B217" t="s">
        <v>16731</v>
      </c>
      <c r="D217" t="s">
        <v>15851</v>
      </c>
      <c r="E217" t="s">
        <v>4215</v>
      </c>
      <c r="F217" t="s">
        <v>17334</v>
      </c>
      <c r="G217">
        <v>3</v>
      </c>
      <c r="O217" t="s">
        <v>15851</v>
      </c>
    </row>
    <row r="218" spans="1:15">
      <c r="A218" t="s">
        <v>17333</v>
      </c>
      <c r="B218" t="s">
        <v>16740</v>
      </c>
      <c r="D218" t="s">
        <v>15852</v>
      </c>
      <c r="E218" t="s">
        <v>4215</v>
      </c>
      <c r="F218" t="s">
        <v>17334</v>
      </c>
      <c r="G218">
        <v>3</v>
      </c>
      <c r="O218" t="s">
        <v>15852</v>
      </c>
    </row>
    <row r="219" spans="1:15">
      <c r="A219" t="s">
        <v>17333</v>
      </c>
      <c r="B219" t="s">
        <v>16749</v>
      </c>
      <c r="D219" t="s">
        <v>15853</v>
      </c>
      <c r="E219" t="s">
        <v>4215</v>
      </c>
      <c r="F219" t="s">
        <v>17334</v>
      </c>
      <c r="G219">
        <v>3</v>
      </c>
      <c r="O219" t="s">
        <v>15853</v>
      </c>
    </row>
    <row r="220" spans="1:15">
      <c r="A220" t="s">
        <v>17333</v>
      </c>
      <c r="B220" t="s">
        <v>16757</v>
      </c>
      <c r="D220" t="s">
        <v>15854</v>
      </c>
      <c r="E220" t="s">
        <v>4215</v>
      </c>
      <c r="F220" t="s">
        <v>17334</v>
      </c>
      <c r="G220">
        <v>3</v>
      </c>
      <c r="O220" t="s">
        <v>15854</v>
      </c>
    </row>
    <row r="221" spans="1:15">
      <c r="A221" t="s">
        <v>17333</v>
      </c>
      <c r="B221" t="s">
        <v>16764</v>
      </c>
      <c r="D221" t="s">
        <v>15855</v>
      </c>
      <c r="E221" t="s">
        <v>4215</v>
      </c>
      <c r="F221" t="s">
        <v>17334</v>
      </c>
      <c r="G221">
        <v>3</v>
      </c>
      <c r="O221" t="s">
        <v>15855</v>
      </c>
    </row>
    <row r="222" spans="1:15">
      <c r="A222" t="s">
        <v>17333</v>
      </c>
      <c r="B222" t="s">
        <v>16771</v>
      </c>
      <c r="D222" t="s">
        <v>15856</v>
      </c>
      <c r="E222" t="s">
        <v>4215</v>
      </c>
      <c r="F222" t="s">
        <v>17334</v>
      </c>
      <c r="G222">
        <v>3</v>
      </c>
      <c r="O222" t="s">
        <v>15856</v>
      </c>
    </row>
    <row r="223" spans="1:15">
      <c r="A223" t="s">
        <v>17333</v>
      </c>
      <c r="B223" t="s">
        <v>16778</v>
      </c>
      <c r="D223" t="s">
        <v>15857</v>
      </c>
      <c r="E223" t="s">
        <v>4215</v>
      </c>
      <c r="F223" t="s">
        <v>17334</v>
      </c>
      <c r="G223">
        <v>3</v>
      </c>
      <c r="O223" t="s">
        <v>15857</v>
      </c>
    </row>
    <row r="224" spans="1:15">
      <c r="A224" t="s">
        <v>17333</v>
      </c>
      <c r="B224" t="s">
        <v>16785</v>
      </c>
      <c r="D224" t="s">
        <v>15858</v>
      </c>
      <c r="E224" t="s">
        <v>4215</v>
      </c>
      <c r="F224" t="s">
        <v>17334</v>
      </c>
      <c r="G224">
        <v>3</v>
      </c>
      <c r="O224" t="s">
        <v>15858</v>
      </c>
    </row>
    <row r="225" spans="1:15">
      <c r="A225" t="s">
        <v>17333</v>
      </c>
      <c r="B225" t="s">
        <v>16792</v>
      </c>
      <c r="D225" t="s">
        <v>15859</v>
      </c>
      <c r="E225" t="s">
        <v>4215</v>
      </c>
      <c r="F225" t="s">
        <v>17334</v>
      </c>
      <c r="G225">
        <v>3</v>
      </c>
      <c r="O225" t="s">
        <v>15859</v>
      </c>
    </row>
    <row r="226" spans="1:15">
      <c r="A226" t="s">
        <v>17333</v>
      </c>
      <c r="B226" t="s">
        <v>16799</v>
      </c>
      <c r="D226" t="s">
        <v>15860</v>
      </c>
      <c r="E226" t="s">
        <v>4215</v>
      </c>
      <c r="F226" t="s">
        <v>17334</v>
      </c>
      <c r="G226">
        <v>3</v>
      </c>
      <c r="O226" t="s">
        <v>15860</v>
      </c>
    </row>
    <row r="227" spans="1:15">
      <c r="A227" t="s">
        <v>17333</v>
      </c>
      <c r="B227" t="s">
        <v>16806</v>
      </c>
      <c r="D227" t="s">
        <v>15861</v>
      </c>
      <c r="E227" t="s">
        <v>4215</v>
      </c>
      <c r="F227" t="s">
        <v>17334</v>
      </c>
      <c r="G227">
        <v>3</v>
      </c>
      <c r="O227" t="s">
        <v>15861</v>
      </c>
    </row>
    <row r="228" spans="1:15">
      <c r="A228" t="s">
        <v>17333</v>
      </c>
      <c r="B228" t="s">
        <v>16813</v>
      </c>
      <c r="D228" t="s">
        <v>15862</v>
      </c>
      <c r="E228" t="s">
        <v>4215</v>
      </c>
      <c r="F228" t="s">
        <v>17334</v>
      </c>
      <c r="G228">
        <v>3</v>
      </c>
      <c r="O228" t="s">
        <v>15862</v>
      </c>
    </row>
    <row r="229" spans="1:15">
      <c r="A229" t="s">
        <v>17333</v>
      </c>
      <c r="B229" t="s">
        <v>16820</v>
      </c>
      <c r="D229" t="s">
        <v>15863</v>
      </c>
      <c r="E229" t="s">
        <v>4215</v>
      </c>
      <c r="F229" t="s">
        <v>17334</v>
      </c>
      <c r="G229">
        <v>3</v>
      </c>
      <c r="O229" t="s">
        <v>15863</v>
      </c>
    </row>
    <row r="230" spans="1:15">
      <c r="A230" t="s">
        <v>17333</v>
      </c>
      <c r="B230" t="s">
        <v>16827</v>
      </c>
      <c r="D230" t="s">
        <v>15864</v>
      </c>
      <c r="E230" t="s">
        <v>4215</v>
      </c>
      <c r="F230" t="s">
        <v>17334</v>
      </c>
      <c r="G230">
        <v>3</v>
      </c>
      <c r="O230" t="s">
        <v>15864</v>
      </c>
    </row>
    <row r="231" spans="1:15">
      <c r="A231" t="s">
        <v>17333</v>
      </c>
      <c r="B231" t="s">
        <v>16834</v>
      </c>
      <c r="D231" t="s">
        <v>15865</v>
      </c>
      <c r="E231" t="s">
        <v>4215</v>
      </c>
      <c r="F231" t="s">
        <v>17334</v>
      </c>
      <c r="G231">
        <v>3</v>
      </c>
      <c r="O231" t="s">
        <v>15865</v>
      </c>
    </row>
    <row r="232" spans="1:15">
      <c r="A232" t="s">
        <v>17333</v>
      </c>
      <c r="B232" t="s">
        <v>16841</v>
      </c>
      <c r="D232" t="s">
        <v>15866</v>
      </c>
      <c r="E232" t="s">
        <v>4215</v>
      </c>
      <c r="F232" t="s">
        <v>17334</v>
      </c>
      <c r="G232">
        <v>3</v>
      </c>
      <c r="O232" t="s">
        <v>15866</v>
      </c>
    </row>
    <row r="233" spans="1:15">
      <c r="A233" t="s">
        <v>17333</v>
      </c>
      <c r="B233" t="s">
        <v>16848</v>
      </c>
      <c r="D233" t="s">
        <v>15867</v>
      </c>
      <c r="E233" t="s">
        <v>4215</v>
      </c>
      <c r="F233" t="s">
        <v>17334</v>
      </c>
      <c r="G233">
        <v>3</v>
      </c>
      <c r="O233" t="s">
        <v>15867</v>
      </c>
    </row>
    <row r="234" spans="1:15">
      <c r="A234" t="s">
        <v>17333</v>
      </c>
      <c r="B234" t="s">
        <v>16855</v>
      </c>
      <c r="D234" t="s">
        <v>15868</v>
      </c>
      <c r="E234" t="s">
        <v>4215</v>
      </c>
      <c r="F234" t="s">
        <v>17334</v>
      </c>
      <c r="G234">
        <v>3</v>
      </c>
      <c r="O234" t="s">
        <v>15868</v>
      </c>
    </row>
    <row r="235" spans="1:15">
      <c r="A235" t="s">
        <v>17333</v>
      </c>
      <c r="B235" t="s">
        <v>16862</v>
      </c>
      <c r="D235" t="s">
        <v>15869</v>
      </c>
      <c r="E235" t="s">
        <v>4215</v>
      </c>
      <c r="F235" t="s">
        <v>17334</v>
      </c>
      <c r="G235">
        <v>3</v>
      </c>
      <c r="O235" t="s">
        <v>15869</v>
      </c>
    </row>
    <row r="236" spans="1:15">
      <c r="A236" t="s">
        <v>17333</v>
      </c>
      <c r="B236" t="s">
        <v>16869</v>
      </c>
      <c r="D236" t="s">
        <v>15870</v>
      </c>
      <c r="E236" t="s">
        <v>4215</v>
      </c>
      <c r="F236" t="s">
        <v>17334</v>
      </c>
      <c r="G236">
        <v>3</v>
      </c>
      <c r="O236" t="s">
        <v>15870</v>
      </c>
    </row>
    <row r="237" spans="1:15">
      <c r="A237" t="s">
        <v>17333</v>
      </c>
      <c r="B237" t="s">
        <v>16876</v>
      </c>
      <c r="D237" t="s">
        <v>15871</v>
      </c>
      <c r="E237" t="s">
        <v>4215</v>
      </c>
      <c r="F237" t="s">
        <v>17334</v>
      </c>
      <c r="G237">
        <v>3</v>
      </c>
      <c r="O237" t="s">
        <v>15871</v>
      </c>
    </row>
    <row r="238" spans="1:15">
      <c r="A238" t="s">
        <v>17333</v>
      </c>
      <c r="B238" t="s">
        <v>16883</v>
      </c>
      <c r="D238" t="s">
        <v>15872</v>
      </c>
      <c r="E238" t="s">
        <v>4215</v>
      </c>
      <c r="F238" t="s">
        <v>17334</v>
      </c>
      <c r="G238">
        <v>3</v>
      </c>
      <c r="O238" t="s">
        <v>15872</v>
      </c>
    </row>
    <row r="239" spans="1:15">
      <c r="A239" t="s">
        <v>17333</v>
      </c>
      <c r="B239" t="s">
        <v>16890</v>
      </c>
      <c r="D239" t="s">
        <v>15873</v>
      </c>
      <c r="E239" t="s">
        <v>4215</v>
      </c>
      <c r="F239" t="s">
        <v>17334</v>
      </c>
      <c r="G239">
        <v>3</v>
      </c>
      <c r="O239" t="s">
        <v>15873</v>
      </c>
    </row>
    <row r="240" spans="1:15">
      <c r="A240" t="s">
        <v>17333</v>
      </c>
      <c r="B240" t="s">
        <v>16687</v>
      </c>
      <c r="D240" t="s">
        <v>15874</v>
      </c>
      <c r="E240" t="s">
        <v>4215</v>
      </c>
      <c r="F240" t="s">
        <v>17334</v>
      </c>
      <c r="G240">
        <v>3</v>
      </c>
      <c r="O240" t="s">
        <v>15874</v>
      </c>
    </row>
    <row r="241" spans="1:15">
      <c r="A241" t="s">
        <v>17333</v>
      </c>
      <c r="B241" t="s">
        <v>16696</v>
      </c>
      <c r="D241" t="s">
        <v>15875</v>
      </c>
      <c r="E241" t="s">
        <v>4215</v>
      </c>
      <c r="F241" t="s">
        <v>17334</v>
      </c>
      <c r="G241">
        <v>3</v>
      </c>
      <c r="O241" t="s">
        <v>15875</v>
      </c>
    </row>
    <row r="242" spans="1:15">
      <c r="A242" t="s">
        <v>17333</v>
      </c>
      <c r="B242" t="s">
        <v>16705</v>
      </c>
      <c r="D242" t="s">
        <v>15876</v>
      </c>
      <c r="E242" t="s">
        <v>4215</v>
      </c>
      <c r="F242" t="s">
        <v>17334</v>
      </c>
      <c r="G242">
        <v>3</v>
      </c>
      <c r="O242" t="s">
        <v>15876</v>
      </c>
    </row>
    <row r="243" spans="1:15">
      <c r="A243" t="s">
        <v>17333</v>
      </c>
      <c r="B243" t="s">
        <v>16714</v>
      </c>
      <c r="D243" t="s">
        <v>15877</v>
      </c>
      <c r="E243" t="s">
        <v>4215</v>
      </c>
      <c r="F243" t="s">
        <v>17334</v>
      </c>
      <c r="G243">
        <v>3</v>
      </c>
      <c r="O243" t="s">
        <v>15877</v>
      </c>
    </row>
    <row r="244" spans="1:15">
      <c r="A244" t="s">
        <v>17333</v>
      </c>
      <c r="B244" t="s">
        <v>16723</v>
      </c>
      <c r="D244" t="s">
        <v>15878</v>
      </c>
      <c r="E244" t="s">
        <v>4215</v>
      </c>
      <c r="F244" t="s">
        <v>17334</v>
      </c>
      <c r="G244">
        <v>3</v>
      </c>
      <c r="O244" t="s">
        <v>15878</v>
      </c>
    </row>
    <row r="245" spans="1:15">
      <c r="A245" t="s">
        <v>17333</v>
      </c>
      <c r="B245" t="s">
        <v>16732</v>
      </c>
      <c r="D245" t="s">
        <v>15879</v>
      </c>
      <c r="E245" t="s">
        <v>4215</v>
      </c>
      <c r="F245" t="s">
        <v>17334</v>
      </c>
      <c r="G245">
        <v>3</v>
      </c>
      <c r="O245" t="s">
        <v>15879</v>
      </c>
    </row>
    <row r="246" spans="1:15">
      <c r="A246" t="s">
        <v>17333</v>
      </c>
      <c r="B246" t="s">
        <v>16741</v>
      </c>
      <c r="D246" t="s">
        <v>15880</v>
      </c>
      <c r="E246" t="s">
        <v>4215</v>
      </c>
      <c r="F246" t="s">
        <v>17334</v>
      </c>
      <c r="G246">
        <v>3</v>
      </c>
      <c r="O246" t="s">
        <v>15880</v>
      </c>
    </row>
    <row r="247" spans="1:15">
      <c r="A247" t="s">
        <v>17333</v>
      </c>
      <c r="B247" t="s">
        <v>16750</v>
      </c>
      <c r="D247" t="s">
        <v>15881</v>
      </c>
      <c r="E247" t="s">
        <v>4215</v>
      </c>
      <c r="F247" t="s">
        <v>17334</v>
      </c>
      <c r="G247">
        <v>3</v>
      </c>
      <c r="O247" t="s">
        <v>15881</v>
      </c>
    </row>
    <row r="248" spans="1:15">
      <c r="A248" t="s">
        <v>17333</v>
      </c>
      <c r="B248" t="s">
        <v>16758</v>
      </c>
      <c r="D248" t="s">
        <v>15882</v>
      </c>
      <c r="E248" t="s">
        <v>4215</v>
      </c>
      <c r="F248" t="s">
        <v>17334</v>
      </c>
      <c r="G248">
        <v>3</v>
      </c>
      <c r="O248" t="s">
        <v>15882</v>
      </c>
    </row>
    <row r="249" spans="1:15">
      <c r="A249" t="s">
        <v>17333</v>
      </c>
      <c r="B249" t="s">
        <v>16765</v>
      </c>
      <c r="D249" t="s">
        <v>15883</v>
      </c>
      <c r="E249" t="s">
        <v>4215</v>
      </c>
      <c r="F249" t="s">
        <v>17334</v>
      </c>
      <c r="G249">
        <v>3</v>
      </c>
      <c r="O249" t="s">
        <v>15883</v>
      </c>
    </row>
    <row r="250" spans="1:15">
      <c r="A250" t="s">
        <v>17333</v>
      </c>
      <c r="B250" t="s">
        <v>16772</v>
      </c>
      <c r="D250" t="s">
        <v>15884</v>
      </c>
      <c r="E250" t="s">
        <v>4215</v>
      </c>
      <c r="F250" t="s">
        <v>17334</v>
      </c>
      <c r="G250">
        <v>3</v>
      </c>
      <c r="O250" t="s">
        <v>15884</v>
      </c>
    </row>
    <row r="251" spans="1:15">
      <c r="A251" t="s">
        <v>17333</v>
      </c>
      <c r="B251" t="s">
        <v>16779</v>
      </c>
      <c r="D251" t="s">
        <v>15885</v>
      </c>
      <c r="E251" t="s">
        <v>4215</v>
      </c>
      <c r="F251" t="s">
        <v>17334</v>
      </c>
      <c r="G251">
        <v>3</v>
      </c>
      <c r="O251" t="s">
        <v>15885</v>
      </c>
    </row>
    <row r="252" spans="1:15">
      <c r="A252" t="s">
        <v>17333</v>
      </c>
      <c r="B252" t="s">
        <v>16786</v>
      </c>
      <c r="D252" t="s">
        <v>15886</v>
      </c>
      <c r="E252" t="s">
        <v>4215</v>
      </c>
      <c r="F252" t="s">
        <v>17334</v>
      </c>
      <c r="G252">
        <v>3</v>
      </c>
      <c r="O252" t="s">
        <v>15886</v>
      </c>
    </row>
    <row r="253" spans="1:15">
      <c r="A253" t="s">
        <v>17333</v>
      </c>
      <c r="B253" t="s">
        <v>16793</v>
      </c>
      <c r="D253" t="s">
        <v>15887</v>
      </c>
      <c r="E253" t="s">
        <v>4215</v>
      </c>
      <c r="F253" t="s">
        <v>17334</v>
      </c>
      <c r="G253">
        <v>3</v>
      </c>
      <c r="O253" t="s">
        <v>15887</v>
      </c>
    </row>
    <row r="254" spans="1:15">
      <c r="A254" t="s">
        <v>17333</v>
      </c>
      <c r="B254" t="s">
        <v>16800</v>
      </c>
      <c r="D254" t="s">
        <v>15888</v>
      </c>
      <c r="E254" t="s">
        <v>4215</v>
      </c>
      <c r="F254" t="s">
        <v>17334</v>
      </c>
      <c r="G254">
        <v>3</v>
      </c>
      <c r="O254" t="s">
        <v>15888</v>
      </c>
    </row>
    <row r="255" spans="1:15">
      <c r="A255" t="s">
        <v>17333</v>
      </c>
      <c r="B255" t="s">
        <v>16807</v>
      </c>
      <c r="D255" t="s">
        <v>15889</v>
      </c>
      <c r="E255" t="s">
        <v>4215</v>
      </c>
      <c r="F255" t="s">
        <v>17334</v>
      </c>
      <c r="G255">
        <v>3</v>
      </c>
      <c r="O255" t="s">
        <v>15889</v>
      </c>
    </row>
    <row r="256" spans="1:15">
      <c r="A256" t="s">
        <v>17333</v>
      </c>
      <c r="B256" t="s">
        <v>16814</v>
      </c>
      <c r="D256" t="s">
        <v>15890</v>
      </c>
      <c r="E256" t="s">
        <v>4215</v>
      </c>
      <c r="F256" t="s">
        <v>17334</v>
      </c>
      <c r="G256">
        <v>3</v>
      </c>
      <c r="O256" t="s">
        <v>15890</v>
      </c>
    </row>
    <row r="257" spans="1:15">
      <c r="A257" t="s">
        <v>17333</v>
      </c>
      <c r="B257" t="s">
        <v>16821</v>
      </c>
      <c r="D257" t="s">
        <v>15891</v>
      </c>
      <c r="E257" t="s">
        <v>4215</v>
      </c>
      <c r="F257" t="s">
        <v>17334</v>
      </c>
      <c r="G257">
        <v>3</v>
      </c>
      <c r="O257" t="s">
        <v>15891</v>
      </c>
    </row>
    <row r="258" spans="1:15">
      <c r="A258" t="s">
        <v>17333</v>
      </c>
      <c r="B258" t="s">
        <v>16828</v>
      </c>
      <c r="D258" t="s">
        <v>15892</v>
      </c>
      <c r="E258" t="s">
        <v>4215</v>
      </c>
      <c r="F258" t="s">
        <v>17334</v>
      </c>
      <c r="G258">
        <v>3</v>
      </c>
      <c r="O258" t="s">
        <v>15892</v>
      </c>
    </row>
    <row r="259" spans="1:15">
      <c r="A259" t="s">
        <v>17333</v>
      </c>
      <c r="B259" t="s">
        <v>16835</v>
      </c>
      <c r="D259" t="s">
        <v>15893</v>
      </c>
      <c r="E259" t="s">
        <v>4215</v>
      </c>
      <c r="F259" t="s">
        <v>17334</v>
      </c>
      <c r="G259">
        <v>3</v>
      </c>
      <c r="O259" t="s">
        <v>15893</v>
      </c>
    </row>
    <row r="260" spans="1:15">
      <c r="A260" t="s">
        <v>17333</v>
      </c>
      <c r="B260" t="s">
        <v>16842</v>
      </c>
      <c r="D260" t="s">
        <v>15894</v>
      </c>
      <c r="E260" t="s">
        <v>4215</v>
      </c>
      <c r="F260" t="s">
        <v>17334</v>
      </c>
      <c r="G260">
        <v>3</v>
      </c>
      <c r="O260" t="s">
        <v>15894</v>
      </c>
    </row>
    <row r="261" spans="1:15">
      <c r="A261" t="s">
        <v>17333</v>
      </c>
      <c r="B261" t="s">
        <v>16849</v>
      </c>
      <c r="D261" t="s">
        <v>15895</v>
      </c>
      <c r="E261" t="s">
        <v>4215</v>
      </c>
      <c r="F261" t="s">
        <v>17334</v>
      </c>
      <c r="G261">
        <v>3</v>
      </c>
      <c r="O261" t="s">
        <v>15895</v>
      </c>
    </row>
    <row r="262" spans="1:15">
      <c r="A262" t="s">
        <v>17333</v>
      </c>
      <c r="B262" t="s">
        <v>16856</v>
      </c>
      <c r="D262" t="s">
        <v>15896</v>
      </c>
      <c r="E262" t="s">
        <v>4215</v>
      </c>
      <c r="F262" t="s">
        <v>17334</v>
      </c>
      <c r="G262">
        <v>3</v>
      </c>
      <c r="O262" t="s">
        <v>15896</v>
      </c>
    </row>
    <row r="263" spans="1:15">
      <c r="A263" t="s">
        <v>17333</v>
      </c>
      <c r="B263" t="s">
        <v>16863</v>
      </c>
      <c r="D263" t="s">
        <v>15897</v>
      </c>
      <c r="E263" t="s">
        <v>4215</v>
      </c>
      <c r="F263" t="s">
        <v>17334</v>
      </c>
      <c r="G263">
        <v>3</v>
      </c>
      <c r="O263" t="s">
        <v>15897</v>
      </c>
    </row>
    <row r="264" spans="1:15">
      <c r="A264" t="s">
        <v>17333</v>
      </c>
      <c r="B264" t="s">
        <v>16870</v>
      </c>
      <c r="D264" t="s">
        <v>15898</v>
      </c>
      <c r="E264" t="s">
        <v>4215</v>
      </c>
      <c r="F264" t="s">
        <v>17334</v>
      </c>
      <c r="G264">
        <v>3</v>
      </c>
      <c r="O264" t="s">
        <v>15898</v>
      </c>
    </row>
    <row r="265" spans="1:15">
      <c r="A265" t="s">
        <v>17333</v>
      </c>
      <c r="B265" t="s">
        <v>16877</v>
      </c>
      <c r="D265" t="s">
        <v>15899</v>
      </c>
      <c r="E265" t="s">
        <v>4215</v>
      </c>
      <c r="F265" t="s">
        <v>17334</v>
      </c>
      <c r="G265">
        <v>3</v>
      </c>
      <c r="O265" t="s">
        <v>15899</v>
      </c>
    </row>
    <row r="266" spans="1:15">
      <c r="A266" t="s">
        <v>17333</v>
      </c>
      <c r="B266" t="s">
        <v>16884</v>
      </c>
      <c r="D266" t="s">
        <v>15900</v>
      </c>
      <c r="E266" t="s">
        <v>4215</v>
      </c>
      <c r="F266" t="s">
        <v>17334</v>
      </c>
      <c r="G266">
        <v>3</v>
      </c>
      <c r="O266" t="s">
        <v>15900</v>
      </c>
    </row>
    <row r="267" spans="1:15">
      <c r="A267" t="s">
        <v>17333</v>
      </c>
      <c r="B267" t="s">
        <v>16891</v>
      </c>
      <c r="D267" t="s">
        <v>15901</v>
      </c>
      <c r="E267" t="s">
        <v>4215</v>
      </c>
      <c r="F267" t="s">
        <v>17334</v>
      </c>
      <c r="G267">
        <v>3</v>
      </c>
      <c r="O267" t="s">
        <v>15901</v>
      </c>
    </row>
    <row r="268" spans="1:15">
      <c r="A268" t="s">
        <v>17333</v>
      </c>
      <c r="B268" t="s">
        <v>16688</v>
      </c>
      <c r="D268" t="s">
        <v>15902</v>
      </c>
      <c r="E268" t="s">
        <v>4215</v>
      </c>
      <c r="F268" t="s">
        <v>17334</v>
      </c>
      <c r="G268">
        <v>3</v>
      </c>
      <c r="O268" t="s">
        <v>15902</v>
      </c>
    </row>
    <row r="269" spans="1:15">
      <c r="A269" t="s">
        <v>17333</v>
      </c>
      <c r="B269" t="s">
        <v>16697</v>
      </c>
      <c r="D269" t="s">
        <v>15903</v>
      </c>
      <c r="E269" t="s">
        <v>4215</v>
      </c>
      <c r="F269" t="s">
        <v>17334</v>
      </c>
      <c r="G269">
        <v>3</v>
      </c>
      <c r="O269" t="s">
        <v>15903</v>
      </c>
    </row>
    <row r="270" spans="1:15">
      <c r="A270" t="s">
        <v>17333</v>
      </c>
      <c r="B270" t="s">
        <v>16706</v>
      </c>
      <c r="D270" t="s">
        <v>15904</v>
      </c>
      <c r="E270" t="s">
        <v>4215</v>
      </c>
      <c r="F270" t="s">
        <v>17334</v>
      </c>
      <c r="G270">
        <v>3</v>
      </c>
      <c r="O270" t="s">
        <v>15904</v>
      </c>
    </row>
    <row r="271" spans="1:15">
      <c r="A271" t="s">
        <v>17333</v>
      </c>
      <c r="B271" t="s">
        <v>16715</v>
      </c>
      <c r="D271" t="s">
        <v>15905</v>
      </c>
      <c r="E271" t="s">
        <v>4215</v>
      </c>
      <c r="F271" t="s">
        <v>17334</v>
      </c>
      <c r="G271">
        <v>3</v>
      </c>
      <c r="O271" t="s">
        <v>15905</v>
      </c>
    </row>
    <row r="272" spans="1:15">
      <c r="A272" t="s">
        <v>17333</v>
      </c>
      <c r="B272" t="s">
        <v>16724</v>
      </c>
      <c r="D272" t="s">
        <v>15906</v>
      </c>
      <c r="E272" t="s">
        <v>4215</v>
      </c>
      <c r="F272" t="s">
        <v>17334</v>
      </c>
      <c r="G272">
        <v>3</v>
      </c>
      <c r="O272" t="s">
        <v>15906</v>
      </c>
    </row>
    <row r="273" spans="1:15">
      <c r="A273" t="s">
        <v>17333</v>
      </c>
      <c r="B273" t="s">
        <v>16733</v>
      </c>
      <c r="D273" t="s">
        <v>15907</v>
      </c>
      <c r="E273" t="s">
        <v>4215</v>
      </c>
      <c r="F273" t="s">
        <v>17334</v>
      </c>
      <c r="G273">
        <v>3</v>
      </c>
      <c r="O273" t="s">
        <v>15907</v>
      </c>
    </row>
    <row r="274" spans="1:15">
      <c r="A274" t="s">
        <v>17333</v>
      </c>
      <c r="B274" t="s">
        <v>16742</v>
      </c>
      <c r="D274" t="s">
        <v>15908</v>
      </c>
      <c r="E274" t="s">
        <v>4215</v>
      </c>
      <c r="F274" t="s">
        <v>17334</v>
      </c>
      <c r="G274">
        <v>3</v>
      </c>
      <c r="O274" t="s">
        <v>15908</v>
      </c>
    </row>
    <row r="275" spans="1:15">
      <c r="A275" t="s">
        <v>17333</v>
      </c>
      <c r="B275" t="s">
        <v>16751</v>
      </c>
      <c r="D275" t="s">
        <v>15909</v>
      </c>
      <c r="E275" t="s">
        <v>4215</v>
      </c>
      <c r="F275" t="s">
        <v>17334</v>
      </c>
      <c r="G275">
        <v>3</v>
      </c>
      <c r="O275" t="s">
        <v>15909</v>
      </c>
    </row>
    <row r="276" spans="1:15">
      <c r="A276" t="s">
        <v>17333</v>
      </c>
      <c r="B276" t="s">
        <v>16759</v>
      </c>
      <c r="D276" t="s">
        <v>15910</v>
      </c>
      <c r="E276" t="s">
        <v>4215</v>
      </c>
      <c r="F276" t="s">
        <v>17334</v>
      </c>
      <c r="G276">
        <v>3</v>
      </c>
      <c r="O276" t="s">
        <v>15910</v>
      </c>
    </row>
    <row r="277" spans="1:15">
      <c r="A277" t="s">
        <v>17333</v>
      </c>
      <c r="B277" t="s">
        <v>16766</v>
      </c>
      <c r="D277" t="s">
        <v>15911</v>
      </c>
      <c r="E277" t="s">
        <v>4215</v>
      </c>
      <c r="F277" t="s">
        <v>17334</v>
      </c>
      <c r="G277">
        <v>3</v>
      </c>
      <c r="O277" t="s">
        <v>15911</v>
      </c>
    </row>
    <row r="278" spans="1:15">
      <c r="A278" t="s">
        <v>17333</v>
      </c>
      <c r="B278" t="s">
        <v>16773</v>
      </c>
      <c r="D278" t="s">
        <v>15912</v>
      </c>
      <c r="E278" t="s">
        <v>4215</v>
      </c>
      <c r="F278" t="s">
        <v>17334</v>
      </c>
      <c r="G278">
        <v>3</v>
      </c>
      <c r="O278" t="s">
        <v>15912</v>
      </c>
    </row>
    <row r="279" spans="1:15">
      <c r="A279" t="s">
        <v>17333</v>
      </c>
      <c r="B279" t="s">
        <v>16780</v>
      </c>
      <c r="D279" t="s">
        <v>15913</v>
      </c>
      <c r="E279" t="s">
        <v>4215</v>
      </c>
      <c r="F279" t="s">
        <v>17334</v>
      </c>
      <c r="G279">
        <v>3</v>
      </c>
      <c r="O279" t="s">
        <v>15913</v>
      </c>
    </row>
    <row r="280" spans="1:15">
      <c r="A280" t="s">
        <v>17333</v>
      </c>
      <c r="B280" t="s">
        <v>16787</v>
      </c>
      <c r="D280" t="s">
        <v>15914</v>
      </c>
      <c r="E280" t="s">
        <v>4215</v>
      </c>
      <c r="F280" t="s">
        <v>17334</v>
      </c>
      <c r="G280">
        <v>3</v>
      </c>
      <c r="O280" t="s">
        <v>15914</v>
      </c>
    </row>
    <row r="281" spans="1:15">
      <c r="A281" t="s">
        <v>17333</v>
      </c>
      <c r="B281" t="s">
        <v>16794</v>
      </c>
      <c r="D281" t="s">
        <v>15915</v>
      </c>
      <c r="E281" t="s">
        <v>4215</v>
      </c>
      <c r="F281" t="s">
        <v>17334</v>
      </c>
      <c r="G281">
        <v>3</v>
      </c>
      <c r="O281" t="s">
        <v>15915</v>
      </c>
    </row>
    <row r="282" spans="1:15">
      <c r="A282" t="s">
        <v>17333</v>
      </c>
      <c r="B282" t="s">
        <v>16801</v>
      </c>
      <c r="D282" t="s">
        <v>15916</v>
      </c>
      <c r="E282" t="s">
        <v>4215</v>
      </c>
      <c r="F282" t="s">
        <v>17334</v>
      </c>
      <c r="G282">
        <v>3</v>
      </c>
      <c r="O282" t="s">
        <v>15916</v>
      </c>
    </row>
    <row r="283" spans="1:15">
      <c r="A283" t="s">
        <v>17333</v>
      </c>
      <c r="B283" t="s">
        <v>16808</v>
      </c>
      <c r="D283" t="s">
        <v>15917</v>
      </c>
      <c r="E283" t="s">
        <v>4215</v>
      </c>
      <c r="F283" t="s">
        <v>17334</v>
      </c>
      <c r="G283">
        <v>3</v>
      </c>
      <c r="O283" t="s">
        <v>15917</v>
      </c>
    </row>
    <row r="284" spans="1:15">
      <c r="A284" t="s">
        <v>17333</v>
      </c>
      <c r="B284" t="s">
        <v>16815</v>
      </c>
      <c r="D284" t="s">
        <v>15918</v>
      </c>
      <c r="E284" t="s">
        <v>4215</v>
      </c>
      <c r="F284" t="s">
        <v>17334</v>
      </c>
      <c r="G284">
        <v>3</v>
      </c>
      <c r="O284" t="s">
        <v>15918</v>
      </c>
    </row>
    <row r="285" spans="1:15">
      <c r="A285" t="s">
        <v>17333</v>
      </c>
      <c r="B285" t="s">
        <v>16822</v>
      </c>
      <c r="D285" t="s">
        <v>15919</v>
      </c>
      <c r="E285" t="s">
        <v>4215</v>
      </c>
      <c r="F285" t="s">
        <v>17334</v>
      </c>
      <c r="G285">
        <v>3</v>
      </c>
      <c r="O285" t="s">
        <v>15919</v>
      </c>
    </row>
    <row r="286" spans="1:15">
      <c r="A286" t="s">
        <v>17333</v>
      </c>
      <c r="B286" t="s">
        <v>16829</v>
      </c>
      <c r="D286" t="s">
        <v>15920</v>
      </c>
      <c r="E286" t="s">
        <v>4215</v>
      </c>
      <c r="F286" t="s">
        <v>17334</v>
      </c>
      <c r="G286">
        <v>3</v>
      </c>
      <c r="O286" t="s">
        <v>15920</v>
      </c>
    </row>
    <row r="287" spans="1:15">
      <c r="A287" t="s">
        <v>17333</v>
      </c>
      <c r="B287" t="s">
        <v>16836</v>
      </c>
      <c r="D287" t="s">
        <v>15921</v>
      </c>
      <c r="E287" t="s">
        <v>4215</v>
      </c>
      <c r="F287" t="s">
        <v>17334</v>
      </c>
      <c r="G287">
        <v>3</v>
      </c>
      <c r="O287" t="s">
        <v>15921</v>
      </c>
    </row>
    <row r="288" spans="1:15">
      <c r="A288" t="s">
        <v>17333</v>
      </c>
      <c r="B288" t="s">
        <v>16843</v>
      </c>
      <c r="D288" t="s">
        <v>15922</v>
      </c>
      <c r="E288" t="s">
        <v>4215</v>
      </c>
      <c r="F288" t="s">
        <v>17334</v>
      </c>
      <c r="G288">
        <v>3</v>
      </c>
      <c r="O288" t="s">
        <v>15922</v>
      </c>
    </row>
    <row r="289" spans="1:15">
      <c r="A289" t="s">
        <v>17333</v>
      </c>
      <c r="B289" t="s">
        <v>16850</v>
      </c>
      <c r="D289" t="s">
        <v>15923</v>
      </c>
      <c r="E289" t="s">
        <v>4215</v>
      </c>
      <c r="F289" t="s">
        <v>17334</v>
      </c>
      <c r="G289">
        <v>3</v>
      </c>
      <c r="O289" t="s">
        <v>15923</v>
      </c>
    </row>
    <row r="290" spans="1:15">
      <c r="A290" t="s">
        <v>17333</v>
      </c>
      <c r="B290" t="s">
        <v>16857</v>
      </c>
      <c r="D290" t="s">
        <v>15924</v>
      </c>
      <c r="E290" t="s">
        <v>4215</v>
      </c>
      <c r="F290" t="s">
        <v>17334</v>
      </c>
      <c r="G290">
        <v>3</v>
      </c>
      <c r="O290" t="s">
        <v>15924</v>
      </c>
    </row>
    <row r="291" spans="1:15">
      <c r="A291" t="s">
        <v>17333</v>
      </c>
      <c r="B291" t="s">
        <v>16864</v>
      </c>
      <c r="D291" t="s">
        <v>15925</v>
      </c>
      <c r="E291" t="s">
        <v>4215</v>
      </c>
      <c r="F291" t="s">
        <v>17334</v>
      </c>
      <c r="G291">
        <v>3</v>
      </c>
      <c r="O291" t="s">
        <v>15925</v>
      </c>
    </row>
    <row r="292" spans="1:15">
      <c r="A292" t="s">
        <v>17333</v>
      </c>
      <c r="B292" t="s">
        <v>16871</v>
      </c>
      <c r="D292" t="s">
        <v>15926</v>
      </c>
      <c r="E292" t="s">
        <v>4215</v>
      </c>
      <c r="F292" t="s">
        <v>17334</v>
      </c>
      <c r="G292">
        <v>3</v>
      </c>
      <c r="O292" t="s">
        <v>15926</v>
      </c>
    </row>
    <row r="293" spans="1:15">
      <c r="A293" t="s">
        <v>17333</v>
      </c>
      <c r="B293" t="s">
        <v>16878</v>
      </c>
      <c r="D293" t="s">
        <v>15927</v>
      </c>
      <c r="E293" t="s">
        <v>4215</v>
      </c>
      <c r="F293" t="s">
        <v>17334</v>
      </c>
      <c r="G293">
        <v>3</v>
      </c>
      <c r="O293" t="s">
        <v>15927</v>
      </c>
    </row>
    <row r="294" spans="1:15">
      <c r="A294" t="s">
        <v>17333</v>
      </c>
      <c r="B294" t="s">
        <v>16885</v>
      </c>
      <c r="D294" t="s">
        <v>15928</v>
      </c>
      <c r="E294" t="s">
        <v>4215</v>
      </c>
      <c r="F294" t="s">
        <v>17334</v>
      </c>
      <c r="G294">
        <v>3</v>
      </c>
      <c r="O294" t="s">
        <v>15928</v>
      </c>
    </row>
    <row r="295" spans="1:15">
      <c r="A295" t="s">
        <v>17333</v>
      </c>
      <c r="B295" t="s">
        <v>16892</v>
      </c>
      <c r="D295" t="s">
        <v>15929</v>
      </c>
      <c r="E295" t="s">
        <v>4215</v>
      </c>
      <c r="F295" t="s">
        <v>17334</v>
      </c>
      <c r="G295">
        <v>3</v>
      </c>
      <c r="O295" t="s">
        <v>15929</v>
      </c>
    </row>
    <row r="296" spans="1:15">
      <c r="A296" t="s">
        <v>17333</v>
      </c>
      <c r="B296" t="s">
        <v>16689</v>
      </c>
      <c r="D296" t="s">
        <v>15930</v>
      </c>
      <c r="E296" t="s">
        <v>4215</v>
      </c>
      <c r="F296" t="s">
        <v>17334</v>
      </c>
      <c r="G296">
        <v>3</v>
      </c>
      <c r="O296" t="s">
        <v>15930</v>
      </c>
    </row>
    <row r="297" spans="1:15">
      <c r="A297" t="s">
        <v>17333</v>
      </c>
      <c r="B297" t="s">
        <v>16698</v>
      </c>
      <c r="D297" t="s">
        <v>15931</v>
      </c>
      <c r="E297" t="s">
        <v>4215</v>
      </c>
      <c r="F297" t="s">
        <v>17334</v>
      </c>
      <c r="G297">
        <v>3</v>
      </c>
      <c r="O297" t="s">
        <v>15931</v>
      </c>
    </row>
    <row r="298" spans="1:15">
      <c r="A298" t="s">
        <v>17333</v>
      </c>
      <c r="B298" t="s">
        <v>16707</v>
      </c>
      <c r="D298" t="s">
        <v>15932</v>
      </c>
      <c r="E298" t="s">
        <v>4215</v>
      </c>
      <c r="F298" t="s">
        <v>17334</v>
      </c>
      <c r="G298">
        <v>3</v>
      </c>
      <c r="O298" t="s">
        <v>15932</v>
      </c>
    </row>
    <row r="299" spans="1:15">
      <c r="A299" t="s">
        <v>17333</v>
      </c>
      <c r="B299" t="s">
        <v>16716</v>
      </c>
      <c r="D299" t="s">
        <v>15933</v>
      </c>
      <c r="E299" t="s">
        <v>4215</v>
      </c>
      <c r="F299" t="s">
        <v>17334</v>
      </c>
      <c r="G299">
        <v>3</v>
      </c>
      <c r="O299" t="s">
        <v>15933</v>
      </c>
    </row>
    <row r="300" spans="1:15">
      <c r="A300" t="s">
        <v>17333</v>
      </c>
      <c r="B300" t="s">
        <v>16725</v>
      </c>
      <c r="D300" t="s">
        <v>15934</v>
      </c>
      <c r="E300" t="s">
        <v>4215</v>
      </c>
      <c r="F300" t="s">
        <v>17334</v>
      </c>
      <c r="G300">
        <v>3</v>
      </c>
      <c r="O300" t="s">
        <v>15934</v>
      </c>
    </row>
    <row r="301" spans="1:15">
      <c r="A301" t="s">
        <v>17333</v>
      </c>
      <c r="B301" t="s">
        <v>16734</v>
      </c>
      <c r="D301" t="s">
        <v>15935</v>
      </c>
      <c r="E301" t="s">
        <v>4215</v>
      </c>
      <c r="F301" t="s">
        <v>17334</v>
      </c>
      <c r="G301">
        <v>3</v>
      </c>
      <c r="O301" t="s">
        <v>15935</v>
      </c>
    </row>
    <row r="302" spans="1:15">
      <c r="A302" t="s">
        <v>17333</v>
      </c>
      <c r="B302" t="s">
        <v>16743</v>
      </c>
      <c r="D302" t="s">
        <v>15936</v>
      </c>
      <c r="E302" t="s">
        <v>4215</v>
      </c>
      <c r="F302" t="s">
        <v>17334</v>
      </c>
      <c r="G302">
        <v>3</v>
      </c>
      <c r="O302" t="s">
        <v>15936</v>
      </c>
    </row>
    <row r="303" spans="1:15">
      <c r="A303" t="s">
        <v>17333</v>
      </c>
      <c r="B303" t="s">
        <v>16752</v>
      </c>
      <c r="D303" t="s">
        <v>15937</v>
      </c>
      <c r="E303" t="s">
        <v>4215</v>
      </c>
      <c r="F303" t="s">
        <v>17334</v>
      </c>
      <c r="G303">
        <v>3</v>
      </c>
      <c r="O303" t="s">
        <v>15937</v>
      </c>
    </row>
    <row r="304" spans="1:15">
      <c r="A304" t="s">
        <v>17333</v>
      </c>
      <c r="B304" t="s">
        <v>16760</v>
      </c>
      <c r="D304" t="s">
        <v>15938</v>
      </c>
      <c r="E304" t="s">
        <v>4215</v>
      </c>
      <c r="F304" t="s">
        <v>17334</v>
      </c>
      <c r="G304">
        <v>3</v>
      </c>
      <c r="O304" t="s">
        <v>15938</v>
      </c>
    </row>
    <row r="305" spans="1:15">
      <c r="A305" t="s">
        <v>17333</v>
      </c>
      <c r="B305" t="s">
        <v>16767</v>
      </c>
      <c r="D305" t="s">
        <v>15939</v>
      </c>
      <c r="E305" t="s">
        <v>4215</v>
      </c>
      <c r="F305" t="s">
        <v>17334</v>
      </c>
      <c r="G305">
        <v>3</v>
      </c>
      <c r="O305" t="s">
        <v>15939</v>
      </c>
    </row>
    <row r="306" spans="1:15">
      <c r="A306" t="s">
        <v>17333</v>
      </c>
      <c r="B306" t="s">
        <v>16774</v>
      </c>
      <c r="D306" t="s">
        <v>15940</v>
      </c>
      <c r="E306" t="s">
        <v>4215</v>
      </c>
      <c r="F306" t="s">
        <v>17334</v>
      </c>
      <c r="G306">
        <v>3</v>
      </c>
      <c r="O306" t="s">
        <v>15940</v>
      </c>
    </row>
    <row r="307" spans="1:15">
      <c r="A307" t="s">
        <v>17333</v>
      </c>
      <c r="B307" t="s">
        <v>16781</v>
      </c>
      <c r="D307" t="s">
        <v>15941</v>
      </c>
      <c r="E307" t="s">
        <v>4215</v>
      </c>
      <c r="F307" t="s">
        <v>17334</v>
      </c>
      <c r="G307">
        <v>3</v>
      </c>
      <c r="O307" t="s">
        <v>15941</v>
      </c>
    </row>
    <row r="308" spans="1:15">
      <c r="A308" t="s">
        <v>17333</v>
      </c>
      <c r="B308" t="s">
        <v>16788</v>
      </c>
      <c r="D308" t="s">
        <v>15942</v>
      </c>
      <c r="E308" t="s">
        <v>4215</v>
      </c>
      <c r="F308" t="s">
        <v>17334</v>
      </c>
      <c r="G308">
        <v>3</v>
      </c>
      <c r="O308" t="s">
        <v>15942</v>
      </c>
    </row>
    <row r="309" spans="1:15">
      <c r="A309" t="s">
        <v>17333</v>
      </c>
      <c r="B309" t="s">
        <v>16795</v>
      </c>
      <c r="D309" t="s">
        <v>15943</v>
      </c>
      <c r="E309" t="s">
        <v>4215</v>
      </c>
      <c r="F309" t="s">
        <v>17334</v>
      </c>
      <c r="G309">
        <v>3</v>
      </c>
      <c r="O309" t="s">
        <v>15943</v>
      </c>
    </row>
    <row r="310" spans="1:15">
      <c r="A310" t="s">
        <v>17333</v>
      </c>
      <c r="B310" t="s">
        <v>16802</v>
      </c>
      <c r="D310" t="s">
        <v>15944</v>
      </c>
      <c r="E310" t="s">
        <v>4215</v>
      </c>
      <c r="F310" t="s">
        <v>17334</v>
      </c>
      <c r="G310">
        <v>3</v>
      </c>
      <c r="O310" t="s">
        <v>15944</v>
      </c>
    </row>
    <row r="311" spans="1:15">
      <c r="A311" t="s">
        <v>17333</v>
      </c>
      <c r="B311" t="s">
        <v>16809</v>
      </c>
      <c r="D311" t="s">
        <v>15945</v>
      </c>
      <c r="E311" t="s">
        <v>4215</v>
      </c>
      <c r="F311" t="s">
        <v>17334</v>
      </c>
      <c r="G311">
        <v>3</v>
      </c>
      <c r="O311" t="s">
        <v>15945</v>
      </c>
    </row>
    <row r="312" spans="1:15">
      <c r="A312" t="s">
        <v>17333</v>
      </c>
      <c r="B312" t="s">
        <v>16816</v>
      </c>
      <c r="D312" t="s">
        <v>15946</v>
      </c>
      <c r="E312" t="s">
        <v>4215</v>
      </c>
      <c r="F312" t="s">
        <v>17334</v>
      </c>
      <c r="G312">
        <v>3</v>
      </c>
      <c r="O312" t="s">
        <v>15946</v>
      </c>
    </row>
    <row r="313" spans="1:15">
      <c r="A313" t="s">
        <v>17333</v>
      </c>
      <c r="B313" t="s">
        <v>16823</v>
      </c>
      <c r="D313" t="s">
        <v>15947</v>
      </c>
      <c r="E313" t="s">
        <v>4215</v>
      </c>
      <c r="F313" t="s">
        <v>17334</v>
      </c>
      <c r="G313">
        <v>3</v>
      </c>
      <c r="O313" t="s">
        <v>15947</v>
      </c>
    </row>
    <row r="314" spans="1:15">
      <c r="A314" t="s">
        <v>17333</v>
      </c>
      <c r="B314" t="s">
        <v>16830</v>
      </c>
      <c r="D314" t="s">
        <v>15948</v>
      </c>
      <c r="E314" t="s">
        <v>4215</v>
      </c>
      <c r="F314" t="s">
        <v>17334</v>
      </c>
      <c r="G314">
        <v>3</v>
      </c>
      <c r="O314" t="s">
        <v>15948</v>
      </c>
    </row>
    <row r="315" spans="1:15">
      <c r="A315" t="s">
        <v>17333</v>
      </c>
      <c r="B315" t="s">
        <v>16837</v>
      </c>
      <c r="D315" t="s">
        <v>15949</v>
      </c>
      <c r="E315" t="s">
        <v>4215</v>
      </c>
      <c r="F315" t="s">
        <v>17334</v>
      </c>
      <c r="G315">
        <v>3</v>
      </c>
      <c r="O315" t="s">
        <v>15949</v>
      </c>
    </row>
    <row r="316" spans="1:15">
      <c r="A316" t="s">
        <v>17333</v>
      </c>
      <c r="B316" t="s">
        <v>16844</v>
      </c>
      <c r="D316" t="s">
        <v>15950</v>
      </c>
      <c r="E316" t="s">
        <v>4215</v>
      </c>
      <c r="F316" t="s">
        <v>17334</v>
      </c>
      <c r="G316">
        <v>3</v>
      </c>
      <c r="O316" t="s">
        <v>15950</v>
      </c>
    </row>
    <row r="317" spans="1:15">
      <c r="A317" t="s">
        <v>17333</v>
      </c>
      <c r="B317" t="s">
        <v>16851</v>
      </c>
      <c r="D317" t="s">
        <v>15951</v>
      </c>
      <c r="E317" t="s">
        <v>4215</v>
      </c>
      <c r="F317" t="s">
        <v>17334</v>
      </c>
      <c r="G317">
        <v>3</v>
      </c>
      <c r="O317" t="s">
        <v>15951</v>
      </c>
    </row>
    <row r="318" spans="1:15">
      <c r="A318" t="s">
        <v>17333</v>
      </c>
      <c r="B318" t="s">
        <v>16858</v>
      </c>
      <c r="D318" t="s">
        <v>15952</v>
      </c>
      <c r="E318" t="s">
        <v>4215</v>
      </c>
      <c r="F318" t="s">
        <v>17334</v>
      </c>
      <c r="G318">
        <v>3</v>
      </c>
      <c r="O318" t="s">
        <v>15952</v>
      </c>
    </row>
    <row r="319" spans="1:15">
      <c r="A319" t="s">
        <v>17333</v>
      </c>
      <c r="B319" t="s">
        <v>16865</v>
      </c>
      <c r="D319" t="s">
        <v>15953</v>
      </c>
      <c r="E319" t="s">
        <v>4215</v>
      </c>
      <c r="F319" t="s">
        <v>17334</v>
      </c>
      <c r="G319">
        <v>3</v>
      </c>
      <c r="O319" t="s">
        <v>15953</v>
      </c>
    </row>
    <row r="320" spans="1:15">
      <c r="A320" t="s">
        <v>17333</v>
      </c>
      <c r="B320" t="s">
        <v>16872</v>
      </c>
      <c r="D320" t="s">
        <v>15954</v>
      </c>
      <c r="E320" t="s">
        <v>4215</v>
      </c>
      <c r="F320" t="s">
        <v>17334</v>
      </c>
      <c r="G320">
        <v>3</v>
      </c>
      <c r="O320" t="s">
        <v>15954</v>
      </c>
    </row>
    <row r="321" spans="1:15">
      <c r="A321" t="s">
        <v>17333</v>
      </c>
      <c r="B321" t="s">
        <v>16879</v>
      </c>
      <c r="D321" t="s">
        <v>15955</v>
      </c>
      <c r="E321" t="s">
        <v>4215</v>
      </c>
      <c r="F321" t="s">
        <v>17334</v>
      </c>
      <c r="G321">
        <v>3</v>
      </c>
      <c r="O321" t="s">
        <v>15955</v>
      </c>
    </row>
    <row r="322" spans="1:15">
      <c r="A322" t="s">
        <v>17333</v>
      </c>
      <c r="B322" t="s">
        <v>16886</v>
      </c>
      <c r="D322" t="s">
        <v>15956</v>
      </c>
      <c r="E322" t="s">
        <v>4215</v>
      </c>
      <c r="F322" t="s">
        <v>17334</v>
      </c>
      <c r="G322">
        <v>3</v>
      </c>
      <c r="O322" t="s">
        <v>15956</v>
      </c>
    </row>
    <row r="323" spans="1:15">
      <c r="A323" t="s">
        <v>17333</v>
      </c>
      <c r="B323" t="s">
        <v>16893</v>
      </c>
      <c r="D323" t="s">
        <v>15957</v>
      </c>
      <c r="E323" t="s">
        <v>4215</v>
      </c>
      <c r="F323" t="s">
        <v>17334</v>
      </c>
      <c r="G323">
        <v>3</v>
      </c>
      <c r="O323" t="s">
        <v>15957</v>
      </c>
    </row>
    <row r="324" spans="1:15">
      <c r="A324" t="s">
        <v>17333</v>
      </c>
      <c r="B324" t="s">
        <v>16690</v>
      </c>
      <c r="D324" t="s">
        <v>15958</v>
      </c>
      <c r="E324" t="s">
        <v>4215</v>
      </c>
      <c r="F324" t="s">
        <v>17334</v>
      </c>
      <c r="G324">
        <v>3</v>
      </c>
      <c r="O324" t="s">
        <v>15958</v>
      </c>
    </row>
    <row r="325" spans="1:15">
      <c r="A325" t="s">
        <v>17333</v>
      </c>
      <c r="B325" t="s">
        <v>16699</v>
      </c>
      <c r="D325" t="s">
        <v>15959</v>
      </c>
      <c r="E325" t="s">
        <v>4215</v>
      </c>
      <c r="F325" t="s">
        <v>17334</v>
      </c>
      <c r="G325">
        <v>3</v>
      </c>
      <c r="O325" t="s">
        <v>15959</v>
      </c>
    </row>
    <row r="326" spans="1:15">
      <c r="A326" t="s">
        <v>17333</v>
      </c>
      <c r="B326" t="s">
        <v>16708</v>
      </c>
      <c r="D326" t="s">
        <v>15960</v>
      </c>
      <c r="E326" t="s">
        <v>4215</v>
      </c>
      <c r="F326" t="s">
        <v>17334</v>
      </c>
      <c r="G326">
        <v>3</v>
      </c>
      <c r="O326" t="s">
        <v>15960</v>
      </c>
    </row>
    <row r="327" spans="1:15">
      <c r="A327" t="s">
        <v>17333</v>
      </c>
      <c r="B327" t="s">
        <v>16717</v>
      </c>
      <c r="D327" t="s">
        <v>15961</v>
      </c>
      <c r="E327" t="s">
        <v>4215</v>
      </c>
      <c r="F327" t="s">
        <v>17334</v>
      </c>
      <c r="G327">
        <v>3</v>
      </c>
      <c r="O327" t="s">
        <v>15961</v>
      </c>
    </row>
    <row r="328" spans="1:15">
      <c r="A328" t="s">
        <v>17333</v>
      </c>
      <c r="B328" t="s">
        <v>16726</v>
      </c>
      <c r="D328" t="s">
        <v>15962</v>
      </c>
      <c r="E328" t="s">
        <v>4215</v>
      </c>
      <c r="F328" t="s">
        <v>17334</v>
      </c>
      <c r="G328">
        <v>3</v>
      </c>
      <c r="O328" t="s">
        <v>15962</v>
      </c>
    </row>
    <row r="329" spans="1:15">
      <c r="A329" t="s">
        <v>17333</v>
      </c>
      <c r="B329" t="s">
        <v>16735</v>
      </c>
      <c r="D329" t="s">
        <v>15963</v>
      </c>
      <c r="E329" t="s">
        <v>4215</v>
      </c>
      <c r="F329" t="s">
        <v>17334</v>
      </c>
      <c r="G329">
        <v>3</v>
      </c>
      <c r="O329" t="s">
        <v>15963</v>
      </c>
    </row>
    <row r="330" spans="1:15">
      <c r="A330" t="s">
        <v>17333</v>
      </c>
      <c r="B330" t="s">
        <v>16744</v>
      </c>
      <c r="D330" t="s">
        <v>15964</v>
      </c>
      <c r="E330" t="s">
        <v>4215</v>
      </c>
      <c r="F330" t="s">
        <v>17334</v>
      </c>
      <c r="G330">
        <v>3</v>
      </c>
      <c r="O330" t="s">
        <v>15964</v>
      </c>
    </row>
    <row r="331" spans="1:15">
      <c r="A331" t="s">
        <v>17333</v>
      </c>
      <c r="B331" t="s">
        <v>16753</v>
      </c>
      <c r="D331" t="s">
        <v>15965</v>
      </c>
      <c r="E331" t="s">
        <v>4215</v>
      </c>
      <c r="F331" t="s">
        <v>17334</v>
      </c>
      <c r="G331">
        <v>3</v>
      </c>
      <c r="O331" t="s">
        <v>15965</v>
      </c>
    </row>
    <row r="332" spans="1:15">
      <c r="A332" t="s">
        <v>17333</v>
      </c>
      <c r="B332" t="s">
        <v>16761</v>
      </c>
      <c r="D332" t="s">
        <v>15966</v>
      </c>
      <c r="E332" t="s">
        <v>4215</v>
      </c>
      <c r="F332" t="s">
        <v>17334</v>
      </c>
      <c r="G332">
        <v>3</v>
      </c>
      <c r="O332" t="s">
        <v>15966</v>
      </c>
    </row>
    <row r="333" spans="1:15">
      <c r="A333" t="s">
        <v>17333</v>
      </c>
      <c r="B333" t="s">
        <v>16768</v>
      </c>
      <c r="D333" t="s">
        <v>15967</v>
      </c>
      <c r="E333" t="s">
        <v>4215</v>
      </c>
      <c r="F333" t="s">
        <v>17334</v>
      </c>
      <c r="G333">
        <v>3</v>
      </c>
      <c r="O333" t="s">
        <v>15967</v>
      </c>
    </row>
    <row r="334" spans="1:15">
      <c r="A334" t="s">
        <v>17333</v>
      </c>
      <c r="B334" t="s">
        <v>16775</v>
      </c>
      <c r="D334" t="s">
        <v>15968</v>
      </c>
      <c r="E334" t="s">
        <v>4215</v>
      </c>
      <c r="F334" t="s">
        <v>17334</v>
      </c>
      <c r="G334">
        <v>3</v>
      </c>
      <c r="O334" t="s">
        <v>15968</v>
      </c>
    </row>
    <row r="335" spans="1:15">
      <c r="A335" t="s">
        <v>17333</v>
      </c>
      <c r="B335" t="s">
        <v>16782</v>
      </c>
      <c r="D335" t="s">
        <v>15969</v>
      </c>
      <c r="E335" t="s">
        <v>4215</v>
      </c>
      <c r="F335" t="s">
        <v>17334</v>
      </c>
      <c r="G335">
        <v>3</v>
      </c>
      <c r="O335" t="s">
        <v>15969</v>
      </c>
    </row>
    <row r="336" spans="1:15">
      <c r="A336" t="s">
        <v>17333</v>
      </c>
      <c r="B336" t="s">
        <v>16789</v>
      </c>
      <c r="D336" t="s">
        <v>15970</v>
      </c>
      <c r="E336" t="s">
        <v>4215</v>
      </c>
      <c r="F336" t="s">
        <v>17334</v>
      </c>
      <c r="G336">
        <v>3</v>
      </c>
      <c r="O336" t="s">
        <v>15970</v>
      </c>
    </row>
    <row r="337" spans="1:15">
      <c r="A337" t="s">
        <v>17333</v>
      </c>
      <c r="B337" t="s">
        <v>16796</v>
      </c>
      <c r="D337" t="s">
        <v>15971</v>
      </c>
      <c r="E337" t="s">
        <v>4215</v>
      </c>
      <c r="F337" t="s">
        <v>17334</v>
      </c>
      <c r="G337">
        <v>3</v>
      </c>
      <c r="O337" t="s">
        <v>15971</v>
      </c>
    </row>
    <row r="338" spans="1:15">
      <c r="A338" t="s">
        <v>17333</v>
      </c>
      <c r="B338" t="s">
        <v>16803</v>
      </c>
      <c r="D338" t="s">
        <v>15972</v>
      </c>
      <c r="E338" t="s">
        <v>4215</v>
      </c>
      <c r="F338" t="s">
        <v>17334</v>
      </c>
      <c r="G338">
        <v>3</v>
      </c>
      <c r="O338" t="s">
        <v>15972</v>
      </c>
    </row>
    <row r="339" spans="1:15">
      <c r="A339" t="s">
        <v>17333</v>
      </c>
      <c r="B339" t="s">
        <v>16810</v>
      </c>
      <c r="D339" t="s">
        <v>15973</v>
      </c>
      <c r="E339" t="s">
        <v>4215</v>
      </c>
      <c r="F339" t="s">
        <v>17334</v>
      </c>
      <c r="G339">
        <v>3</v>
      </c>
      <c r="O339" t="s">
        <v>15973</v>
      </c>
    </row>
    <row r="340" spans="1:15">
      <c r="A340" t="s">
        <v>17333</v>
      </c>
      <c r="B340" t="s">
        <v>16817</v>
      </c>
      <c r="D340" t="s">
        <v>15974</v>
      </c>
      <c r="E340" t="s">
        <v>4215</v>
      </c>
      <c r="F340" t="s">
        <v>17334</v>
      </c>
      <c r="G340">
        <v>3</v>
      </c>
      <c r="O340" t="s">
        <v>15974</v>
      </c>
    </row>
    <row r="341" spans="1:15">
      <c r="A341" t="s">
        <v>17333</v>
      </c>
      <c r="B341" t="s">
        <v>16824</v>
      </c>
      <c r="D341" t="s">
        <v>15975</v>
      </c>
      <c r="E341" t="s">
        <v>4215</v>
      </c>
      <c r="F341" t="s">
        <v>17334</v>
      </c>
      <c r="G341">
        <v>3</v>
      </c>
      <c r="O341" t="s">
        <v>15975</v>
      </c>
    </row>
    <row r="342" spans="1:15">
      <c r="A342" t="s">
        <v>17333</v>
      </c>
      <c r="B342" t="s">
        <v>16831</v>
      </c>
      <c r="D342" t="s">
        <v>15976</v>
      </c>
      <c r="E342" t="s">
        <v>4215</v>
      </c>
      <c r="F342" t="s">
        <v>17334</v>
      </c>
      <c r="G342">
        <v>3</v>
      </c>
      <c r="O342" t="s">
        <v>15976</v>
      </c>
    </row>
    <row r="343" spans="1:15">
      <c r="A343" t="s">
        <v>17333</v>
      </c>
      <c r="B343" t="s">
        <v>16838</v>
      </c>
      <c r="D343" t="s">
        <v>15977</v>
      </c>
      <c r="E343" t="s">
        <v>4215</v>
      </c>
      <c r="F343" t="s">
        <v>17334</v>
      </c>
      <c r="G343">
        <v>3</v>
      </c>
      <c r="O343" t="s">
        <v>15977</v>
      </c>
    </row>
    <row r="344" spans="1:15">
      <c r="A344" t="s">
        <v>17333</v>
      </c>
      <c r="B344" t="s">
        <v>16845</v>
      </c>
      <c r="D344" t="s">
        <v>15978</v>
      </c>
      <c r="E344" t="s">
        <v>4215</v>
      </c>
      <c r="F344" t="s">
        <v>17334</v>
      </c>
      <c r="G344">
        <v>3</v>
      </c>
      <c r="O344" t="s">
        <v>15978</v>
      </c>
    </row>
    <row r="345" spans="1:15">
      <c r="A345" t="s">
        <v>17333</v>
      </c>
      <c r="B345" t="s">
        <v>16852</v>
      </c>
      <c r="D345" t="s">
        <v>15979</v>
      </c>
      <c r="E345" t="s">
        <v>4215</v>
      </c>
      <c r="F345" t="s">
        <v>17334</v>
      </c>
      <c r="G345">
        <v>3</v>
      </c>
      <c r="O345" t="s">
        <v>15979</v>
      </c>
    </row>
    <row r="346" spans="1:15">
      <c r="A346" t="s">
        <v>17333</v>
      </c>
      <c r="B346" t="s">
        <v>16859</v>
      </c>
      <c r="D346" t="s">
        <v>15980</v>
      </c>
      <c r="E346" t="s">
        <v>4215</v>
      </c>
      <c r="F346" t="s">
        <v>17334</v>
      </c>
      <c r="G346">
        <v>3</v>
      </c>
      <c r="O346" t="s">
        <v>15980</v>
      </c>
    </row>
    <row r="347" spans="1:15">
      <c r="A347" t="s">
        <v>17333</v>
      </c>
      <c r="B347" t="s">
        <v>16866</v>
      </c>
      <c r="D347" t="s">
        <v>15981</v>
      </c>
      <c r="E347" t="s">
        <v>4215</v>
      </c>
      <c r="F347" t="s">
        <v>17334</v>
      </c>
      <c r="G347">
        <v>3</v>
      </c>
      <c r="O347" t="s">
        <v>15981</v>
      </c>
    </row>
    <row r="348" spans="1:15">
      <c r="A348" t="s">
        <v>17333</v>
      </c>
      <c r="B348" t="s">
        <v>16873</v>
      </c>
      <c r="D348" t="s">
        <v>15982</v>
      </c>
      <c r="E348" t="s">
        <v>4215</v>
      </c>
      <c r="F348" t="s">
        <v>17334</v>
      </c>
      <c r="G348">
        <v>3</v>
      </c>
      <c r="O348" t="s">
        <v>15982</v>
      </c>
    </row>
    <row r="349" spans="1:15">
      <c r="A349" t="s">
        <v>17333</v>
      </c>
      <c r="B349" t="s">
        <v>16880</v>
      </c>
      <c r="D349" t="s">
        <v>15983</v>
      </c>
      <c r="E349" t="s">
        <v>4215</v>
      </c>
      <c r="F349" t="s">
        <v>17334</v>
      </c>
      <c r="G349">
        <v>3</v>
      </c>
      <c r="O349" t="s">
        <v>15983</v>
      </c>
    </row>
    <row r="350" spans="1:15">
      <c r="A350" t="s">
        <v>17333</v>
      </c>
      <c r="B350" t="s">
        <v>16887</v>
      </c>
      <c r="D350" t="s">
        <v>15984</v>
      </c>
      <c r="E350" t="s">
        <v>4215</v>
      </c>
      <c r="F350" t="s">
        <v>17334</v>
      </c>
      <c r="G350">
        <v>3</v>
      </c>
      <c r="O350" t="s">
        <v>15984</v>
      </c>
    </row>
    <row r="351" spans="1:15">
      <c r="A351" t="s">
        <v>17333</v>
      </c>
      <c r="B351" t="s">
        <v>16894</v>
      </c>
      <c r="D351" t="s">
        <v>15985</v>
      </c>
      <c r="E351" t="s">
        <v>4215</v>
      </c>
      <c r="F351" t="s">
        <v>17334</v>
      </c>
      <c r="G351">
        <v>3</v>
      </c>
      <c r="O351" t="s">
        <v>15985</v>
      </c>
    </row>
    <row r="352" spans="1:15">
      <c r="A352" t="s">
        <v>17333</v>
      </c>
      <c r="B352" t="s">
        <v>16691</v>
      </c>
      <c r="D352" t="s">
        <v>15986</v>
      </c>
      <c r="E352" t="s">
        <v>4215</v>
      </c>
      <c r="F352" t="s">
        <v>17334</v>
      </c>
      <c r="G352">
        <v>3</v>
      </c>
      <c r="O352" t="s">
        <v>15986</v>
      </c>
    </row>
    <row r="353" spans="1:15">
      <c r="A353" t="s">
        <v>17333</v>
      </c>
      <c r="B353" t="s">
        <v>16700</v>
      </c>
      <c r="D353" t="s">
        <v>15987</v>
      </c>
      <c r="E353" t="s">
        <v>4215</v>
      </c>
      <c r="F353" t="s">
        <v>17334</v>
      </c>
      <c r="G353">
        <v>3</v>
      </c>
      <c r="O353" t="s">
        <v>15987</v>
      </c>
    </row>
    <row r="354" spans="1:15">
      <c r="A354" t="s">
        <v>17333</v>
      </c>
      <c r="B354" t="s">
        <v>16709</v>
      </c>
      <c r="D354" t="s">
        <v>15988</v>
      </c>
      <c r="E354" t="s">
        <v>4215</v>
      </c>
      <c r="F354" t="s">
        <v>17334</v>
      </c>
      <c r="G354">
        <v>3</v>
      </c>
      <c r="O354" t="s">
        <v>15988</v>
      </c>
    </row>
    <row r="355" spans="1:15">
      <c r="A355" t="s">
        <v>17333</v>
      </c>
      <c r="B355" t="s">
        <v>16718</v>
      </c>
      <c r="D355" t="s">
        <v>15989</v>
      </c>
      <c r="E355" t="s">
        <v>4215</v>
      </c>
      <c r="F355" t="s">
        <v>17334</v>
      </c>
      <c r="G355">
        <v>3</v>
      </c>
      <c r="O355" t="s">
        <v>15989</v>
      </c>
    </row>
    <row r="356" spans="1:15">
      <c r="A356" t="s">
        <v>17333</v>
      </c>
      <c r="B356" t="s">
        <v>16727</v>
      </c>
      <c r="D356" t="s">
        <v>15990</v>
      </c>
      <c r="E356" t="s">
        <v>4215</v>
      </c>
      <c r="F356" t="s">
        <v>17334</v>
      </c>
      <c r="G356">
        <v>3</v>
      </c>
      <c r="O356" t="s">
        <v>15990</v>
      </c>
    </row>
    <row r="357" spans="1:15">
      <c r="A357" t="s">
        <v>17333</v>
      </c>
      <c r="B357" t="s">
        <v>16736</v>
      </c>
      <c r="D357" t="s">
        <v>15991</v>
      </c>
      <c r="E357" t="s">
        <v>4215</v>
      </c>
      <c r="F357" t="s">
        <v>17334</v>
      </c>
      <c r="G357">
        <v>3</v>
      </c>
      <c r="O357" t="s">
        <v>15991</v>
      </c>
    </row>
    <row r="358" spans="1:15">
      <c r="A358" t="s">
        <v>17333</v>
      </c>
      <c r="B358" t="s">
        <v>16745</v>
      </c>
      <c r="D358" t="s">
        <v>15992</v>
      </c>
      <c r="E358" t="s">
        <v>4215</v>
      </c>
      <c r="F358" t="s">
        <v>17334</v>
      </c>
      <c r="G358">
        <v>3</v>
      </c>
      <c r="O358" t="s">
        <v>15992</v>
      </c>
    </row>
    <row r="359" spans="1:15">
      <c r="A359" t="s">
        <v>17333</v>
      </c>
      <c r="B359" t="s">
        <v>16754</v>
      </c>
      <c r="D359" t="s">
        <v>15993</v>
      </c>
      <c r="E359" t="s">
        <v>4215</v>
      </c>
      <c r="F359" t="s">
        <v>17334</v>
      </c>
      <c r="G359">
        <v>3</v>
      </c>
      <c r="O359" t="s">
        <v>15993</v>
      </c>
    </row>
    <row r="360" spans="1:15">
      <c r="A360" t="s">
        <v>17333</v>
      </c>
      <c r="B360" t="s">
        <v>16762</v>
      </c>
      <c r="D360" t="s">
        <v>15994</v>
      </c>
      <c r="E360" t="s">
        <v>4215</v>
      </c>
      <c r="F360" t="s">
        <v>17334</v>
      </c>
      <c r="G360">
        <v>3</v>
      </c>
      <c r="O360" t="s">
        <v>15994</v>
      </c>
    </row>
    <row r="361" spans="1:15">
      <c r="A361" t="s">
        <v>17333</v>
      </c>
      <c r="B361" t="s">
        <v>16769</v>
      </c>
      <c r="D361" t="s">
        <v>15995</v>
      </c>
      <c r="E361" t="s">
        <v>4215</v>
      </c>
      <c r="F361" t="s">
        <v>17334</v>
      </c>
      <c r="G361">
        <v>3</v>
      </c>
      <c r="O361" t="s">
        <v>15995</v>
      </c>
    </row>
    <row r="362" spans="1:15">
      <c r="A362" t="s">
        <v>17333</v>
      </c>
      <c r="B362" t="s">
        <v>16776</v>
      </c>
      <c r="D362" t="s">
        <v>15996</v>
      </c>
      <c r="E362" t="s">
        <v>4215</v>
      </c>
      <c r="F362" t="s">
        <v>17334</v>
      </c>
      <c r="G362">
        <v>3</v>
      </c>
      <c r="O362" t="s">
        <v>15996</v>
      </c>
    </row>
    <row r="363" spans="1:15">
      <c r="A363" t="s">
        <v>17333</v>
      </c>
      <c r="B363" t="s">
        <v>16783</v>
      </c>
      <c r="D363" t="s">
        <v>15997</v>
      </c>
      <c r="E363" t="s">
        <v>4215</v>
      </c>
      <c r="F363" t="s">
        <v>17334</v>
      </c>
      <c r="G363">
        <v>3</v>
      </c>
      <c r="O363" t="s">
        <v>15997</v>
      </c>
    </row>
    <row r="364" spans="1:15">
      <c r="A364" t="s">
        <v>17333</v>
      </c>
      <c r="B364" t="s">
        <v>16790</v>
      </c>
      <c r="D364" t="s">
        <v>15998</v>
      </c>
      <c r="E364" t="s">
        <v>4215</v>
      </c>
      <c r="F364" t="s">
        <v>17334</v>
      </c>
      <c r="G364">
        <v>3</v>
      </c>
      <c r="O364" t="s">
        <v>15998</v>
      </c>
    </row>
    <row r="365" spans="1:15">
      <c r="A365" t="s">
        <v>17333</v>
      </c>
      <c r="B365" t="s">
        <v>16797</v>
      </c>
      <c r="D365" t="s">
        <v>15999</v>
      </c>
      <c r="E365" t="s">
        <v>4215</v>
      </c>
      <c r="F365" t="s">
        <v>17334</v>
      </c>
      <c r="G365">
        <v>3</v>
      </c>
      <c r="O365" t="s">
        <v>15999</v>
      </c>
    </row>
    <row r="366" spans="1:15">
      <c r="A366" t="s">
        <v>17333</v>
      </c>
      <c r="B366" t="s">
        <v>16804</v>
      </c>
      <c r="D366" t="s">
        <v>16000</v>
      </c>
      <c r="E366" t="s">
        <v>4215</v>
      </c>
      <c r="F366" t="s">
        <v>17334</v>
      </c>
      <c r="G366">
        <v>3</v>
      </c>
      <c r="O366" t="s">
        <v>16000</v>
      </c>
    </row>
    <row r="367" spans="1:15">
      <c r="A367" t="s">
        <v>17333</v>
      </c>
      <c r="B367" t="s">
        <v>16811</v>
      </c>
      <c r="D367" t="s">
        <v>16001</v>
      </c>
      <c r="E367" t="s">
        <v>4215</v>
      </c>
      <c r="F367" t="s">
        <v>17334</v>
      </c>
      <c r="G367">
        <v>3</v>
      </c>
      <c r="O367" t="s">
        <v>16001</v>
      </c>
    </row>
    <row r="368" spans="1:15">
      <c r="A368" t="s">
        <v>17333</v>
      </c>
      <c r="B368" t="s">
        <v>16818</v>
      </c>
      <c r="D368" t="s">
        <v>16002</v>
      </c>
      <c r="E368" t="s">
        <v>4215</v>
      </c>
      <c r="F368" t="s">
        <v>17334</v>
      </c>
      <c r="G368">
        <v>3</v>
      </c>
      <c r="O368" t="s">
        <v>16002</v>
      </c>
    </row>
    <row r="369" spans="1:15">
      <c r="A369" t="s">
        <v>17333</v>
      </c>
      <c r="B369" t="s">
        <v>16825</v>
      </c>
      <c r="D369" t="s">
        <v>16003</v>
      </c>
      <c r="E369" t="s">
        <v>4215</v>
      </c>
      <c r="F369" t="s">
        <v>17334</v>
      </c>
      <c r="G369">
        <v>3</v>
      </c>
      <c r="O369" t="s">
        <v>16003</v>
      </c>
    </row>
    <row r="370" spans="1:15">
      <c r="A370" t="s">
        <v>17333</v>
      </c>
      <c r="B370" t="s">
        <v>16832</v>
      </c>
      <c r="D370" t="s">
        <v>16004</v>
      </c>
      <c r="E370" t="s">
        <v>4215</v>
      </c>
      <c r="F370" t="s">
        <v>17334</v>
      </c>
      <c r="G370">
        <v>3</v>
      </c>
      <c r="O370" t="s">
        <v>16004</v>
      </c>
    </row>
    <row r="371" spans="1:15">
      <c r="A371" t="s">
        <v>17333</v>
      </c>
      <c r="B371" t="s">
        <v>16839</v>
      </c>
      <c r="D371" t="s">
        <v>16005</v>
      </c>
      <c r="E371" t="s">
        <v>4215</v>
      </c>
      <c r="F371" t="s">
        <v>17334</v>
      </c>
      <c r="G371">
        <v>3</v>
      </c>
      <c r="O371" t="s">
        <v>16005</v>
      </c>
    </row>
    <row r="372" spans="1:15">
      <c r="A372" t="s">
        <v>17333</v>
      </c>
      <c r="B372" t="s">
        <v>16846</v>
      </c>
      <c r="D372" t="s">
        <v>16006</v>
      </c>
      <c r="E372" t="s">
        <v>4215</v>
      </c>
      <c r="F372" t="s">
        <v>17334</v>
      </c>
      <c r="G372">
        <v>3</v>
      </c>
      <c r="O372" t="s">
        <v>16006</v>
      </c>
    </row>
    <row r="373" spans="1:15">
      <c r="A373" t="s">
        <v>17333</v>
      </c>
      <c r="B373" t="s">
        <v>16853</v>
      </c>
      <c r="D373" t="s">
        <v>16007</v>
      </c>
      <c r="E373" t="s">
        <v>4215</v>
      </c>
      <c r="F373" t="s">
        <v>17334</v>
      </c>
      <c r="G373">
        <v>3</v>
      </c>
      <c r="O373" t="s">
        <v>16007</v>
      </c>
    </row>
    <row r="374" spans="1:15">
      <c r="A374" t="s">
        <v>17333</v>
      </c>
      <c r="B374" t="s">
        <v>16860</v>
      </c>
      <c r="D374" t="s">
        <v>16008</v>
      </c>
      <c r="E374" t="s">
        <v>4215</v>
      </c>
      <c r="F374" t="s">
        <v>17334</v>
      </c>
      <c r="G374">
        <v>3</v>
      </c>
      <c r="O374" t="s">
        <v>16008</v>
      </c>
    </row>
    <row r="375" spans="1:15">
      <c r="A375" t="s">
        <v>17333</v>
      </c>
      <c r="B375" t="s">
        <v>16867</v>
      </c>
      <c r="D375" t="s">
        <v>16009</v>
      </c>
      <c r="E375" t="s">
        <v>4215</v>
      </c>
      <c r="F375" t="s">
        <v>17334</v>
      </c>
      <c r="G375">
        <v>3</v>
      </c>
      <c r="O375" t="s">
        <v>16009</v>
      </c>
    </row>
    <row r="376" spans="1:15">
      <c r="A376" t="s">
        <v>17333</v>
      </c>
      <c r="B376" t="s">
        <v>16874</v>
      </c>
      <c r="D376" t="s">
        <v>16010</v>
      </c>
      <c r="E376" t="s">
        <v>4215</v>
      </c>
      <c r="F376" t="s">
        <v>17334</v>
      </c>
      <c r="G376">
        <v>3</v>
      </c>
      <c r="O376" t="s">
        <v>16010</v>
      </c>
    </row>
    <row r="377" spans="1:15">
      <c r="A377" t="s">
        <v>17333</v>
      </c>
      <c r="B377" t="s">
        <v>16881</v>
      </c>
      <c r="D377" t="s">
        <v>16011</v>
      </c>
      <c r="E377" t="s">
        <v>4215</v>
      </c>
      <c r="F377" t="s">
        <v>17334</v>
      </c>
      <c r="G377">
        <v>3</v>
      </c>
      <c r="O377" t="s">
        <v>16011</v>
      </c>
    </row>
    <row r="378" spans="1:15">
      <c r="A378" t="s">
        <v>17333</v>
      </c>
      <c r="B378" t="s">
        <v>16888</v>
      </c>
      <c r="D378" t="s">
        <v>16012</v>
      </c>
      <c r="E378" t="s">
        <v>4215</v>
      </c>
      <c r="F378" t="s">
        <v>17334</v>
      </c>
      <c r="G378">
        <v>3</v>
      </c>
      <c r="O378" t="s">
        <v>16012</v>
      </c>
    </row>
    <row r="379" spans="1:15">
      <c r="A379" t="s">
        <v>17333</v>
      </c>
      <c r="B379" t="s">
        <v>16895</v>
      </c>
      <c r="D379" t="s">
        <v>16013</v>
      </c>
      <c r="E379" t="s">
        <v>4215</v>
      </c>
      <c r="F379" t="s">
        <v>17334</v>
      </c>
      <c r="G379">
        <v>3</v>
      </c>
      <c r="O379" t="s">
        <v>16013</v>
      </c>
    </row>
    <row r="380" spans="1:15">
      <c r="A380" t="s">
        <v>17333</v>
      </c>
      <c r="B380" t="s">
        <v>16692</v>
      </c>
      <c r="D380" t="s">
        <v>16014</v>
      </c>
      <c r="E380" t="s">
        <v>4215</v>
      </c>
      <c r="F380" t="s">
        <v>17334</v>
      </c>
      <c r="G380">
        <v>3</v>
      </c>
      <c r="O380" t="s">
        <v>16014</v>
      </c>
    </row>
    <row r="381" spans="1:15">
      <c r="A381" t="s">
        <v>17333</v>
      </c>
      <c r="B381" t="s">
        <v>16701</v>
      </c>
      <c r="D381" t="s">
        <v>16015</v>
      </c>
      <c r="E381" t="s">
        <v>4215</v>
      </c>
      <c r="F381" t="s">
        <v>17334</v>
      </c>
      <c r="G381">
        <v>3</v>
      </c>
      <c r="O381" t="s">
        <v>16015</v>
      </c>
    </row>
    <row r="382" spans="1:15">
      <c r="A382" t="s">
        <v>17333</v>
      </c>
      <c r="B382" t="s">
        <v>16710</v>
      </c>
      <c r="D382" t="s">
        <v>16016</v>
      </c>
      <c r="E382" t="s">
        <v>4215</v>
      </c>
      <c r="F382" t="s">
        <v>17334</v>
      </c>
      <c r="G382">
        <v>3</v>
      </c>
      <c r="O382" t="s">
        <v>16016</v>
      </c>
    </row>
    <row r="383" spans="1:15">
      <c r="A383" t="s">
        <v>17333</v>
      </c>
      <c r="B383" t="s">
        <v>16719</v>
      </c>
      <c r="D383" t="s">
        <v>16017</v>
      </c>
      <c r="E383" t="s">
        <v>4215</v>
      </c>
      <c r="F383" t="s">
        <v>17334</v>
      </c>
      <c r="G383">
        <v>3</v>
      </c>
      <c r="O383" t="s">
        <v>16017</v>
      </c>
    </row>
    <row r="384" spans="1:15">
      <c r="A384" t="s">
        <v>17333</v>
      </c>
      <c r="B384" t="s">
        <v>16728</v>
      </c>
      <c r="D384" t="s">
        <v>16018</v>
      </c>
      <c r="E384" t="s">
        <v>4215</v>
      </c>
      <c r="F384" t="s">
        <v>17334</v>
      </c>
      <c r="G384">
        <v>3</v>
      </c>
      <c r="O384" t="s">
        <v>16018</v>
      </c>
    </row>
    <row r="385" spans="1:15">
      <c r="A385" t="s">
        <v>17333</v>
      </c>
      <c r="B385" t="s">
        <v>16737</v>
      </c>
      <c r="D385" t="s">
        <v>16019</v>
      </c>
      <c r="E385" t="s">
        <v>4215</v>
      </c>
      <c r="F385" t="s">
        <v>17334</v>
      </c>
      <c r="G385">
        <v>3</v>
      </c>
      <c r="O385" t="s">
        <v>16019</v>
      </c>
    </row>
    <row r="386" spans="1:15">
      <c r="A386" t="s">
        <v>17333</v>
      </c>
      <c r="B386" t="s">
        <v>16746</v>
      </c>
      <c r="D386" t="s">
        <v>16020</v>
      </c>
      <c r="E386" t="s">
        <v>4215</v>
      </c>
      <c r="F386" t="s">
        <v>17334</v>
      </c>
      <c r="G386">
        <v>3</v>
      </c>
      <c r="O386" t="s">
        <v>16020</v>
      </c>
    </row>
    <row r="387" spans="1:15">
      <c r="A387" t="s">
        <v>17333</v>
      </c>
      <c r="B387" t="s">
        <v>16755</v>
      </c>
      <c r="D387" t="s">
        <v>16021</v>
      </c>
      <c r="E387" t="s">
        <v>4215</v>
      </c>
      <c r="F387" t="s">
        <v>17334</v>
      </c>
      <c r="G387">
        <v>3</v>
      </c>
      <c r="O387" t="s">
        <v>16021</v>
      </c>
    </row>
    <row r="388" spans="1:15">
      <c r="A388" t="s">
        <v>17333</v>
      </c>
      <c r="B388" t="s">
        <v>16763</v>
      </c>
      <c r="D388" t="s">
        <v>16022</v>
      </c>
      <c r="E388" t="s">
        <v>4215</v>
      </c>
      <c r="F388" t="s">
        <v>17334</v>
      </c>
      <c r="G388">
        <v>3</v>
      </c>
      <c r="O388" t="s">
        <v>16022</v>
      </c>
    </row>
    <row r="389" spans="1:15">
      <c r="A389" t="s">
        <v>17333</v>
      </c>
      <c r="B389" t="s">
        <v>16770</v>
      </c>
      <c r="D389" t="s">
        <v>16023</v>
      </c>
      <c r="E389" t="s">
        <v>4215</v>
      </c>
      <c r="F389" t="s">
        <v>17334</v>
      </c>
      <c r="G389">
        <v>3</v>
      </c>
      <c r="O389" t="s">
        <v>16023</v>
      </c>
    </row>
    <row r="390" spans="1:15">
      <c r="A390" t="s">
        <v>17333</v>
      </c>
      <c r="B390" t="s">
        <v>16777</v>
      </c>
      <c r="D390" t="s">
        <v>16024</v>
      </c>
      <c r="E390" t="s">
        <v>4215</v>
      </c>
      <c r="F390" t="s">
        <v>17334</v>
      </c>
      <c r="G390">
        <v>3</v>
      </c>
      <c r="O390" t="s">
        <v>16024</v>
      </c>
    </row>
    <row r="391" spans="1:15">
      <c r="A391" t="s">
        <v>17333</v>
      </c>
      <c r="B391" t="s">
        <v>16784</v>
      </c>
      <c r="D391" t="s">
        <v>16025</v>
      </c>
      <c r="E391" t="s">
        <v>4215</v>
      </c>
      <c r="F391" t="s">
        <v>17334</v>
      </c>
      <c r="G391">
        <v>3</v>
      </c>
      <c r="O391" t="s">
        <v>16025</v>
      </c>
    </row>
    <row r="392" spans="1:15">
      <c r="A392" t="s">
        <v>17333</v>
      </c>
      <c r="B392" t="s">
        <v>16791</v>
      </c>
      <c r="D392" t="s">
        <v>16026</v>
      </c>
      <c r="E392" t="s">
        <v>4215</v>
      </c>
      <c r="F392" t="s">
        <v>17334</v>
      </c>
      <c r="G392">
        <v>3</v>
      </c>
      <c r="O392" t="s">
        <v>16026</v>
      </c>
    </row>
    <row r="393" spans="1:15">
      <c r="A393" t="s">
        <v>17333</v>
      </c>
      <c r="B393" t="s">
        <v>16798</v>
      </c>
      <c r="D393" t="s">
        <v>16027</v>
      </c>
      <c r="E393" t="s">
        <v>4215</v>
      </c>
      <c r="F393" t="s">
        <v>17334</v>
      </c>
      <c r="G393">
        <v>3</v>
      </c>
      <c r="O393" t="s">
        <v>16027</v>
      </c>
    </row>
    <row r="394" spans="1:15">
      <c r="A394" t="s">
        <v>17333</v>
      </c>
      <c r="B394" t="s">
        <v>16805</v>
      </c>
      <c r="D394" t="s">
        <v>16028</v>
      </c>
      <c r="E394" t="s">
        <v>4215</v>
      </c>
      <c r="F394" t="s">
        <v>17334</v>
      </c>
      <c r="G394">
        <v>3</v>
      </c>
      <c r="O394" t="s">
        <v>16028</v>
      </c>
    </row>
    <row r="395" spans="1:15">
      <c r="A395" t="s">
        <v>17333</v>
      </c>
      <c r="B395" t="s">
        <v>16812</v>
      </c>
      <c r="D395" t="s">
        <v>16029</v>
      </c>
      <c r="E395" t="s">
        <v>4215</v>
      </c>
      <c r="F395" t="s">
        <v>17334</v>
      </c>
      <c r="G395">
        <v>3</v>
      </c>
      <c r="O395" t="s">
        <v>16029</v>
      </c>
    </row>
    <row r="396" spans="1:15">
      <c r="A396" t="s">
        <v>17333</v>
      </c>
      <c r="B396" t="s">
        <v>16819</v>
      </c>
      <c r="D396" t="s">
        <v>16030</v>
      </c>
      <c r="E396" t="s">
        <v>4215</v>
      </c>
      <c r="F396" t="s">
        <v>17334</v>
      </c>
      <c r="G396">
        <v>3</v>
      </c>
      <c r="O396" t="s">
        <v>16030</v>
      </c>
    </row>
    <row r="397" spans="1:15">
      <c r="A397" t="s">
        <v>17333</v>
      </c>
      <c r="B397" t="s">
        <v>16826</v>
      </c>
      <c r="D397" t="s">
        <v>16031</v>
      </c>
      <c r="E397" t="s">
        <v>4215</v>
      </c>
      <c r="F397" t="s">
        <v>17334</v>
      </c>
      <c r="G397">
        <v>3</v>
      </c>
      <c r="O397" t="s">
        <v>16031</v>
      </c>
    </row>
    <row r="398" spans="1:15">
      <c r="A398" t="s">
        <v>17333</v>
      </c>
      <c r="B398" t="s">
        <v>16833</v>
      </c>
      <c r="D398" t="s">
        <v>16032</v>
      </c>
      <c r="E398" t="s">
        <v>4215</v>
      </c>
      <c r="F398" t="s">
        <v>17334</v>
      </c>
      <c r="G398">
        <v>3</v>
      </c>
      <c r="O398" t="s">
        <v>16032</v>
      </c>
    </row>
    <row r="399" spans="1:15">
      <c r="A399" t="s">
        <v>17333</v>
      </c>
      <c r="B399" t="s">
        <v>16840</v>
      </c>
      <c r="D399" t="s">
        <v>16033</v>
      </c>
      <c r="E399" t="s">
        <v>4215</v>
      </c>
      <c r="F399" t="s">
        <v>17334</v>
      </c>
      <c r="G399">
        <v>3</v>
      </c>
      <c r="O399" t="s">
        <v>16033</v>
      </c>
    </row>
    <row r="400" spans="1:15">
      <c r="A400" t="s">
        <v>17333</v>
      </c>
      <c r="B400" t="s">
        <v>16847</v>
      </c>
      <c r="D400" t="s">
        <v>16034</v>
      </c>
      <c r="E400" t="s">
        <v>4215</v>
      </c>
      <c r="F400" t="s">
        <v>17334</v>
      </c>
      <c r="G400">
        <v>3</v>
      </c>
      <c r="O400" t="s">
        <v>16034</v>
      </c>
    </row>
    <row r="401" spans="1:15">
      <c r="A401" t="s">
        <v>17333</v>
      </c>
      <c r="B401" t="s">
        <v>16854</v>
      </c>
      <c r="D401" t="s">
        <v>16035</v>
      </c>
      <c r="E401" t="s">
        <v>4215</v>
      </c>
      <c r="F401" t="s">
        <v>17334</v>
      </c>
      <c r="G401">
        <v>3</v>
      </c>
      <c r="O401" t="s">
        <v>16035</v>
      </c>
    </row>
    <row r="402" spans="1:15">
      <c r="A402" t="s">
        <v>17333</v>
      </c>
      <c r="B402" t="s">
        <v>16861</v>
      </c>
      <c r="D402" t="s">
        <v>16036</v>
      </c>
      <c r="E402" t="s">
        <v>4215</v>
      </c>
      <c r="F402" t="s">
        <v>17334</v>
      </c>
      <c r="G402">
        <v>3</v>
      </c>
      <c r="O402" t="s">
        <v>16036</v>
      </c>
    </row>
    <row r="403" spans="1:15">
      <c r="A403" t="s">
        <v>17333</v>
      </c>
      <c r="B403" t="s">
        <v>16868</v>
      </c>
      <c r="D403" t="s">
        <v>16037</v>
      </c>
      <c r="E403" t="s">
        <v>4215</v>
      </c>
      <c r="F403" t="s">
        <v>17334</v>
      </c>
      <c r="G403">
        <v>3</v>
      </c>
      <c r="O403" t="s">
        <v>16037</v>
      </c>
    </row>
    <row r="404" spans="1:15">
      <c r="A404" t="s">
        <v>17333</v>
      </c>
      <c r="B404" t="s">
        <v>16875</v>
      </c>
      <c r="D404" t="s">
        <v>16038</v>
      </c>
      <c r="E404" t="s">
        <v>4215</v>
      </c>
      <c r="F404" t="s">
        <v>17334</v>
      </c>
      <c r="G404">
        <v>3</v>
      </c>
      <c r="O404" t="s">
        <v>16038</v>
      </c>
    </row>
    <row r="405" spans="1:15">
      <c r="A405" t="s">
        <v>17333</v>
      </c>
      <c r="B405" t="s">
        <v>16882</v>
      </c>
      <c r="D405" t="s">
        <v>16039</v>
      </c>
      <c r="E405" t="s">
        <v>4215</v>
      </c>
      <c r="F405" t="s">
        <v>17334</v>
      </c>
      <c r="G405">
        <v>3</v>
      </c>
      <c r="O405" t="s">
        <v>16039</v>
      </c>
    </row>
    <row r="406" spans="1:15">
      <c r="A406" t="s">
        <v>17333</v>
      </c>
      <c r="B406" t="s">
        <v>16889</v>
      </c>
      <c r="D406" t="s">
        <v>16040</v>
      </c>
      <c r="E406" t="s">
        <v>4215</v>
      </c>
      <c r="F406" t="s">
        <v>17334</v>
      </c>
      <c r="G406">
        <v>3</v>
      </c>
      <c r="O406" t="s">
        <v>16040</v>
      </c>
    </row>
    <row r="407" spans="1:15">
      <c r="A407" t="s">
        <v>17333</v>
      </c>
      <c r="B407" t="s">
        <v>16896</v>
      </c>
      <c r="D407" t="s">
        <v>16041</v>
      </c>
      <c r="E407" t="s">
        <v>4215</v>
      </c>
      <c r="F407" t="s">
        <v>17334</v>
      </c>
      <c r="G407">
        <v>3</v>
      </c>
      <c r="O407" t="s">
        <v>16041</v>
      </c>
    </row>
    <row r="408" spans="1:15">
      <c r="A408" t="s">
        <v>17333</v>
      </c>
      <c r="B408" t="s">
        <v>16693</v>
      </c>
      <c r="D408" t="s">
        <v>16042</v>
      </c>
      <c r="E408" t="s">
        <v>4215</v>
      </c>
      <c r="F408" t="s">
        <v>17334</v>
      </c>
      <c r="G408">
        <v>3</v>
      </c>
      <c r="O408" t="s">
        <v>16042</v>
      </c>
    </row>
    <row r="409" spans="1:15">
      <c r="A409" t="s">
        <v>17333</v>
      </c>
      <c r="B409" t="s">
        <v>16702</v>
      </c>
      <c r="D409" t="s">
        <v>16043</v>
      </c>
      <c r="E409" t="s">
        <v>4215</v>
      </c>
      <c r="F409" t="s">
        <v>17334</v>
      </c>
      <c r="G409">
        <v>3</v>
      </c>
      <c r="O409" t="s">
        <v>16043</v>
      </c>
    </row>
    <row r="410" spans="1:15">
      <c r="A410" t="s">
        <v>17333</v>
      </c>
      <c r="B410" t="s">
        <v>16711</v>
      </c>
      <c r="D410" t="s">
        <v>16044</v>
      </c>
      <c r="E410" t="s">
        <v>4215</v>
      </c>
      <c r="F410" t="s">
        <v>17334</v>
      </c>
      <c r="G410">
        <v>3</v>
      </c>
      <c r="O410" t="s">
        <v>16044</v>
      </c>
    </row>
    <row r="411" spans="1:15">
      <c r="A411" t="s">
        <v>17333</v>
      </c>
      <c r="B411" t="s">
        <v>16720</v>
      </c>
      <c r="D411" t="s">
        <v>16045</v>
      </c>
      <c r="E411" t="s">
        <v>4215</v>
      </c>
      <c r="F411" t="s">
        <v>17334</v>
      </c>
      <c r="G411">
        <v>3</v>
      </c>
      <c r="O411" t="s">
        <v>16045</v>
      </c>
    </row>
    <row r="412" spans="1:15">
      <c r="A412" t="s">
        <v>17333</v>
      </c>
      <c r="B412" t="s">
        <v>16729</v>
      </c>
      <c r="D412" t="s">
        <v>16046</v>
      </c>
      <c r="E412" t="s">
        <v>4215</v>
      </c>
      <c r="F412" t="s">
        <v>17334</v>
      </c>
      <c r="G412">
        <v>3</v>
      </c>
      <c r="O412" t="s">
        <v>16046</v>
      </c>
    </row>
    <row r="413" spans="1:15">
      <c r="A413" t="s">
        <v>17333</v>
      </c>
      <c r="B413" t="s">
        <v>16738</v>
      </c>
      <c r="D413" t="s">
        <v>16047</v>
      </c>
      <c r="E413" t="s">
        <v>4215</v>
      </c>
      <c r="F413" t="s">
        <v>17334</v>
      </c>
      <c r="G413">
        <v>3</v>
      </c>
      <c r="O413" t="s">
        <v>16047</v>
      </c>
    </row>
    <row r="414" spans="1:15">
      <c r="A414" t="s">
        <v>17333</v>
      </c>
      <c r="B414" t="s">
        <v>16747</v>
      </c>
      <c r="D414" t="s">
        <v>16048</v>
      </c>
      <c r="E414" t="s">
        <v>4215</v>
      </c>
      <c r="F414" t="s">
        <v>17334</v>
      </c>
      <c r="G414">
        <v>3</v>
      </c>
      <c r="O414" t="s">
        <v>16048</v>
      </c>
    </row>
    <row r="415" spans="1:15">
      <c r="A415" t="s">
        <v>17333</v>
      </c>
      <c r="B415" t="s">
        <v>16694</v>
      </c>
      <c r="D415" t="s">
        <v>16049</v>
      </c>
      <c r="E415" t="s">
        <v>4215</v>
      </c>
      <c r="F415" t="s">
        <v>17334</v>
      </c>
      <c r="G415">
        <v>3</v>
      </c>
      <c r="O415" t="s">
        <v>16049</v>
      </c>
    </row>
    <row r="416" spans="1:15">
      <c r="A416" t="s">
        <v>17333</v>
      </c>
      <c r="B416" t="s">
        <v>16703</v>
      </c>
      <c r="D416" t="s">
        <v>16050</v>
      </c>
      <c r="E416" t="s">
        <v>4215</v>
      </c>
      <c r="F416" t="s">
        <v>17334</v>
      </c>
      <c r="G416">
        <v>3</v>
      </c>
      <c r="O416" t="s">
        <v>16050</v>
      </c>
    </row>
    <row r="417" spans="1:15">
      <c r="A417" t="s">
        <v>17333</v>
      </c>
      <c r="B417" t="s">
        <v>16712</v>
      </c>
      <c r="D417" t="s">
        <v>16051</v>
      </c>
      <c r="E417" t="s">
        <v>4215</v>
      </c>
      <c r="F417" t="s">
        <v>17334</v>
      </c>
      <c r="G417">
        <v>3</v>
      </c>
      <c r="O417" t="s">
        <v>16051</v>
      </c>
    </row>
    <row r="418" spans="1:15">
      <c r="A418" t="s">
        <v>17333</v>
      </c>
      <c r="B418" t="s">
        <v>16721</v>
      </c>
      <c r="D418" t="s">
        <v>16052</v>
      </c>
      <c r="E418" t="s">
        <v>4215</v>
      </c>
      <c r="F418" t="s">
        <v>17334</v>
      </c>
      <c r="G418">
        <v>3</v>
      </c>
      <c r="O418" t="s">
        <v>16052</v>
      </c>
    </row>
    <row r="419" spans="1:15">
      <c r="A419" t="s">
        <v>17333</v>
      </c>
      <c r="B419" t="s">
        <v>16730</v>
      </c>
      <c r="D419" t="s">
        <v>16053</v>
      </c>
      <c r="E419" t="s">
        <v>4215</v>
      </c>
      <c r="F419" t="s">
        <v>17334</v>
      </c>
      <c r="G419">
        <v>3</v>
      </c>
      <c r="O419" t="s">
        <v>16053</v>
      </c>
    </row>
    <row r="420" spans="1:15">
      <c r="A420" t="s">
        <v>17333</v>
      </c>
      <c r="B420" t="s">
        <v>16739</v>
      </c>
      <c r="D420" t="s">
        <v>16054</v>
      </c>
      <c r="E420" t="s">
        <v>4215</v>
      </c>
      <c r="F420" t="s">
        <v>17334</v>
      </c>
      <c r="G420">
        <v>3</v>
      </c>
      <c r="O420" t="s">
        <v>16054</v>
      </c>
    </row>
    <row r="421" spans="1:15">
      <c r="A421" t="s">
        <v>17333</v>
      </c>
      <c r="B421" t="s">
        <v>16748</v>
      </c>
      <c r="D421" t="s">
        <v>16055</v>
      </c>
      <c r="E421" t="s">
        <v>4215</v>
      </c>
      <c r="F421" t="s">
        <v>17334</v>
      </c>
      <c r="G421">
        <v>3</v>
      </c>
      <c r="O421" t="s">
        <v>16055</v>
      </c>
    </row>
    <row r="422" spans="1:15">
      <c r="A422" t="s">
        <v>17333</v>
      </c>
      <c r="B422" t="s">
        <v>16897</v>
      </c>
      <c r="D422" t="s">
        <v>16056</v>
      </c>
      <c r="E422" t="s">
        <v>4215</v>
      </c>
      <c r="F422" t="s">
        <v>17334</v>
      </c>
      <c r="G422">
        <v>3</v>
      </c>
      <c r="O422" t="s">
        <v>16056</v>
      </c>
    </row>
    <row r="423" spans="1:15">
      <c r="A423" t="s">
        <v>17333</v>
      </c>
      <c r="B423" t="s">
        <v>16906</v>
      </c>
      <c r="D423" t="s">
        <v>16057</v>
      </c>
      <c r="E423" t="s">
        <v>4215</v>
      </c>
      <c r="F423" t="s">
        <v>17334</v>
      </c>
      <c r="G423">
        <v>3</v>
      </c>
      <c r="O423" t="s">
        <v>16057</v>
      </c>
    </row>
    <row r="424" spans="1:15">
      <c r="A424" t="s">
        <v>17333</v>
      </c>
      <c r="B424" t="s">
        <v>16915</v>
      </c>
      <c r="D424" t="s">
        <v>16058</v>
      </c>
      <c r="E424" t="s">
        <v>4215</v>
      </c>
      <c r="F424" t="s">
        <v>17334</v>
      </c>
      <c r="G424">
        <v>3</v>
      </c>
      <c r="O424" t="s">
        <v>16058</v>
      </c>
    </row>
    <row r="425" spans="1:15">
      <c r="A425" t="s">
        <v>17333</v>
      </c>
      <c r="B425" t="s">
        <v>16924</v>
      </c>
      <c r="D425" t="s">
        <v>16059</v>
      </c>
      <c r="E425" t="s">
        <v>4215</v>
      </c>
      <c r="F425" t="s">
        <v>17334</v>
      </c>
      <c r="G425">
        <v>3</v>
      </c>
      <c r="O425" t="s">
        <v>16059</v>
      </c>
    </row>
    <row r="426" spans="1:15">
      <c r="A426" t="s">
        <v>17333</v>
      </c>
      <c r="B426" t="s">
        <v>16933</v>
      </c>
      <c r="D426" t="s">
        <v>16060</v>
      </c>
      <c r="E426" t="s">
        <v>4215</v>
      </c>
      <c r="F426" t="s">
        <v>17334</v>
      </c>
      <c r="G426">
        <v>3</v>
      </c>
      <c r="O426" t="s">
        <v>16060</v>
      </c>
    </row>
    <row r="427" spans="1:15">
      <c r="A427" t="s">
        <v>17333</v>
      </c>
      <c r="B427" t="s">
        <v>16942</v>
      </c>
      <c r="D427" t="s">
        <v>16061</v>
      </c>
      <c r="E427" t="s">
        <v>4215</v>
      </c>
      <c r="F427" t="s">
        <v>17334</v>
      </c>
      <c r="G427">
        <v>3</v>
      </c>
      <c r="O427" t="s">
        <v>16061</v>
      </c>
    </row>
    <row r="428" spans="1:15">
      <c r="A428" t="s">
        <v>17333</v>
      </c>
      <c r="B428" t="s">
        <v>16951</v>
      </c>
      <c r="D428" t="s">
        <v>16062</v>
      </c>
      <c r="E428" t="s">
        <v>4215</v>
      </c>
      <c r="F428" t="s">
        <v>17334</v>
      </c>
      <c r="G428">
        <v>3</v>
      </c>
      <c r="O428" t="s">
        <v>16062</v>
      </c>
    </row>
    <row r="429" spans="1:15">
      <c r="A429" t="s">
        <v>17333</v>
      </c>
      <c r="B429" t="s">
        <v>16960</v>
      </c>
      <c r="D429" t="s">
        <v>16063</v>
      </c>
      <c r="E429" t="s">
        <v>4215</v>
      </c>
      <c r="F429" t="s">
        <v>17334</v>
      </c>
      <c r="G429">
        <v>3</v>
      </c>
      <c r="O429" t="s">
        <v>16063</v>
      </c>
    </row>
    <row r="430" spans="1:15">
      <c r="A430" t="s">
        <v>17333</v>
      </c>
      <c r="B430" t="s">
        <v>16968</v>
      </c>
      <c r="D430" t="s">
        <v>16064</v>
      </c>
      <c r="E430" t="s">
        <v>4215</v>
      </c>
      <c r="F430" t="s">
        <v>17334</v>
      </c>
      <c r="G430">
        <v>3</v>
      </c>
      <c r="O430" t="s">
        <v>16064</v>
      </c>
    </row>
    <row r="431" spans="1:15">
      <c r="A431" t="s">
        <v>17333</v>
      </c>
      <c r="B431" t="s">
        <v>16975</v>
      </c>
      <c r="D431" t="s">
        <v>16065</v>
      </c>
      <c r="E431" t="s">
        <v>4215</v>
      </c>
      <c r="F431" t="s">
        <v>17334</v>
      </c>
      <c r="G431">
        <v>3</v>
      </c>
      <c r="O431" t="s">
        <v>16065</v>
      </c>
    </row>
    <row r="432" spans="1:15">
      <c r="A432" t="s">
        <v>17333</v>
      </c>
      <c r="B432" t="s">
        <v>16982</v>
      </c>
      <c r="D432" t="s">
        <v>16066</v>
      </c>
      <c r="E432" t="s">
        <v>4215</v>
      </c>
      <c r="F432" t="s">
        <v>17334</v>
      </c>
      <c r="G432">
        <v>3</v>
      </c>
      <c r="O432" t="s">
        <v>16066</v>
      </c>
    </row>
    <row r="433" spans="1:15">
      <c r="A433" t="s">
        <v>17333</v>
      </c>
      <c r="B433" t="s">
        <v>16989</v>
      </c>
      <c r="D433" t="s">
        <v>16067</v>
      </c>
      <c r="E433" t="s">
        <v>4215</v>
      </c>
      <c r="F433" t="s">
        <v>17334</v>
      </c>
      <c r="G433">
        <v>3</v>
      </c>
      <c r="O433" t="s">
        <v>16067</v>
      </c>
    </row>
    <row r="434" spans="1:15">
      <c r="A434" t="s">
        <v>17333</v>
      </c>
      <c r="B434" t="s">
        <v>16996</v>
      </c>
      <c r="D434" t="s">
        <v>16068</v>
      </c>
      <c r="E434" t="s">
        <v>4215</v>
      </c>
      <c r="F434" t="s">
        <v>17334</v>
      </c>
      <c r="G434">
        <v>3</v>
      </c>
      <c r="O434" t="s">
        <v>16068</v>
      </c>
    </row>
    <row r="435" spans="1:15">
      <c r="A435" t="s">
        <v>17333</v>
      </c>
      <c r="B435" t="s">
        <v>17003</v>
      </c>
      <c r="D435" t="s">
        <v>16069</v>
      </c>
      <c r="E435" t="s">
        <v>4215</v>
      </c>
      <c r="F435" t="s">
        <v>17334</v>
      </c>
      <c r="G435">
        <v>3</v>
      </c>
      <c r="O435" t="s">
        <v>16069</v>
      </c>
    </row>
    <row r="436" spans="1:15">
      <c r="A436" t="s">
        <v>17333</v>
      </c>
      <c r="B436" t="s">
        <v>17010</v>
      </c>
      <c r="D436" t="s">
        <v>16070</v>
      </c>
      <c r="E436" t="s">
        <v>4215</v>
      </c>
      <c r="F436" t="s">
        <v>17334</v>
      </c>
      <c r="G436">
        <v>3</v>
      </c>
      <c r="O436" t="s">
        <v>16070</v>
      </c>
    </row>
    <row r="437" spans="1:15">
      <c r="A437" t="s">
        <v>17333</v>
      </c>
      <c r="B437" t="s">
        <v>17017</v>
      </c>
      <c r="D437" t="s">
        <v>16071</v>
      </c>
      <c r="E437" t="s">
        <v>4215</v>
      </c>
      <c r="F437" t="s">
        <v>17334</v>
      </c>
      <c r="G437">
        <v>3</v>
      </c>
      <c r="O437" t="s">
        <v>16071</v>
      </c>
    </row>
    <row r="438" spans="1:15">
      <c r="A438" t="s">
        <v>17333</v>
      </c>
      <c r="B438" t="s">
        <v>17024</v>
      </c>
      <c r="D438" t="s">
        <v>16072</v>
      </c>
      <c r="E438" t="s">
        <v>4215</v>
      </c>
      <c r="F438" t="s">
        <v>17334</v>
      </c>
      <c r="G438">
        <v>3</v>
      </c>
      <c r="O438" t="s">
        <v>16072</v>
      </c>
    </row>
    <row r="439" spans="1:15">
      <c r="A439" t="s">
        <v>17333</v>
      </c>
      <c r="B439" t="s">
        <v>17031</v>
      </c>
      <c r="D439" t="s">
        <v>16073</v>
      </c>
      <c r="E439" t="s">
        <v>4215</v>
      </c>
      <c r="F439" t="s">
        <v>17334</v>
      </c>
      <c r="G439">
        <v>3</v>
      </c>
      <c r="O439" t="s">
        <v>16073</v>
      </c>
    </row>
    <row r="440" spans="1:15">
      <c r="A440" t="s">
        <v>17333</v>
      </c>
      <c r="B440" t="s">
        <v>17038</v>
      </c>
      <c r="D440" t="s">
        <v>16074</v>
      </c>
      <c r="E440" t="s">
        <v>4215</v>
      </c>
      <c r="F440" t="s">
        <v>17334</v>
      </c>
      <c r="G440">
        <v>3</v>
      </c>
      <c r="O440" t="s">
        <v>16074</v>
      </c>
    </row>
    <row r="441" spans="1:15">
      <c r="A441" t="s">
        <v>17333</v>
      </c>
      <c r="B441" t="s">
        <v>17045</v>
      </c>
      <c r="D441" t="s">
        <v>16075</v>
      </c>
      <c r="E441" t="s">
        <v>4215</v>
      </c>
      <c r="F441" t="s">
        <v>17334</v>
      </c>
      <c r="G441">
        <v>3</v>
      </c>
      <c r="O441" t="s">
        <v>16075</v>
      </c>
    </row>
    <row r="442" spans="1:15">
      <c r="A442" t="s">
        <v>17333</v>
      </c>
      <c r="B442" t="s">
        <v>17052</v>
      </c>
      <c r="D442" t="s">
        <v>16076</v>
      </c>
      <c r="E442" t="s">
        <v>4215</v>
      </c>
      <c r="F442" t="s">
        <v>17334</v>
      </c>
      <c r="G442">
        <v>3</v>
      </c>
      <c r="O442" t="s">
        <v>16076</v>
      </c>
    </row>
    <row r="443" spans="1:15">
      <c r="A443" t="s">
        <v>17333</v>
      </c>
      <c r="B443" t="s">
        <v>17059</v>
      </c>
      <c r="D443" t="s">
        <v>16077</v>
      </c>
      <c r="E443" t="s">
        <v>4215</v>
      </c>
      <c r="F443" t="s">
        <v>17334</v>
      </c>
      <c r="G443">
        <v>3</v>
      </c>
      <c r="O443" t="s">
        <v>16077</v>
      </c>
    </row>
    <row r="444" spans="1:15">
      <c r="A444" t="s">
        <v>17333</v>
      </c>
      <c r="B444" t="s">
        <v>17066</v>
      </c>
      <c r="D444" t="s">
        <v>16078</v>
      </c>
      <c r="E444" t="s">
        <v>4215</v>
      </c>
      <c r="F444" t="s">
        <v>17334</v>
      </c>
      <c r="G444">
        <v>3</v>
      </c>
      <c r="O444" t="s">
        <v>16078</v>
      </c>
    </row>
    <row r="445" spans="1:15">
      <c r="A445" t="s">
        <v>17333</v>
      </c>
      <c r="B445" t="s">
        <v>17073</v>
      </c>
      <c r="D445" t="s">
        <v>16079</v>
      </c>
      <c r="E445" t="s">
        <v>4215</v>
      </c>
      <c r="F445" t="s">
        <v>17334</v>
      </c>
      <c r="G445">
        <v>3</v>
      </c>
      <c r="O445" t="s">
        <v>16079</v>
      </c>
    </row>
    <row r="446" spans="1:15">
      <c r="A446" t="s">
        <v>17333</v>
      </c>
      <c r="B446" t="s">
        <v>17080</v>
      </c>
      <c r="D446" t="s">
        <v>16080</v>
      </c>
      <c r="E446" t="s">
        <v>4215</v>
      </c>
      <c r="F446" t="s">
        <v>17334</v>
      </c>
      <c r="G446">
        <v>3</v>
      </c>
      <c r="O446" t="s">
        <v>16080</v>
      </c>
    </row>
    <row r="447" spans="1:15">
      <c r="A447" t="s">
        <v>17333</v>
      </c>
      <c r="B447" t="s">
        <v>17087</v>
      </c>
      <c r="D447" t="s">
        <v>16081</v>
      </c>
      <c r="E447" t="s">
        <v>4215</v>
      </c>
      <c r="F447" t="s">
        <v>17334</v>
      </c>
      <c r="G447">
        <v>3</v>
      </c>
      <c r="O447" t="s">
        <v>16081</v>
      </c>
    </row>
    <row r="448" spans="1:15">
      <c r="A448" t="s">
        <v>17333</v>
      </c>
      <c r="B448" t="s">
        <v>17094</v>
      </c>
      <c r="D448" t="s">
        <v>16082</v>
      </c>
      <c r="E448" t="s">
        <v>4215</v>
      </c>
      <c r="F448" t="s">
        <v>17334</v>
      </c>
      <c r="G448">
        <v>3</v>
      </c>
      <c r="O448" t="s">
        <v>16082</v>
      </c>
    </row>
    <row r="449" spans="1:15">
      <c r="A449" t="s">
        <v>17333</v>
      </c>
      <c r="B449" t="s">
        <v>17101</v>
      </c>
      <c r="D449" t="s">
        <v>16083</v>
      </c>
      <c r="E449" t="s">
        <v>4215</v>
      </c>
      <c r="F449" t="s">
        <v>17334</v>
      </c>
      <c r="G449">
        <v>3</v>
      </c>
      <c r="O449" t="s">
        <v>16083</v>
      </c>
    </row>
    <row r="450" spans="1:15">
      <c r="A450" t="s">
        <v>17333</v>
      </c>
      <c r="B450" t="s">
        <v>16898</v>
      </c>
      <c r="D450" t="s">
        <v>16084</v>
      </c>
      <c r="E450" t="s">
        <v>4215</v>
      </c>
      <c r="F450" t="s">
        <v>17334</v>
      </c>
      <c r="G450">
        <v>3</v>
      </c>
      <c r="O450" t="s">
        <v>16084</v>
      </c>
    </row>
    <row r="451" spans="1:15">
      <c r="A451" t="s">
        <v>17333</v>
      </c>
      <c r="B451" t="s">
        <v>16907</v>
      </c>
      <c r="D451" t="s">
        <v>16085</v>
      </c>
      <c r="E451" t="s">
        <v>4215</v>
      </c>
      <c r="F451" t="s">
        <v>17334</v>
      </c>
      <c r="G451">
        <v>3</v>
      </c>
      <c r="O451" t="s">
        <v>16085</v>
      </c>
    </row>
    <row r="452" spans="1:15">
      <c r="A452" t="s">
        <v>17333</v>
      </c>
      <c r="B452" t="s">
        <v>16916</v>
      </c>
      <c r="D452" t="s">
        <v>16086</v>
      </c>
      <c r="E452" t="s">
        <v>4215</v>
      </c>
      <c r="F452" t="s">
        <v>17334</v>
      </c>
      <c r="G452">
        <v>3</v>
      </c>
      <c r="O452" t="s">
        <v>16086</v>
      </c>
    </row>
    <row r="453" spans="1:15">
      <c r="A453" t="s">
        <v>17333</v>
      </c>
      <c r="B453" t="s">
        <v>16925</v>
      </c>
      <c r="D453" t="s">
        <v>16087</v>
      </c>
      <c r="E453" t="s">
        <v>4215</v>
      </c>
      <c r="F453" t="s">
        <v>17334</v>
      </c>
      <c r="G453">
        <v>3</v>
      </c>
      <c r="O453" t="s">
        <v>16087</v>
      </c>
    </row>
    <row r="454" spans="1:15">
      <c r="A454" t="s">
        <v>17333</v>
      </c>
      <c r="B454" t="s">
        <v>16934</v>
      </c>
      <c r="D454" t="s">
        <v>16088</v>
      </c>
      <c r="E454" t="s">
        <v>4215</v>
      </c>
      <c r="F454" t="s">
        <v>17334</v>
      </c>
      <c r="G454">
        <v>3</v>
      </c>
      <c r="O454" t="s">
        <v>16088</v>
      </c>
    </row>
    <row r="455" spans="1:15">
      <c r="A455" t="s">
        <v>17333</v>
      </c>
      <c r="B455" t="s">
        <v>16943</v>
      </c>
      <c r="D455" t="s">
        <v>16089</v>
      </c>
      <c r="E455" t="s">
        <v>4215</v>
      </c>
      <c r="F455" t="s">
        <v>17334</v>
      </c>
      <c r="G455">
        <v>3</v>
      </c>
      <c r="O455" t="s">
        <v>16089</v>
      </c>
    </row>
    <row r="456" spans="1:15">
      <c r="A456" t="s">
        <v>17333</v>
      </c>
      <c r="B456" t="s">
        <v>16952</v>
      </c>
      <c r="D456" t="s">
        <v>16090</v>
      </c>
      <c r="E456" t="s">
        <v>4215</v>
      </c>
      <c r="F456" t="s">
        <v>17334</v>
      </c>
      <c r="G456">
        <v>3</v>
      </c>
      <c r="O456" t="s">
        <v>16090</v>
      </c>
    </row>
    <row r="457" spans="1:15">
      <c r="A457" t="s">
        <v>17333</v>
      </c>
      <c r="B457" t="s">
        <v>16961</v>
      </c>
      <c r="D457" t="s">
        <v>16091</v>
      </c>
      <c r="E457" t="s">
        <v>4215</v>
      </c>
      <c r="F457" t="s">
        <v>17334</v>
      </c>
      <c r="G457">
        <v>3</v>
      </c>
      <c r="O457" t="s">
        <v>16091</v>
      </c>
    </row>
    <row r="458" spans="1:15">
      <c r="A458" t="s">
        <v>17333</v>
      </c>
      <c r="B458" t="s">
        <v>16969</v>
      </c>
      <c r="D458" t="s">
        <v>16092</v>
      </c>
      <c r="E458" t="s">
        <v>4215</v>
      </c>
      <c r="F458" t="s">
        <v>17334</v>
      </c>
      <c r="G458">
        <v>3</v>
      </c>
      <c r="O458" t="s">
        <v>16092</v>
      </c>
    </row>
    <row r="459" spans="1:15">
      <c r="A459" t="s">
        <v>17333</v>
      </c>
      <c r="B459" t="s">
        <v>16976</v>
      </c>
      <c r="D459" t="s">
        <v>16093</v>
      </c>
      <c r="E459" t="s">
        <v>4215</v>
      </c>
      <c r="F459" t="s">
        <v>17334</v>
      </c>
      <c r="G459">
        <v>3</v>
      </c>
      <c r="O459" t="s">
        <v>16093</v>
      </c>
    </row>
    <row r="460" spans="1:15">
      <c r="A460" t="s">
        <v>17333</v>
      </c>
      <c r="B460" t="s">
        <v>16983</v>
      </c>
      <c r="D460" t="s">
        <v>16094</v>
      </c>
      <c r="E460" t="s">
        <v>4215</v>
      </c>
      <c r="F460" t="s">
        <v>17334</v>
      </c>
      <c r="G460">
        <v>3</v>
      </c>
      <c r="O460" t="s">
        <v>16094</v>
      </c>
    </row>
    <row r="461" spans="1:15">
      <c r="A461" t="s">
        <v>17333</v>
      </c>
      <c r="B461" t="s">
        <v>16990</v>
      </c>
      <c r="D461" t="s">
        <v>16095</v>
      </c>
      <c r="E461" t="s">
        <v>4215</v>
      </c>
      <c r="F461" t="s">
        <v>17334</v>
      </c>
      <c r="G461">
        <v>3</v>
      </c>
      <c r="O461" t="s">
        <v>16095</v>
      </c>
    </row>
    <row r="462" spans="1:15">
      <c r="A462" t="s">
        <v>17333</v>
      </c>
      <c r="B462" t="s">
        <v>16997</v>
      </c>
      <c r="D462" t="s">
        <v>16096</v>
      </c>
      <c r="E462" t="s">
        <v>4215</v>
      </c>
      <c r="F462" t="s">
        <v>17334</v>
      </c>
      <c r="G462">
        <v>3</v>
      </c>
      <c r="O462" t="s">
        <v>16096</v>
      </c>
    </row>
    <row r="463" spans="1:15">
      <c r="A463" t="s">
        <v>17333</v>
      </c>
      <c r="B463" t="s">
        <v>17004</v>
      </c>
      <c r="D463" t="s">
        <v>16097</v>
      </c>
      <c r="E463" t="s">
        <v>4215</v>
      </c>
      <c r="F463" t="s">
        <v>17334</v>
      </c>
      <c r="G463">
        <v>3</v>
      </c>
      <c r="O463" t="s">
        <v>16097</v>
      </c>
    </row>
    <row r="464" spans="1:15">
      <c r="A464" t="s">
        <v>17333</v>
      </c>
      <c r="B464" t="s">
        <v>17011</v>
      </c>
      <c r="D464" t="s">
        <v>16098</v>
      </c>
      <c r="E464" t="s">
        <v>4215</v>
      </c>
      <c r="F464" t="s">
        <v>17334</v>
      </c>
      <c r="G464">
        <v>3</v>
      </c>
      <c r="O464" t="s">
        <v>16098</v>
      </c>
    </row>
    <row r="465" spans="1:15">
      <c r="A465" t="s">
        <v>17333</v>
      </c>
      <c r="B465" t="s">
        <v>17018</v>
      </c>
      <c r="D465" t="s">
        <v>16099</v>
      </c>
      <c r="E465" t="s">
        <v>4215</v>
      </c>
      <c r="F465" t="s">
        <v>17334</v>
      </c>
      <c r="G465">
        <v>3</v>
      </c>
      <c r="O465" t="s">
        <v>16099</v>
      </c>
    </row>
    <row r="466" spans="1:15">
      <c r="A466" t="s">
        <v>17333</v>
      </c>
      <c r="B466" t="s">
        <v>17025</v>
      </c>
      <c r="D466" t="s">
        <v>16100</v>
      </c>
      <c r="E466" t="s">
        <v>4215</v>
      </c>
      <c r="F466" t="s">
        <v>17334</v>
      </c>
      <c r="G466">
        <v>3</v>
      </c>
      <c r="O466" t="s">
        <v>16100</v>
      </c>
    </row>
    <row r="467" spans="1:15">
      <c r="A467" t="s">
        <v>17333</v>
      </c>
      <c r="B467" t="s">
        <v>17032</v>
      </c>
      <c r="D467" t="s">
        <v>16101</v>
      </c>
      <c r="E467" t="s">
        <v>4215</v>
      </c>
      <c r="F467" t="s">
        <v>17334</v>
      </c>
      <c r="G467">
        <v>3</v>
      </c>
      <c r="O467" t="s">
        <v>16101</v>
      </c>
    </row>
    <row r="468" spans="1:15">
      <c r="A468" t="s">
        <v>17333</v>
      </c>
      <c r="B468" t="s">
        <v>17039</v>
      </c>
      <c r="D468" t="s">
        <v>16102</v>
      </c>
      <c r="E468" t="s">
        <v>4215</v>
      </c>
      <c r="F468" t="s">
        <v>17334</v>
      </c>
      <c r="G468">
        <v>3</v>
      </c>
      <c r="O468" t="s">
        <v>16102</v>
      </c>
    </row>
    <row r="469" spans="1:15">
      <c r="A469" t="s">
        <v>17333</v>
      </c>
      <c r="B469" t="s">
        <v>17046</v>
      </c>
      <c r="D469" t="s">
        <v>16103</v>
      </c>
      <c r="E469" t="s">
        <v>4215</v>
      </c>
      <c r="F469" t="s">
        <v>17334</v>
      </c>
      <c r="G469">
        <v>3</v>
      </c>
      <c r="O469" t="s">
        <v>16103</v>
      </c>
    </row>
    <row r="470" spans="1:15">
      <c r="A470" t="s">
        <v>17333</v>
      </c>
      <c r="B470" t="s">
        <v>17053</v>
      </c>
      <c r="D470" t="s">
        <v>16104</v>
      </c>
      <c r="E470" t="s">
        <v>4215</v>
      </c>
      <c r="F470" t="s">
        <v>17334</v>
      </c>
      <c r="G470">
        <v>3</v>
      </c>
      <c r="O470" t="s">
        <v>16104</v>
      </c>
    </row>
    <row r="471" spans="1:15">
      <c r="A471" t="s">
        <v>17333</v>
      </c>
      <c r="B471" t="s">
        <v>17060</v>
      </c>
      <c r="D471" t="s">
        <v>16105</v>
      </c>
      <c r="E471" t="s">
        <v>4215</v>
      </c>
      <c r="F471" t="s">
        <v>17334</v>
      </c>
      <c r="G471">
        <v>3</v>
      </c>
      <c r="O471" t="s">
        <v>16105</v>
      </c>
    </row>
    <row r="472" spans="1:15">
      <c r="A472" t="s">
        <v>17333</v>
      </c>
      <c r="B472" t="s">
        <v>17067</v>
      </c>
      <c r="D472" t="s">
        <v>16106</v>
      </c>
      <c r="E472" t="s">
        <v>4215</v>
      </c>
      <c r="F472" t="s">
        <v>17334</v>
      </c>
      <c r="G472">
        <v>3</v>
      </c>
      <c r="O472" t="s">
        <v>16106</v>
      </c>
    </row>
    <row r="473" spans="1:15">
      <c r="A473" t="s">
        <v>17333</v>
      </c>
      <c r="B473" t="s">
        <v>17074</v>
      </c>
      <c r="D473" t="s">
        <v>16107</v>
      </c>
      <c r="E473" t="s">
        <v>4215</v>
      </c>
      <c r="F473" t="s">
        <v>17334</v>
      </c>
      <c r="G473">
        <v>3</v>
      </c>
      <c r="O473" t="s">
        <v>16107</v>
      </c>
    </row>
    <row r="474" spans="1:15">
      <c r="A474" t="s">
        <v>17333</v>
      </c>
      <c r="B474" t="s">
        <v>17081</v>
      </c>
      <c r="D474" t="s">
        <v>16108</v>
      </c>
      <c r="E474" t="s">
        <v>4215</v>
      </c>
      <c r="F474" t="s">
        <v>17334</v>
      </c>
      <c r="G474">
        <v>3</v>
      </c>
      <c r="O474" t="s">
        <v>16108</v>
      </c>
    </row>
    <row r="475" spans="1:15">
      <c r="A475" t="s">
        <v>17333</v>
      </c>
      <c r="B475" t="s">
        <v>17088</v>
      </c>
      <c r="D475" t="s">
        <v>16109</v>
      </c>
      <c r="E475" t="s">
        <v>4215</v>
      </c>
      <c r="F475" t="s">
        <v>17334</v>
      </c>
      <c r="G475">
        <v>3</v>
      </c>
      <c r="O475" t="s">
        <v>16109</v>
      </c>
    </row>
    <row r="476" spans="1:15">
      <c r="A476" t="s">
        <v>17333</v>
      </c>
      <c r="B476" t="s">
        <v>17095</v>
      </c>
      <c r="D476" t="s">
        <v>16110</v>
      </c>
      <c r="E476" t="s">
        <v>4215</v>
      </c>
      <c r="F476" t="s">
        <v>17334</v>
      </c>
      <c r="G476">
        <v>3</v>
      </c>
      <c r="O476" t="s">
        <v>16110</v>
      </c>
    </row>
    <row r="477" spans="1:15">
      <c r="A477" t="s">
        <v>17333</v>
      </c>
      <c r="B477" t="s">
        <v>17102</v>
      </c>
      <c r="D477" t="s">
        <v>16111</v>
      </c>
      <c r="E477" t="s">
        <v>4215</v>
      </c>
      <c r="F477" t="s">
        <v>17334</v>
      </c>
      <c r="G477">
        <v>3</v>
      </c>
      <c r="O477" t="s">
        <v>16111</v>
      </c>
    </row>
    <row r="478" spans="1:15">
      <c r="A478" t="s">
        <v>17333</v>
      </c>
      <c r="B478" t="s">
        <v>16899</v>
      </c>
      <c r="D478" t="s">
        <v>16112</v>
      </c>
      <c r="E478" t="s">
        <v>4215</v>
      </c>
      <c r="F478" t="s">
        <v>17334</v>
      </c>
      <c r="G478">
        <v>3</v>
      </c>
      <c r="O478" t="s">
        <v>16112</v>
      </c>
    </row>
    <row r="479" spans="1:15">
      <c r="A479" t="s">
        <v>17333</v>
      </c>
      <c r="B479" t="s">
        <v>16908</v>
      </c>
      <c r="D479" t="s">
        <v>16113</v>
      </c>
      <c r="E479" t="s">
        <v>4215</v>
      </c>
      <c r="F479" t="s">
        <v>17334</v>
      </c>
      <c r="G479">
        <v>3</v>
      </c>
      <c r="O479" t="s">
        <v>16113</v>
      </c>
    </row>
    <row r="480" spans="1:15">
      <c r="A480" t="s">
        <v>17333</v>
      </c>
      <c r="B480" t="s">
        <v>16917</v>
      </c>
      <c r="D480" t="s">
        <v>16114</v>
      </c>
      <c r="E480" t="s">
        <v>4215</v>
      </c>
      <c r="F480" t="s">
        <v>17334</v>
      </c>
      <c r="G480">
        <v>3</v>
      </c>
      <c r="O480" t="s">
        <v>16114</v>
      </c>
    </row>
    <row r="481" spans="1:15">
      <c r="A481" t="s">
        <v>17333</v>
      </c>
      <c r="B481" t="s">
        <v>16926</v>
      </c>
      <c r="D481" t="s">
        <v>16115</v>
      </c>
      <c r="E481" t="s">
        <v>4215</v>
      </c>
      <c r="F481" t="s">
        <v>17334</v>
      </c>
      <c r="G481">
        <v>3</v>
      </c>
      <c r="O481" t="s">
        <v>16115</v>
      </c>
    </row>
    <row r="482" spans="1:15">
      <c r="A482" t="s">
        <v>17333</v>
      </c>
      <c r="B482" t="s">
        <v>16935</v>
      </c>
      <c r="D482" t="s">
        <v>16116</v>
      </c>
      <c r="E482" t="s">
        <v>4215</v>
      </c>
      <c r="F482" t="s">
        <v>17334</v>
      </c>
      <c r="G482">
        <v>3</v>
      </c>
      <c r="O482" t="s">
        <v>16116</v>
      </c>
    </row>
    <row r="483" spans="1:15">
      <c r="A483" t="s">
        <v>17333</v>
      </c>
      <c r="B483" t="s">
        <v>16944</v>
      </c>
      <c r="D483" t="s">
        <v>16117</v>
      </c>
      <c r="E483" t="s">
        <v>4215</v>
      </c>
      <c r="F483" t="s">
        <v>17334</v>
      </c>
      <c r="G483">
        <v>3</v>
      </c>
      <c r="O483" t="s">
        <v>16117</v>
      </c>
    </row>
    <row r="484" spans="1:15">
      <c r="A484" t="s">
        <v>17333</v>
      </c>
      <c r="B484" t="s">
        <v>16953</v>
      </c>
      <c r="D484" t="s">
        <v>16118</v>
      </c>
      <c r="E484" t="s">
        <v>4215</v>
      </c>
      <c r="F484" t="s">
        <v>17334</v>
      </c>
      <c r="G484">
        <v>3</v>
      </c>
      <c r="O484" t="s">
        <v>16118</v>
      </c>
    </row>
    <row r="485" spans="1:15">
      <c r="A485" t="s">
        <v>17333</v>
      </c>
      <c r="B485" t="s">
        <v>16962</v>
      </c>
      <c r="D485" t="s">
        <v>16119</v>
      </c>
      <c r="E485" t="s">
        <v>4215</v>
      </c>
      <c r="F485" t="s">
        <v>17334</v>
      </c>
      <c r="G485">
        <v>3</v>
      </c>
      <c r="O485" t="s">
        <v>16119</v>
      </c>
    </row>
    <row r="486" spans="1:15">
      <c r="A486" t="s">
        <v>17333</v>
      </c>
      <c r="B486" t="s">
        <v>16970</v>
      </c>
      <c r="D486" t="s">
        <v>16120</v>
      </c>
      <c r="E486" t="s">
        <v>4215</v>
      </c>
      <c r="F486" t="s">
        <v>17334</v>
      </c>
      <c r="G486">
        <v>3</v>
      </c>
      <c r="O486" t="s">
        <v>16120</v>
      </c>
    </row>
    <row r="487" spans="1:15">
      <c r="A487" t="s">
        <v>17333</v>
      </c>
      <c r="B487" t="s">
        <v>16977</v>
      </c>
      <c r="D487" t="s">
        <v>16121</v>
      </c>
      <c r="E487" t="s">
        <v>4215</v>
      </c>
      <c r="F487" t="s">
        <v>17334</v>
      </c>
      <c r="G487">
        <v>3</v>
      </c>
      <c r="O487" t="s">
        <v>16121</v>
      </c>
    </row>
    <row r="488" spans="1:15">
      <c r="A488" t="s">
        <v>17333</v>
      </c>
      <c r="B488" t="s">
        <v>16984</v>
      </c>
      <c r="D488" t="s">
        <v>16122</v>
      </c>
      <c r="E488" t="s">
        <v>4215</v>
      </c>
      <c r="F488" t="s">
        <v>17334</v>
      </c>
      <c r="G488">
        <v>3</v>
      </c>
      <c r="O488" t="s">
        <v>16122</v>
      </c>
    </row>
    <row r="489" spans="1:15">
      <c r="A489" t="s">
        <v>17333</v>
      </c>
      <c r="B489" t="s">
        <v>16991</v>
      </c>
      <c r="D489" t="s">
        <v>16123</v>
      </c>
      <c r="E489" t="s">
        <v>4215</v>
      </c>
      <c r="F489" t="s">
        <v>17334</v>
      </c>
      <c r="G489">
        <v>3</v>
      </c>
      <c r="O489" t="s">
        <v>16123</v>
      </c>
    </row>
    <row r="490" spans="1:15">
      <c r="A490" t="s">
        <v>17333</v>
      </c>
      <c r="B490" t="s">
        <v>16998</v>
      </c>
      <c r="D490" t="s">
        <v>16124</v>
      </c>
      <c r="E490" t="s">
        <v>4215</v>
      </c>
      <c r="F490" t="s">
        <v>17334</v>
      </c>
      <c r="G490">
        <v>3</v>
      </c>
      <c r="O490" t="s">
        <v>16124</v>
      </c>
    </row>
    <row r="491" spans="1:15">
      <c r="A491" t="s">
        <v>17333</v>
      </c>
      <c r="B491" t="s">
        <v>17005</v>
      </c>
      <c r="D491" t="s">
        <v>16125</v>
      </c>
      <c r="E491" t="s">
        <v>4215</v>
      </c>
      <c r="F491" t="s">
        <v>17334</v>
      </c>
      <c r="G491">
        <v>3</v>
      </c>
      <c r="O491" t="s">
        <v>16125</v>
      </c>
    </row>
    <row r="492" spans="1:15">
      <c r="A492" t="s">
        <v>17333</v>
      </c>
      <c r="B492" t="s">
        <v>17012</v>
      </c>
      <c r="D492" t="s">
        <v>16126</v>
      </c>
      <c r="E492" t="s">
        <v>4215</v>
      </c>
      <c r="F492" t="s">
        <v>17334</v>
      </c>
      <c r="G492">
        <v>3</v>
      </c>
      <c r="O492" t="s">
        <v>16126</v>
      </c>
    </row>
    <row r="493" spans="1:15">
      <c r="A493" t="s">
        <v>17333</v>
      </c>
      <c r="B493" t="s">
        <v>17019</v>
      </c>
      <c r="D493" t="s">
        <v>16127</v>
      </c>
      <c r="E493" t="s">
        <v>4215</v>
      </c>
      <c r="F493" t="s">
        <v>17334</v>
      </c>
      <c r="G493">
        <v>3</v>
      </c>
      <c r="O493" t="s">
        <v>16127</v>
      </c>
    </row>
    <row r="494" spans="1:15">
      <c r="A494" t="s">
        <v>17333</v>
      </c>
      <c r="B494" t="s">
        <v>17026</v>
      </c>
      <c r="D494" t="s">
        <v>16128</v>
      </c>
      <c r="E494" t="s">
        <v>4215</v>
      </c>
      <c r="F494" t="s">
        <v>17334</v>
      </c>
      <c r="G494">
        <v>3</v>
      </c>
      <c r="O494" t="s">
        <v>16128</v>
      </c>
    </row>
    <row r="495" spans="1:15">
      <c r="A495" t="s">
        <v>17333</v>
      </c>
      <c r="B495" t="s">
        <v>17033</v>
      </c>
      <c r="D495" t="s">
        <v>16129</v>
      </c>
      <c r="E495" t="s">
        <v>4215</v>
      </c>
      <c r="F495" t="s">
        <v>17334</v>
      </c>
      <c r="G495">
        <v>3</v>
      </c>
      <c r="O495" t="s">
        <v>16129</v>
      </c>
    </row>
    <row r="496" spans="1:15">
      <c r="A496" t="s">
        <v>17333</v>
      </c>
      <c r="B496" t="s">
        <v>17040</v>
      </c>
      <c r="D496" t="s">
        <v>16130</v>
      </c>
      <c r="E496" t="s">
        <v>4215</v>
      </c>
      <c r="F496" t="s">
        <v>17334</v>
      </c>
      <c r="G496">
        <v>3</v>
      </c>
      <c r="O496" t="s">
        <v>16130</v>
      </c>
    </row>
    <row r="497" spans="1:15">
      <c r="A497" t="s">
        <v>17333</v>
      </c>
      <c r="B497" t="s">
        <v>17047</v>
      </c>
      <c r="D497" t="s">
        <v>16131</v>
      </c>
      <c r="E497" t="s">
        <v>4215</v>
      </c>
      <c r="F497" t="s">
        <v>17334</v>
      </c>
      <c r="G497">
        <v>3</v>
      </c>
      <c r="O497" t="s">
        <v>16131</v>
      </c>
    </row>
    <row r="498" spans="1:15">
      <c r="A498" t="s">
        <v>17333</v>
      </c>
      <c r="B498" t="s">
        <v>17054</v>
      </c>
      <c r="D498" t="s">
        <v>16132</v>
      </c>
      <c r="E498" t="s">
        <v>4215</v>
      </c>
      <c r="F498" t="s">
        <v>17334</v>
      </c>
      <c r="G498">
        <v>3</v>
      </c>
      <c r="O498" t="s">
        <v>16132</v>
      </c>
    </row>
    <row r="499" spans="1:15">
      <c r="A499" t="s">
        <v>17333</v>
      </c>
      <c r="B499" t="s">
        <v>17061</v>
      </c>
      <c r="D499" t="s">
        <v>16133</v>
      </c>
      <c r="E499" t="s">
        <v>4215</v>
      </c>
      <c r="F499" t="s">
        <v>17334</v>
      </c>
      <c r="G499">
        <v>3</v>
      </c>
      <c r="O499" t="s">
        <v>16133</v>
      </c>
    </row>
    <row r="500" spans="1:15">
      <c r="A500" t="s">
        <v>17333</v>
      </c>
      <c r="B500" t="s">
        <v>17068</v>
      </c>
      <c r="D500" t="s">
        <v>16134</v>
      </c>
      <c r="E500" t="s">
        <v>4215</v>
      </c>
      <c r="F500" t="s">
        <v>17334</v>
      </c>
      <c r="G500">
        <v>3</v>
      </c>
      <c r="O500" t="s">
        <v>16134</v>
      </c>
    </row>
    <row r="501" spans="1:15">
      <c r="A501" t="s">
        <v>17333</v>
      </c>
      <c r="B501" t="s">
        <v>17075</v>
      </c>
      <c r="D501" t="s">
        <v>16135</v>
      </c>
      <c r="E501" t="s">
        <v>4215</v>
      </c>
      <c r="F501" t="s">
        <v>17334</v>
      </c>
      <c r="G501">
        <v>3</v>
      </c>
      <c r="O501" t="s">
        <v>16135</v>
      </c>
    </row>
    <row r="502" spans="1:15">
      <c r="A502" t="s">
        <v>17333</v>
      </c>
      <c r="B502" t="s">
        <v>17082</v>
      </c>
      <c r="D502" t="s">
        <v>16136</v>
      </c>
      <c r="E502" t="s">
        <v>4215</v>
      </c>
      <c r="F502" t="s">
        <v>17334</v>
      </c>
      <c r="G502">
        <v>3</v>
      </c>
      <c r="O502" t="s">
        <v>16136</v>
      </c>
    </row>
    <row r="503" spans="1:15">
      <c r="A503" t="s">
        <v>17333</v>
      </c>
      <c r="B503" t="s">
        <v>17089</v>
      </c>
      <c r="D503" t="s">
        <v>16137</v>
      </c>
      <c r="E503" t="s">
        <v>4215</v>
      </c>
      <c r="F503" t="s">
        <v>17334</v>
      </c>
      <c r="G503">
        <v>3</v>
      </c>
      <c r="O503" t="s">
        <v>16137</v>
      </c>
    </row>
    <row r="504" spans="1:15">
      <c r="A504" t="s">
        <v>17333</v>
      </c>
      <c r="B504" t="s">
        <v>17096</v>
      </c>
      <c r="D504" t="s">
        <v>16138</v>
      </c>
      <c r="E504" t="s">
        <v>4215</v>
      </c>
      <c r="F504" t="s">
        <v>17334</v>
      </c>
      <c r="G504">
        <v>3</v>
      </c>
      <c r="O504" t="s">
        <v>16138</v>
      </c>
    </row>
    <row r="505" spans="1:15">
      <c r="A505" t="s">
        <v>17333</v>
      </c>
      <c r="B505" t="s">
        <v>17103</v>
      </c>
      <c r="D505" t="s">
        <v>16139</v>
      </c>
      <c r="E505" t="s">
        <v>4215</v>
      </c>
      <c r="F505" t="s">
        <v>17334</v>
      </c>
      <c r="G505">
        <v>3</v>
      </c>
      <c r="O505" t="s">
        <v>16139</v>
      </c>
    </row>
    <row r="506" spans="1:15">
      <c r="A506" t="s">
        <v>17333</v>
      </c>
      <c r="B506" t="s">
        <v>16900</v>
      </c>
      <c r="D506" t="s">
        <v>16140</v>
      </c>
      <c r="E506" t="s">
        <v>4215</v>
      </c>
      <c r="F506" t="s">
        <v>17334</v>
      </c>
      <c r="G506">
        <v>3</v>
      </c>
      <c r="O506" t="s">
        <v>16140</v>
      </c>
    </row>
    <row r="507" spans="1:15">
      <c r="A507" t="s">
        <v>17333</v>
      </c>
      <c r="B507" t="s">
        <v>16909</v>
      </c>
      <c r="D507" t="s">
        <v>16141</v>
      </c>
      <c r="E507" t="s">
        <v>4215</v>
      </c>
      <c r="F507" t="s">
        <v>17334</v>
      </c>
      <c r="G507">
        <v>3</v>
      </c>
      <c r="O507" t="s">
        <v>16141</v>
      </c>
    </row>
    <row r="508" spans="1:15">
      <c r="A508" t="s">
        <v>17333</v>
      </c>
      <c r="B508" t="s">
        <v>16918</v>
      </c>
      <c r="D508" t="s">
        <v>16142</v>
      </c>
      <c r="E508" t="s">
        <v>4215</v>
      </c>
      <c r="F508" t="s">
        <v>17334</v>
      </c>
      <c r="G508">
        <v>3</v>
      </c>
      <c r="O508" t="s">
        <v>16142</v>
      </c>
    </row>
    <row r="509" spans="1:15">
      <c r="A509" t="s">
        <v>17333</v>
      </c>
      <c r="B509" t="s">
        <v>16927</v>
      </c>
      <c r="D509" t="s">
        <v>16143</v>
      </c>
      <c r="E509" t="s">
        <v>4215</v>
      </c>
      <c r="F509" t="s">
        <v>17334</v>
      </c>
      <c r="G509">
        <v>3</v>
      </c>
      <c r="O509" t="s">
        <v>16143</v>
      </c>
    </row>
    <row r="510" spans="1:15">
      <c r="A510" t="s">
        <v>17333</v>
      </c>
      <c r="B510" t="s">
        <v>16936</v>
      </c>
      <c r="D510" t="s">
        <v>16144</v>
      </c>
      <c r="E510" t="s">
        <v>4215</v>
      </c>
      <c r="F510" t="s">
        <v>17334</v>
      </c>
      <c r="G510">
        <v>3</v>
      </c>
      <c r="O510" t="s">
        <v>16144</v>
      </c>
    </row>
    <row r="511" spans="1:15">
      <c r="A511" t="s">
        <v>17333</v>
      </c>
      <c r="B511" t="s">
        <v>16945</v>
      </c>
      <c r="D511" t="s">
        <v>16145</v>
      </c>
      <c r="E511" t="s">
        <v>4215</v>
      </c>
      <c r="F511" t="s">
        <v>17334</v>
      </c>
      <c r="G511">
        <v>3</v>
      </c>
      <c r="O511" t="s">
        <v>16145</v>
      </c>
    </row>
    <row r="512" spans="1:15">
      <c r="A512" t="s">
        <v>17333</v>
      </c>
      <c r="B512" t="s">
        <v>16954</v>
      </c>
      <c r="D512" t="s">
        <v>16146</v>
      </c>
      <c r="E512" t="s">
        <v>4215</v>
      </c>
      <c r="F512" t="s">
        <v>17334</v>
      </c>
      <c r="G512">
        <v>3</v>
      </c>
      <c r="O512" t="s">
        <v>16146</v>
      </c>
    </row>
    <row r="513" spans="1:15">
      <c r="A513" t="s">
        <v>17333</v>
      </c>
      <c r="B513" t="s">
        <v>16963</v>
      </c>
      <c r="D513" t="s">
        <v>16147</v>
      </c>
      <c r="E513" t="s">
        <v>4215</v>
      </c>
      <c r="F513" t="s">
        <v>17334</v>
      </c>
      <c r="G513">
        <v>3</v>
      </c>
      <c r="O513" t="s">
        <v>16147</v>
      </c>
    </row>
    <row r="514" spans="1:15">
      <c r="A514" t="s">
        <v>17333</v>
      </c>
      <c r="B514" t="s">
        <v>16971</v>
      </c>
      <c r="D514" t="s">
        <v>16148</v>
      </c>
      <c r="E514" t="s">
        <v>4215</v>
      </c>
      <c r="F514" t="s">
        <v>17334</v>
      </c>
      <c r="G514">
        <v>3</v>
      </c>
      <c r="O514" t="s">
        <v>16148</v>
      </c>
    </row>
    <row r="515" spans="1:15">
      <c r="A515" t="s">
        <v>17333</v>
      </c>
      <c r="B515" t="s">
        <v>16978</v>
      </c>
      <c r="D515" t="s">
        <v>16149</v>
      </c>
      <c r="E515" t="s">
        <v>4215</v>
      </c>
      <c r="F515" t="s">
        <v>17334</v>
      </c>
      <c r="G515">
        <v>3</v>
      </c>
      <c r="O515" t="s">
        <v>16149</v>
      </c>
    </row>
    <row r="516" spans="1:15">
      <c r="A516" t="s">
        <v>17333</v>
      </c>
      <c r="B516" t="s">
        <v>16985</v>
      </c>
      <c r="D516" t="s">
        <v>16150</v>
      </c>
      <c r="E516" t="s">
        <v>4215</v>
      </c>
      <c r="F516" t="s">
        <v>17334</v>
      </c>
      <c r="G516">
        <v>3</v>
      </c>
      <c r="O516" t="s">
        <v>16150</v>
      </c>
    </row>
    <row r="517" spans="1:15">
      <c r="A517" t="s">
        <v>17333</v>
      </c>
      <c r="B517" t="s">
        <v>16992</v>
      </c>
      <c r="D517" t="s">
        <v>16151</v>
      </c>
      <c r="E517" t="s">
        <v>4215</v>
      </c>
      <c r="F517" t="s">
        <v>17334</v>
      </c>
      <c r="G517">
        <v>3</v>
      </c>
      <c r="O517" t="s">
        <v>16151</v>
      </c>
    </row>
    <row r="518" spans="1:15">
      <c r="A518" t="s">
        <v>17333</v>
      </c>
      <c r="B518" t="s">
        <v>16999</v>
      </c>
      <c r="D518" t="s">
        <v>16152</v>
      </c>
      <c r="E518" t="s">
        <v>4215</v>
      </c>
      <c r="F518" t="s">
        <v>17334</v>
      </c>
      <c r="G518">
        <v>3</v>
      </c>
      <c r="O518" t="s">
        <v>16152</v>
      </c>
    </row>
    <row r="519" spans="1:15">
      <c r="A519" t="s">
        <v>17333</v>
      </c>
      <c r="B519" t="s">
        <v>17006</v>
      </c>
      <c r="D519" t="s">
        <v>16153</v>
      </c>
      <c r="E519" t="s">
        <v>4215</v>
      </c>
      <c r="F519" t="s">
        <v>17334</v>
      </c>
      <c r="G519">
        <v>3</v>
      </c>
      <c r="O519" t="s">
        <v>16153</v>
      </c>
    </row>
    <row r="520" spans="1:15">
      <c r="A520" t="s">
        <v>17333</v>
      </c>
      <c r="B520" t="s">
        <v>17013</v>
      </c>
      <c r="D520" t="s">
        <v>16154</v>
      </c>
      <c r="E520" t="s">
        <v>4215</v>
      </c>
      <c r="F520" t="s">
        <v>17334</v>
      </c>
      <c r="G520">
        <v>3</v>
      </c>
      <c r="O520" t="s">
        <v>16154</v>
      </c>
    </row>
    <row r="521" spans="1:15">
      <c r="A521" t="s">
        <v>17333</v>
      </c>
      <c r="B521" t="s">
        <v>17020</v>
      </c>
      <c r="D521" t="s">
        <v>16155</v>
      </c>
      <c r="E521" t="s">
        <v>4215</v>
      </c>
      <c r="F521" t="s">
        <v>17334</v>
      </c>
      <c r="G521">
        <v>3</v>
      </c>
      <c r="O521" t="s">
        <v>16155</v>
      </c>
    </row>
    <row r="522" spans="1:15">
      <c r="A522" t="s">
        <v>17333</v>
      </c>
      <c r="B522" t="s">
        <v>17027</v>
      </c>
      <c r="D522" t="s">
        <v>16156</v>
      </c>
      <c r="E522" t="s">
        <v>4215</v>
      </c>
      <c r="F522" t="s">
        <v>17334</v>
      </c>
      <c r="G522">
        <v>3</v>
      </c>
      <c r="O522" t="s">
        <v>16156</v>
      </c>
    </row>
    <row r="523" spans="1:15">
      <c r="A523" t="s">
        <v>17333</v>
      </c>
      <c r="B523" t="s">
        <v>17034</v>
      </c>
      <c r="D523" t="s">
        <v>16157</v>
      </c>
      <c r="E523" t="s">
        <v>4215</v>
      </c>
      <c r="F523" t="s">
        <v>17334</v>
      </c>
      <c r="G523">
        <v>3</v>
      </c>
      <c r="O523" t="s">
        <v>16157</v>
      </c>
    </row>
    <row r="524" spans="1:15">
      <c r="A524" t="s">
        <v>17333</v>
      </c>
      <c r="B524" t="s">
        <v>17041</v>
      </c>
      <c r="D524" t="s">
        <v>16158</v>
      </c>
      <c r="E524" t="s">
        <v>4215</v>
      </c>
      <c r="F524" t="s">
        <v>17334</v>
      </c>
      <c r="G524">
        <v>3</v>
      </c>
      <c r="O524" t="s">
        <v>16158</v>
      </c>
    </row>
    <row r="525" spans="1:15">
      <c r="A525" t="s">
        <v>17333</v>
      </c>
      <c r="B525" t="s">
        <v>17048</v>
      </c>
      <c r="D525" t="s">
        <v>16159</v>
      </c>
      <c r="E525" t="s">
        <v>4215</v>
      </c>
      <c r="F525" t="s">
        <v>17334</v>
      </c>
      <c r="G525">
        <v>3</v>
      </c>
      <c r="O525" t="s">
        <v>16159</v>
      </c>
    </row>
    <row r="526" spans="1:15">
      <c r="A526" t="s">
        <v>17333</v>
      </c>
      <c r="B526" t="s">
        <v>17055</v>
      </c>
      <c r="D526" t="s">
        <v>16160</v>
      </c>
      <c r="E526" t="s">
        <v>4215</v>
      </c>
      <c r="F526" t="s">
        <v>17334</v>
      </c>
      <c r="G526">
        <v>3</v>
      </c>
      <c r="O526" t="s">
        <v>16160</v>
      </c>
    </row>
    <row r="527" spans="1:15">
      <c r="A527" t="s">
        <v>17333</v>
      </c>
      <c r="B527" t="s">
        <v>17062</v>
      </c>
      <c r="D527" t="s">
        <v>16161</v>
      </c>
      <c r="E527" t="s">
        <v>4215</v>
      </c>
      <c r="F527" t="s">
        <v>17334</v>
      </c>
      <c r="G527">
        <v>3</v>
      </c>
      <c r="O527" t="s">
        <v>16161</v>
      </c>
    </row>
    <row r="528" spans="1:15">
      <c r="A528" t="s">
        <v>17333</v>
      </c>
      <c r="B528" t="s">
        <v>17069</v>
      </c>
      <c r="D528" t="s">
        <v>16162</v>
      </c>
      <c r="E528" t="s">
        <v>4215</v>
      </c>
      <c r="F528" t="s">
        <v>17334</v>
      </c>
      <c r="G528">
        <v>3</v>
      </c>
      <c r="O528" t="s">
        <v>16162</v>
      </c>
    </row>
    <row r="529" spans="1:15">
      <c r="A529" t="s">
        <v>17333</v>
      </c>
      <c r="B529" t="s">
        <v>17076</v>
      </c>
      <c r="D529" t="s">
        <v>16163</v>
      </c>
      <c r="E529" t="s">
        <v>4215</v>
      </c>
      <c r="F529" t="s">
        <v>17334</v>
      </c>
      <c r="G529">
        <v>3</v>
      </c>
      <c r="O529" t="s">
        <v>16163</v>
      </c>
    </row>
    <row r="530" spans="1:15">
      <c r="A530" t="s">
        <v>17333</v>
      </c>
      <c r="B530" t="s">
        <v>17083</v>
      </c>
      <c r="D530" t="s">
        <v>16164</v>
      </c>
      <c r="E530" t="s">
        <v>4215</v>
      </c>
      <c r="F530" t="s">
        <v>17334</v>
      </c>
      <c r="G530">
        <v>3</v>
      </c>
      <c r="O530" t="s">
        <v>16164</v>
      </c>
    </row>
    <row r="531" spans="1:15">
      <c r="A531" t="s">
        <v>17333</v>
      </c>
      <c r="B531" t="s">
        <v>17090</v>
      </c>
      <c r="D531" t="s">
        <v>16165</v>
      </c>
      <c r="E531" t="s">
        <v>4215</v>
      </c>
      <c r="F531" t="s">
        <v>17334</v>
      </c>
      <c r="G531">
        <v>3</v>
      </c>
      <c r="O531" t="s">
        <v>16165</v>
      </c>
    </row>
    <row r="532" spans="1:15">
      <c r="A532" t="s">
        <v>17333</v>
      </c>
      <c r="B532" t="s">
        <v>17097</v>
      </c>
      <c r="D532" t="s">
        <v>16166</v>
      </c>
      <c r="E532" t="s">
        <v>4215</v>
      </c>
      <c r="F532" t="s">
        <v>17334</v>
      </c>
      <c r="G532">
        <v>3</v>
      </c>
      <c r="O532" t="s">
        <v>16166</v>
      </c>
    </row>
    <row r="533" spans="1:15">
      <c r="A533" t="s">
        <v>17333</v>
      </c>
      <c r="B533" t="s">
        <v>17104</v>
      </c>
      <c r="D533" t="s">
        <v>16167</v>
      </c>
      <c r="E533" t="s">
        <v>4215</v>
      </c>
      <c r="F533" t="s">
        <v>17334</v>
      </c>
      <c r="G533">
        <v>3</v>
      </c>
      <c r="O533" t="s">
        <v>16167</v>
      </c>
    </row>
    <row r="534" spans="1:15">
      <c r="A534" t="s">
        <v>17333</v>
      </c>
      <c r="B534" t="s">
        <v>16901</v>
      </c>
      <c r="D534" t="s">
        <v>16168</v>
      </c>
      <c r="E534" t="s">
        <v>4215</v>
      </c>
      <c r="F534" t="s">
        <v>17334</v>
      </c>
      <c r="G534">
        <v>3</v>
      </c>
      <c r="O534" t="s">
        <v>16168</v>
      </c>
    </row>
    <row r="535" spans="1:15">
      <c r="A535" t="s">
        <v>17333</v>
      </c>
      <c r="B535" t="s">
        <v>16910</v>
      </c>
      <c r="D535" t="s">
        <v>16169</v>
      </c>
      <c r="E535" t="s">
        <v>4215</v>
      </c>
      <c r="F535" t="s">
        <v>17334</v>
      </c>
      <c r="G535">
        <v>3</v>
      </c>
      <c r="O535" t="s">
        <v>16169</v>
      </c>
    </row>
    <row r="536" spans="1:15">
      <c r="A536" t="s">
        <v>17333</v>
      </c>
      <c r="B536" t="s">
        <v>16919</v>
      </c>
      <c r="D536" t="s">
        <v>16170</v>
      </c>
      <c r="E536" t="s">
        <v>4215</v>
      </c>
      <c r="F536" t="s">
        <v>17334</v>
      </c>
      <c r="G536">
        <v>3</v>
      </c>
      <c r="O536" t="s">
        <v>16170</v>
      </c>
    </row>
    <row r="537" spans="1:15">
      <c r="A537" t="s">
        <v>17333</v>
      </c>
      <c r="B537" t="s">
        <v>16928</v>
      </c>
      <c r="D537" t="s">
        <v>16171</v>
      </c>
      <c r="E537" t="s">
        <v>4215</v>
      </c>
      <c r="F537" t="s">
        <v>17334</v>
      </c>
      <c r="G537">
        <v>3</v>
      </c>
      <c r="O537" t="s">
        <v>16171</v>
      </c>
    </row>
    <row r="538" spans="1:15">
      <c r="A538" t="s">
        <v>17333</v>
      </c>
      <c r="B538" t="s">
        <v>16937</v>
      </c>
      <c r="D538" t="s">
        <v>16172</v>
      </c>
      <c r="E538" t="s">
        <v>4215</v>
      </c>
      <c r="F538" t="s">
        <v>17334</v>
      </c>
      <c r="G538">
        <v>3</v>
      </c>
      <c r="O538" t="s">
        <v>16172</v>
      </c>
    </row>
    <row r="539" spans="1:15">
      <c r="A539" t="s">
        <v>17333</v>
      </c>
      <c r="B539" t="s">
        <v>16946</v>
      </c>
      <c r="D539" t="s">
        <v>16173</v>
      </c>
      <c r="E539" t="s">
        <v>4215</v>
      </c>
      <c r="F539" t="s">
        <v>17334</v>
      </c>
      <c r="G539">
        <v>3</v>
      </c>
      <c r="O539" t="s">
        <v>16173</v>
      </c>
    </row>
    <row r="540" spans="1:15">
      <c r="A540" t="s">
        <v>17333</v>
      </c>
      <c r="B540" t="s">
        <v>16955</v>
      </c>
      <c r="D540" t="s">
        <v>16174</v>
      </c>
      <c r="E540" t="s">
        <v>4215</v>
      </c>
      <c r="F540" t="s">
        <v>17334</v>
      </c>
      <c r="G540">
        <v>3</v>
      </c>
      <c r="O540" t="s">
        <v>16174</v>
      </c>
    </row>
    <row r="541" spans="1:15">
      <c r="A541" t="s">
        <v>17333</v>
      </c>
      <c r="B541" t="s">
        <v>16964</v>
      </c>
      <c r="D541" t="s">
        <v>16175</v>
      </c>
      <c r="E541" t="s">
        <v>4215</v>
      </c>
      <c r="F541" t="s">
        <v>17334</v>
      </c>
      <c r="G541">
        <v>3</v>
      </c>
      <c r="O541" t="s">
        <v>16175</v>
      </c>
    </row>
    <row r="542" spans="1:15">
      <c r="A542" t="s">
        <v>17333</v>
      </c>
      <c r="B542" t="s">
        <v>16972</v>
      </c>
      <c r="D542" t="s">
        <v>16176</v>
      </c>
      <c r="E542" t="s">
        <v>4215</v>
      </c>
      <c r="F542" t="s">
        <v>17334</v>
      </c>
      <c r="G542">
        <v>3</v>
      </c>
      <c r="O542" t="s">
        <v>16176</v>
      </c>
    </row>
    <row r="543" spans="1:15">
      <c r="A543" t="s">
        <v>17333</v>
      </c>
      <c r="B543" t="s">
        <v>16979</v>
      </c>
      <c r="D543" t="s">
        <v>16177</v>
      </c>
      <c r="E543" t="s">
        <v>4215</v>
      </c>
      <c r="F543" t="s">
        <v>17334</v>
      </c>
      <c r="G543">
        <v>3</v>
      </c>
      <c r="O543" t="s">
        <v>16177</v>
      </c>
    </row>
    <row r="544" spans="1:15">
      <c r="A544" t="s">
        <v>17333</v>
      </c>
      <c r="B544" t="s">
        <v>16986</v>
      </c>
      <c r="D544" t="s">
        <v>16178</v>
      </c>
      <c r="E544" t="s">
        <v>4215</v>
      </c>
      <c r="F544" t="s">
        <v>17334</v>
      </c>
      <c r="G544">
        <v>3</v>
      </c>
      <c r="O544" t="s">
        <v>16178</v>
      </c>
    </row>
    <row r="545" spans="1:15">
      <c r="A545" t="s">
        <v>17333</v>
      </c>
      <c r="B545" t="s">
        <v>16993</v>
      </c>
      <c r="D545" t="s">
        <v>16179</v>
      </c>
      <c r="E545" t="s">
        <v>4215</v>
      </c>
      <c r="F545" t="s">
        <v>17334</v>
      </c>
      <c r="G545">
        <v>3</v>
      </c>
      <c r="O545" t="s">
        <v>16179</v>
      </c>
    </row>
    <row r="546" spans="1:15">
      <c r="A546" t="s">
        <v>17333</v>
      </c>
      <c r="B546" t="s">
        <v>17000</v>
      </c>
      <c r="D546" t="s">
        <v>16180</v>
      </c>
      <c r="E546" t="s">
        <v>4215</v>
      </c>
      <c r="F546" t="s">
        <v>17334</v>
      </c>
      <c r="G546">
        <v>3</v>
      </c>
      <c r="O546" t="s">
        <v>16180</v>
      </c>
    </row>
    <row r="547" spans="1:15">
      <c r="A547" t="s">
        <v>17333</v>
      </c>
      <c r="B547" t="s">
        <v>17007</v>
      </c>
      <c r="D547" t="s">
        <v>16181</v>
      </c>
      <c r="E547" t="s">
        <v>4215</v>
      </c>
      <c r="F547" t="s">
        <v>17334</v>
      </c>
      <c r="G547">
        <v>3</v>
      </c>
      <c r="O547" t="s">
        <v>16181</v>
      </c>
    </row>
    <row r="548" spans="1:15">
      <c r="A548" t="s">
        <v>17333</v>
      </c>
      <c r="B548" t="s">
        <v>17014</v>
      </c>
      <c r="D548" t="s">
        <v>16182</v>
      </c>
      <c r="E548" t="s">
        <v>4215</v>
      </c>
      <c r="F548" t="s">
        <v>17334</v>
      </c>
      <c r="G548">
        <v>3</v>
      </c>
      <c r="O548" t="s">
        <v>16182</v>
      </c>
    </row>
    <row r="549" spans="1:15">
      <c r="A549" t="s">
        <v>17333</v>
      </c>
      <c r="B549" t="s">
        <v>17021</v>
      </c>
      <c r="D549" t="s">
        <v>16183</v>
      </c>
      <c r="E549" t="s">
        <v>4215</v>
      </c>
      <c r="F549" t="s">
        <v>17334</v>
      </c>
      <c r="G549">
        <v>3</v>
      </c>
      <c r="O549" t="s">
        <v>16183</v>
      </c>
    </row>
    <row r="550" spans="1:15">
      <c r="A550" t="s">
        <v>17333</v>
      </c>
      <c r="B550" t="s">
        <v>17028</v>
      </c>
      <c r="D550" t="s">
        <v>16184</v>
      </c>
      <c r="E550" t="s">
        <v>4215</v>
      </c>
      <c r="F550" t="s">
        <v>17334</v>
      </c>
      <c r="G550">
        <v>3</v>
      </c>
      <c r="O550" t="s">
        <v>16184</v>
      </c>
    </row>
    <row r="551" spans="1:15">
      <c r="A551" t="s">
        <v>17333</v>
      </c>
      <c r="B551" t="s">
        <v>17035</v>
      </c>
      <c r="D551" t="s">
        <v>16185</v>
      </c>
      <c r="E551" t="s">
        <v>4215</v>
      </c>
      <c r="F551" t="s">
        <v>17334</v>
      </c>
      <c r="G551">
        <v>3</v>
      </c>
      <c r="O551" t="s">
        <v>16185</v>
      </c>
    </row>
    <row r="552" spans="1:15">
      <c r="A552" t="s">
        <v>17333</v>
      </c>
      <c r="B552" t="s">
        <v>17042</v>
      </c>
      <c r="D552" t="s">
        <v>16186</v>
      </c>
      <c r="E552" t="s">
        <v>4215</v>
      </c>
      <c r="F552" t="s">
        <v>17334</v>
      </c>
      <c r="G552">
        <v>3</v>
      </c>
      <c r="O552" t="s">
        <v>16186</v>
      </c>
    </row>
    <row r="553" spans="1:15">
      <c r="A553" t="s">
        <v>17333</v>
      </c>
      <c r="B553" t="s">
        <v>17049</v>
      </c>
      <c r="D553" t="s">
        <v>16187</v>
      </c>
      <c r="E553" t="s">
        <v>4215</v>
      </c>
      <c r="F553" t="s">
        <v>17334</v>
      </c>
      <c r="G553">
        <v>3</v>
      </c>
      <c r="O553" t="s">
        <v>16187</v>
      </c>
    </row>
    <row r="554" spans="1:15">
      <c r="A554" t="s">
        <v>17333</v>
      </c>
      <c r="B554" t="s">
        <v>17056</v>
      </c>
      <c r="D554" t="s">
        <v>16188</v>
      </c>
      <c r="E554" t="s">
        <v>4215</v>
      </c>
      <c r="F554" t="s">
        <v>17334</v>
      </c>
      <c r="G554">
        <v>3</v>
      </c>
      <c r="O554" t="s">
        <v>16188</v>
      </c>
    </row>
    <row r="555" spans="1:15">
      <c r="A555" t="s">
        <v>17333</v>
      </c>
      <c r="B555" t="s">
        <v>17063</v>
      </c>
      <c r="D555" t="s">
        <v>16189</v>
      </c>
      <c r="E555" t="s">
        <v>4215</v>
      </c>
      <c r="F555" t="s">
        <v>17334</v>
      </c>
      <c r="G555">
        <v>3</v>
      </c>
      <c r="O555" t="s">
        <v>16189</v>
      </c>
    </row>
    <row r="556" spans="1:15">
      <c r="A556" t="s">
        <v>17333</v>
      </c>
      <c r="B556" t="s">
        <v>17070</v>
      </c>
      <c r="D556" t="s">
        <v>16190</v>
      </c>
      <c r="E556" t="s">
        <v>4215</v>
      </c>
      <c r="F556" t="s">
        <v>17334</v>
      </c>
      <c r="G556">
        <v>3</v>
      </c>
      <c r="O556" t="s">
        <v>16190</v>
      </c>
    </row>
    <row r="557" spans="1:15">
      <c r="A557" t="s">
        <v>17333</v>
      </c>
      <c r="B557" t="s">
        <v>17077</v>
      </c>
      <c r="D557" t="s">
        <v>16191</v>
      </c>
      <c r="E557" t="s">
        <v>4215</v>
      </c>
      <c r="F557" t="s">
        <v>17334</v>
      </c>
      <c r="G557">
        <v>3</v>
      </c>
      <c r="O557" t="s">
        <v>16191</v>
      </c>
    </row>
    <row r="558" spans="1:15">
      <c r="A558" t="s">
        <v>17333</v>
      </c>
      <c r="B558" t="s">
        <v>17084</v>
      </c>
      <c r="D558" t="s">
        <v>16192</v>
      </c>
      <c r="E558" t="s">
        <v>4215</v>
      </c>
      <c r="F558" t="s">
        <v>17334</v>
      </c>
      <c r="G558">
        <v>3</v>
      </c>
      <c r="O558" t="s">
        <v>16192</v>
      </c>
    </row>
    <row r="559" spans="1:15">
      <c r="A559" t="s">
        <v>17333</v>
      </c>
      <c r="B559" t="s">
        <v>17091</v>
      </c>
      <c r="D559" t="s">
        <v>16193</v>
      </c>
      <c r="E559" t="s">
        <v>4215</v>
      </c>
      <c r="F559" t="s">
        <v>17334</v>
      </c>
      <c r="G559">
        <v>3</v>
      </c>
      <c r="O559" t="s">
        <v>16193</v>
      </c>
    </row>
    <row r="560" spans="1:15">
      <c r="A560" t="s">
        <v>17333</v>
      </c>
      <c r="B560" t="s">
        <v>17098</v>
      </c>
      <c r="D560" t="s">
        <v>16194</v>
      </c>
      <c r="E560" t="s">
        <v>4215</v>
      </c>
      <c r="F560" t="s">
        <v>17334</v>
      </c>
      <c r="G560">
        <v>3</v>
      </c>
      <c r="O560" t="s">
        <v>16194</v>
      </c>
    </row>
    <row r="561" spans="1:15">
      <c r="A561" t="s">
        <v>17333</v>
      </c>
      <c r="B561" t="s">
        <v>17105</v>
      </c>
      <c r="D561" t="s">
        <v>16195</v>
      </c>
      <c r="E561" t="s">
        <v>4215</v>
      </c>
      <c r="F561" t="s">
        <v>17334</v>
      </c>
      <c r="G561">
        <v>3</v>
      </c>
      <c r="O561" t="s">
        <v>16195</v>
      </c>
    </row>
    <row r="562" spans="1:15">
      <c r="A562" t="s">
        <v>17333</v>
      </c>
      <c r="B562" t="s">
        <v>16902</v>
      </c>
      <c r="D562" t="s">
        <v>16196</v>
      </c>
      <c r="E562" t="s">
        <v>4215</v>
      </c>
      <c r="F562" t="s">
        <v>17334</v>
      </c>
      <c r="G562">
        <v>3</v>
      </c>
      <c r="O562" t="s">
        <v>16196</v>
      </c>
    </row>
    <row r="563" spans="1:15">
      <c r="A563" t="s">
        <v>17333</v>
      </c>
      <c r="B563" t="s">
        <v>16911</v>
      </c>
      <c r="D563" t="s">
        <v>16197</v>
      </c>
      <c r="E563" t="s">
        <v>4215</v>
      </c>
      <c r="F563" t="s">
        <v>17334</v>
      </c>
      <c r="G563">
        <v>3</v>
      </c>
      <c r="O563" t="s">
        <v>16197</v>
      </c>
    </row>
    <row r="564" spans="1:15">
      <c r="A564" t="s">
        <v>17333</v>
      </c>
      <c r="B564" t="s">
        <v>16920</v>
      </c>
      <c r="D564" t="s">
        <v>16198</v>
      </c>
      <c r="E564" t="s">
        <v>4215</v>
      </c>
      <c r="F564" t="s">
        <v>17334</v>
      </c>
      <c r="G564">
        <v>3</v>
      </c>
      <c r="O564" t="s">
        <v>16198</v>
      </c>
    </row>
    <row r="565" spans="1:15">
      <c r="A565" t="s">
        <v>17333</v>
      </c>
      <c r="B565" t="s">
        <v>16929</v>
      </c>
      <c r="D565" t="s">
        <v>16199</v>
      </c>
      <c r="E565" t="s">
        <v>4215</v>
      </c>
      <c r="F565" t="s">
        <v>17334</v>
      </c>
      <c r="G565">
        <v>3</v>
      </c>
      <c r="O565" t="s">
        <v>16199</v>
      </c>
    </row>
    <row r="566" spans="1:15">
      <c r="A566" t="s">
        <v>17333</v>
      </c>
      <c r="B566" t="s">
        <v>16938</v>
      </c>
      <c r="D566" t="s">
        <v>16200</v>
      </c>
      <c r="E566" t="s">
        <v>4215</v>
      </c>
      <c r="F566" t="s">
        <v>17334</v>
      </c>
      <c r="G566">
        <v>3</v>
      </c>
      <c r="O566" t="s">
        <v>16200</v>
      </c>
    </row>
    <row r="567" spans="1:15">
      <c r="A567" t="s">
        <v>17333</v>
      </c>
      <c r="B567" t="s">
        <v>16947</v>
      </c>
      <c r="D567" t="s">
        <v>16201</v>
      </c>
      <c r="E567" t="s">
        <v>4215</v>
      </c>
      <c r="F567" t="s">
        <v>17334</v>
      </c>
      <c r="G567">
        <v>3</v>
      </c>
      <c r="O567" t="s">
        <v>16201</v>
      </c>
    </row>
    <row r="568" spans="1:15">
      <c r="A568" t="s">
        <v>17333</v>
      </c>
      <c r="B568" t="s">
        <v>16956</v>
      </c>
      <c r="D568" t="s">
        <v>16202</v>
      </c>
      <c r="E568" t="s">
        <v>4215</v>
      </c>
      <c r="F568" t="s">
        <v>17334</v>
      </c>
      <c r="G568">
        <v>3</v>
      </c>
      <c r="O568" t="s">
        <v>16202</v>
      </c>
    </row>
    <row r="569" spans="1:15">
      <c r="A569" t="s">
        <v>17333</v>
      </c>
      <c r="B569" t="s">
        <v>16965</v>
      </c>
      <c r="D569" t="s">
        <v>16203</v>
      </c>
      <c r="E569" t="s">
        <v>4215</v>
      </c>
      <c r="F569" t="s">
        <v>17334</v>
      </c>
      <c r="G569">
        <v>3</v>
      </c>
      <c r="O569" t="s">
        <v>16203</v>
      </c>
    </row>
    <row r="570" spans="1:15">
      <c r="A570" t="s">
        <v>17333</v>
      </c>
      <c r="B570" t="s">
        <v>16973</v>
      </c>
      <c r="D570" t="s">
        <v>16204</v>
      </c>
      <c r="E570" t="s">
        <v>4215</v>
      </c>
      <c r="F570" t="s">
        <v>17334</v>
      </c>
      <c r="G570">
        <v>3</v>
      </c>
      <c r="O570" t="s">
        <v>16204</v>
      </c>
    </row>
    <row r="571" spans="1:15">
      <c r="A571" t="s">
        <v>17333</v>
      </c>
      <c r="B571" t="s">
        <v>16980</v>
      </c>
      <c r="D571" t="s">
        <v>16205</v>
      </c>
      <c r="E571" t="s">
        <v>4215</v>
      </c>
      <c r="F571" t="s">
        <v>17334</v>
      </c>
      <c r="G571">
        <v>3</v>
      </c>
      <c r="O571" t="s">
        <v>16205</v>
      </c>
    </row>
    <row r="572" spans="1:15">
      <c r="A572" t="s">
        <v>17333</v>
      </c>
      <c r="B572" t="s">
        <v>16987</v>
      </c>
      <c r="D572" t="s">
        <v>16206</v>
      </c>
      <c r="E572" t="s">
        <v>4215</v>
      </c>
      <c r="F572" t="s">
        <v>17334</v>
      </c>
      <c r="G572">
        <v>3</v>
      </c>
      <c r="O572" t="s">
        <v>16206</v>
      </c>
    </row>
    <row r="573" spans="1:15">
      <c r="A573" t="s">
        <v>17333</v>
      </c>
      <c r="B573" t="s">
        <v>16994</v>
      </c>
      <c r="D573" t="s">
        <v>16207</v>
      </c>
      <c r="E573" t="s">
        <v>4215</v>
      </c>
      <c r="F573" t="s">
        <v>17334</v>
      </c>
      <c r="G573">
        <v>3</v>
      </c>
      <c r="O573" t="s">
        <v>16207</v>
      </c>
    </row>
    <row r="574" spans="1:15">
      <c r="A574" t="s">
        <v>17333</v>
      </c>
      <c r="B574" t="s">
        <v>17001</v>
      </c>
      <c r="D574" t="s">
        <v>16208</v>
      </c>
      <c r="E574" t="s">
        <v>4215</v>
      </c>
      <c r="F574" t="s">
        <v>17334</v>
      </c>
      <c r="G574">
        <v>3</v>
      </c>
      <c r="O574" t="s">
        <v>16208</v>
      </c>
    </row>
    <row r="575" spans="1:15">
      <c r="A575" t="s">
        <v>17333</v>
      </c>
      <c r="B575" t="s">
        <v>17008</v>
      </c>
      <c r="D575" t="s">
        <v>16209</v>
      </c>
      <c r="E575" t="s">
        <v>4215</v>
      </c>
      <c r="F575" t="s">
        <v>17334</v>
      </c>
      <c r="G575">
        <v>3</v>
      </c>
      <c r="O575" t="s">
        <v>16209</v>
      </c>
    </row>
    <row r="576" spans="1:15">
      <c r="A576" t="s">
        <v>17333</v>
      </c>
      <c r="B576" t="s">
        <v>17015</v>
      </c>
      <c r="D576" t="s">
        <v>16210</v>
      </c>
      <c r="E576" t="s">
        <v>4215</v>
      </c>
      <c r="F576" t="s">
        <v>17334</v>
      </c>
      <c r="G576">
        <v>3</v>
      </c>
      <c r="O576" t="s">
        <v>16210</v>
      </c>
    </row>
    <row r="577" spans="1:15">
      <c r="A577" t="s">
        <v>17333</v>
      </c>
      <c r="B577" t="s">
        <v>17022</v>
      </c>
      <c r="D577" t="s">
        <v>16211</v>
      </c>
      <c r="E577" t="s">
        <v>4215</v>
      </c>
      <c r="F577" t="s">
        <v>17334</v>
      </c>
      <c r="G577">
        <v>3</v>
      </c>
      <c r="O577" t="s">
        <v>16211</v>
      </c>
    </row>
    <row r="578" spans="1:15">
      <c r="A578" t="s">
        <v>17333</v>
      </c>
      <c r="B578" t="s">
        <v>17029</v>
      </c>
      <c r="D578" t="s">
        <v>16212</v>
      </c>
      <c r="E578" t="s">
        <v>4215</v>
      </c>
      <c r="F578" t="s">
        <v>17334</v>
      </c>
      <c r="G578">
        <v>3</v>
      </c>
      <c r="O578" t="s">
        <v>16212</v>
      </c>
    </row>
    <row r="579" spans="1:15">
      <c r="A579" t="s">
        <v>17333</v>
      </c>
      <c r="B579" t="s">
        <v>17036</v>
      </c>
      <c r="D579" t="s">
        <v>16213</v>
      </c>
      <c r="E579" t="s">
        <v>4215</v>
      </c>
      <c r="F579" t="s">
        <v>17334</v>
      </c>
      <c r="G579">
        <v>3</v>
      </c>
      <c r="O579" t="s">
        <v>16213</v>
      </c>
    </row>
    <row r="580" spans="1:15">
      <c r="A580" t="s">
        <v>17333</v>
      </c>
      <c r="B580" t="s">
        <v>17043</v>
      </c>
      <c r="D580" t="s">
        <v>16214</v>
      </c>
      <c r="E580" t="s">
        <v>4215</v>
      </c>
      <c r="F580" t="s">
        <v>17334</v>
      </c>
      <c r="G580">
        <v>3</v>
      </c>
      <c r="O580" t="s">
        <v>16214</v>
      </c>
    </row>
    <row r="581" spans="1:15">
      <c r="A581" t="s">
        <v>17333</v>
      </c>
      <c r="B581" t="s">
        <v>17050</v>
      </c>
      <c r="D581" t="s">
        <v>16215</v>
      </c>
      <c r="E581" t="s">
        <v>4215</v>
      </c>
      <c r="F581" t="s">
        <v>17334</v>
      </c>
      <c r="G581">
        <v>3</v>
      </c>
      <c r="O581" t="s">
        <v>16215</v>
      </c>
    </row>
    <row r="582" spans="1:15">
      <c r="A582" t="s">
        <v>17333</v>
      </c>
      <c r="B582" t="s">
        <v>17057</v>
      </c>
      <c r="D582" t="s">
        <v>16216</v>
      </c>
      <c r="E582" t="s">
        <v>4215</v>
      </c>
      <c r="F582" t="s">
        <v>17334</v>
      </c>
      <c r="G582">
        <v>3</v>
      </c>
      <c r="O582" t="s">
        <v>16216</v>
      </c>
    </row>
    <row r="583" spans="1:15">
      <c r="A583" t="s">
        <v>17333</v>
      </c>
      <c r="B583" t="s">
        <v>17064</v>
      </c>
      <c r="D583" t="s">
        <v>16217</v>
      </c>
      <c r="E583" t="s">
        <v>4215</v>
      </c>
      <c r="F583" t="s">
        <v>17334</v>
      </c>
      <c r="G583">
        <v>3</v>
      </c>
      <c r="O583" t="s">
        <v>16217</v>
      </c>
    </row>
    <row r="584" spans="1:15">
      <c r="A584" t="s">
        <v>17333</v>
      </c>
      <c r="B584" t="s">
        <v>17071</v>
      </c>
      <c r="D584" t="s">
        <v>16218</v>
      </c>
      <c r="E584" t="s">
        <v>4215</v>
      </c>
      <c r="F584" t="s">
        <v>17334</v>
      </c>
      <c r="G584">
        <v>3</v>
      </c>
      <c r="O584" t="s">
        <v>16218</v>
      </c>
    </row>
    <row r="585" spans="1:15">
      <c r="A585" t="s">
        <v>17333</v>
      </c>
      <c r="B585" t="s">
        <v>17078</v>
      </c>
      <c r="D585" t="s">
        <v>16219</v>
      </c>
      <c r="E585" t="s">
        <v>4215</v>
      </c>
      <c r="F585" t="s">
        <v>17334</v>
      </c>
      <c r="G585">
        <v>3</v>
      </c>
      <c r="O585" t="s">
        <v>16219</v>
      </c>
    </row>
    <row r="586" spans="1:15">
      <c r="A586" t="s">
        <v>17333</v>
      </c>
      <c r="B586" t="s">
        <v>17085</v>
      </c>
      <c r="D586" t="s">
        <v>16220</v>
      </c>
      <c r="E586" t="s">
        <v>4215</v>
      </c>
      <c r="F586" t="s">
        <v>17334</v>
      </c>
      <c r="G586">
        <v>3</v>
      </c>
      <c r="O586" t="s">
        <v>16220</v>
      </c>
    </row>
    <row r="587" spans="1:15">
      <c r="A587" t="s">
        <v>17333</v>
      </c>
      <c r="B587" t="s">
        <v>17092</v>
      </c>
      <c r="D587" t="s">
        <v>16221</v>
      </c>
      <c r="E587" t="s">
        <v>4215</v>
      </c>
      <c r="F587" t="s">
        <v>17334</v>
      </c>
      <c r="G587">
        <v>3</v>
      </c>
      <c r="O587" t="s">
        <v>16221</v>
      </c>
    </row>
    <row r="588" spans="1:15">
      <c r="A588" t="s">
        <v>17333</v>
      </c>
      <c r="B588" t="s">
        <v>17099</v>
      </c>
      <c r="D588" t="s">
        <v>16222</v>
      </c>
      <c r="E588" t="s">
        <v>4215</v>
      </c>
      <c r="F588" t="s">
        <v>17334</v>
      </c>
      <c r="G588">
        <v>3</v>
      </c>
      <c r="O588" t="s">
        <v>16222</v>
      </c>
    </row>
    <row r="589" spans="1:15">
      <c r="A589" t="s">
        <v>17333</v>
      </c>
      <c r="B589" t="s">
        <v>17106</v>
      </c>
      <c r="D589" t="s">
        <v>16223</v>
      </c>
      <c r="E589" t="s">
        <v>4215</v>
      </c>
      <c r="F589" t="s">
        <v>17334</v>
      </c>
      <c r="G589">
        <v>3</v>
      </c>
      <c r="O589" t="s">
        <v>16223</v>
      </c>
    </row>
    <row r="590" spans="1:15">
      <c r="A590" t="s">
        <v>17333</v>
      </c>
      <c r="B590" t="s">
        <v>16903</v>
      </c>
      <c r="D590" t="s">
        <v>16224</v>
      </c>
      <c r="E590" t="s">
        <v>4215</v>
      </c>
      <c r="F590" t="s">
        <v>17334</v>
      </c>
      <c r="G590">
        <v>3</v>
      </c>
      <c r="O590" t="s">
        <v>16224</v>
      </c>
    </row>
    <row r="591" spans="1:15">
      <c r="A591" t="s">
        <v>17333</v>
      </c>
      <c r="B591" t="s">
        <v>16912</v>
      </c>
      <c r="D591" t="s">
        <v>16225</v>
      </c>
      <c r="E591" t="s">
        <v>4215</v>
      </c>
      <c r="F591" t="s">
        <v>17334</v>
      </c>
      <c r="G591">
        <v>3</v>
      </c>
      <c r="O591" t="s">
        <v>16225</v>
      </c>
    </row>
    <row r="592" spans="1:15">
      <c r="A592" t="s">
        <v>17333</v>
      </c>
      <c r="B592" t="s">
        <v>16921</v>
      </c>
      <c r="D592" t="s">
        <v>16226</v>
      </c>
      <c r="E592" t="s">
        <v>4215</v>
      </c>
      <c r="F592" t="s">
        <v>17334</v>
      </c>
      <c r="G592">
        <v>3</v>
      </c>
      <c r="O592" t="s">
        <v>16226</v>
      </c>
    </row>
    <row r="593" spans="1:15">
      <c r="A593" t="s">
        <v>17333</v>
      </c>
      <c r="B593" t="s">
        <v>16930</v>
      </c>
      <c r="D593" t="s">
        <v>16227</v>
      </c>
      <c r="E593" t="s">
        <v>4215</v>
      </c>
      <c r="F593" t="s">
        <v>17334</v>
      </c>
      <c r="G593">
        <v>3</v>
      </c>
      <c r="O593" t="s">
        <v>16227</v>
      </c>
    </row>
    <row r="594" spans="1:15">
      <c r="A594" t="s">
        <v>17333</v>
      </c>
      <c r="B594" t="s">
        <v>16939</v>
      </c>
      <c r="D594" t="s">
        <v>16228</v>
      </c>
      <c r="E594" t="s">
        <v>4215</v>
      </c>
      <c r="F594" t="s">
        <v>17334</v>
      </c>
      <c r="G594">
        <v>3</v>
      </c>
      <c r="O594" t="s">
        <v>16228</v>
      </c>
    </row>
    <row r="595" spans="1:15">
      <c r="A595" t="s">
        <v>17333</v>
      </c>
      <c r="B595" t="s">
        <v>16948</v>
      </c>
      <c r="D595" t="s">
        <v>16229</v>
      </c>
      <c r="E595" t="s">
        <v>4215</v>
      </c>
      <c r="F595" t="s">
        <v>17334</v>
      </c>
      <c r="G595">
        <v>3</v>
      </c>
      <c r="O595" t="s">
        <v>16229</v>
      </c>
    </row>
    <row r="596" spans="1:15">
      <c r="A596" t="s">
        <v>17333</v>
      </c>
      <c r="B596" t="s">
        <v>16957</v>
      </c>
      <c r="D596" t="s">
        <v>16230</v>
      </c>
      <c r="E596" t="s">
        <v>4215</v>
      </c>
      <c r="F596" t="s">
        <v>17334</v>
      </c>
      <c r="G596">
        <v>3</v>
      </c>
      <c r="O596" t="s">
        <v>16230</v>
      </c>
    </row>
    <row r="597" spans="1:15">
      <c r="A597" t="s">
        <v>17333</v>
      </c>
      <c r="B597" t="s">
        <v>16966</v>
      </c>
      <c r="D597" t="s">
        <v>16231</v>
      </c>
      <c r="E597" t="s">
        <v>4215</v>
      </c>
      <c r="F597" t="s">
        <v>17334</v>
      </c>
      <c r="G597">
        <v>3</v>
      </c>
      <c r="O597" t="s">
        <v>16231</v>
      </c>
    </row>
    <row r="598" spans="1:15">
      <c r="A598" t="s">
        <v>17333</v>
      </c>
      <c r="B598" t="s">
        <v>16974</v>
      </c>
      <c r="D598" t="s">
        <v>16232</v>
      </c>
      <c r="E598" t="s">
        <v>4215</v>
      </c>
      <c r="F598" t="s">
        <v>17334</v>
      </c>
      <c r="G598">
        <v>3</v>
      </c>
      <c r="O598" t="s">
        <v>16232</v>
      </c>
    </row>
    <row r="599" spans="1:15">
      <c r="A599" t="s">
        <v>17333</v>
      </c>
      <c r="B599" t="s">
        <v>16981</v>
      </c>
      <c r="D599" t="s">
        <v>16233</v>
      </c>
      <c r="E599" t="s">
        <v>4215</v>
      </c>
      <c r="F599" t="s">
        <v>17334</v>
      </c>
      <c r="G599">
        <v>3</v>
      </c>
      <c r="O599" t="s">
        <v>16233</v>
      </c>
    </row>
    <row r="600" spans="1:15">
      <c r="A600" t="s">
        <v>17333</v>
      </c>
      <c r="B600" t="s">
        <v>16988</v>
      </c>
      <c r="D600" t="s">
        <v>16234</v>
      </c>
      <c r="E600" t="s">
        <v>4215</v>
      </c>
      <c r="F600" t="s">
        <v>17334</v>
      </c>
      <c r="G600">
        <v>3</v>
      </c>
      <c r="O600" t="s">
        <v>16234</v>
      </c>
    </row>
    <row r="601" spans="1:15">
      <c r="A601" t="s">
        <v>17333</v>
      </c>
      <c r="B601" t="s">
        <v>16995</v>
      </c>
      <c r="D601" t="s">
        <v>16235</v>
      </c>
      <c r="E601" t="s">
        <v>4215</v>
      </c>
      <c r="F601" t="s">
        <v>17334</v>
      </c>
      <c r="G601">
        <v>3</v>
      </c>
      <c r="O601" t="s">
        <v>16235</v>
      </c>
    </row>
    <row r="602" spans="1:15">
      <c r="A602" t="s">
        <v>17333</v>
      </c>
      <c r="B602" t="s">
        <v>17002</v>
      </c>
      <c r="D602" t="s">
        <v>16236</v>
      </c>
      <c r="E602" t="s">
        <v>4215</v>
      </c>
      <c r="F602" t="s">
        <v>17334</v>
      </c>
      <c r="G602">
        <v>3</v>
      </c>
      <c r="O602" t="s">
        <v>16236</v>
      </c>
    </row>
    <row r="603" spans="1:15">
      <c r="A603" t="s">
        <v>17333</v>
      </c>
      <c r="B603" t="s">
        <v>17009</v>
      </c>
      <c r="D603" t="s">
        <v>16237</v>
      </c>
      <c r="E603" t="s">
        <v>4215</v>
      </c>
      <c r="F603" t="s">
        <v>17334</v>
      </c>
      <c r="G603">
        <v>3</v>
      </c>
      <c r="O603" t="s">
        <v>16237</v>
      </c>
    </row>
    <row r="604" spans="1:15">
      <c r="A604" t="s">
        <v>17333</v>
      </c>
      <c r="B604" t="s">
        <v>17016</v>
      </c>
      <c r="D604" t="s">
        <v>16238</v>
      </c>
      <c r="E604" t="s">
        <v>4215</v>
      </c>
      <c r="F604" t="s">
        <v>17334</v>
      </c>
      <c r="G604">
        <v>3</v>
      </c>
      <c r="O604" t="s">
        <v>16238</v>
      </c>
    </row>
    <row r="605" spans="1:15">
      <c r="A605" t="s">
        <v>17333</v>
      </c>
      <c r="B605" t="s">
        <v>17023</v>
      </c>
      <c r="D605" t="s">
        <v>16239</v>
      </c>
      <c r="E605" t="s">
        <v>4215</v>
      </c>
      <c r="F605" t="s">
        <v>17334</v>
      </c>
      <c r="G605">
        <v>3</v>
      </c>
      <c r="O605" t="s">
        <v>16239</v>
      </c>
    </row>
    <row r="606" spans="1:15">
      <c r="A606" t="s">
        <v>17333</v>
      </c>
      <c r="B606" t="s">
        <v>17030</v>
      </c>
      <c r="D606" t="s">
        <v>16240</v>
      </c>
      <c r="E606" t="s">
        <v>4215</v>
      </c>
      <c r="F606" t="s">
        <v>17334</v>
      </c>
      <c r="G606">
        <v>3</v>
      </c>
      <c r="O606" t="s">
        <v>16240</v>
      </c>
    </row>
    <row r="607" spans="1:15">
      <c r="A607" t="s">
        <v>17333</v>
      </c>
      <c r="B607" t="s">
        <v>17037</v>
      </c>
      <c r="D607" t="s">
        <v>16241</v>
      </c>
      <c r="E607" t="s">
        <v>4215</v>
      </c>
      <c r="F607" t="s">
        <v>17334</v>
      </c>
      <c r="G607">
        <v>3</v>
      </c>
      <c r="O607" t="s">
        <v>16241</v>
      </c>
    </row>
    <row r="608" spans="1:15">
      <c r="A608" t="s">
        <v>17333</v>
      </c>
      <c r="B608" t="s">
        <v>17044</v>
      </c>
      <c r="D608" t="s">
        <v>16242</v>
      </c>
      <c r="E608" t="s">
        <v>4215</v>
      </c>
      <c r="F608" t="s">
        <v>17334</v>
      </c>
      <c r="G608">
        <v>3</v>
      </c>
      <c r="O608" t="s">
        <v>16242</v>
      </c>
    </row>
    <row r="609" spans="1:15">
      <c r="A609" t="s">
        <v>17333</v>
      </c>
      <c r="B609" t="s">
        <v>17051</v>
      </c>
      <c r="D609" t="s">
        <v>16243</v>
      </c>
      <c r="E609" t="s">
        <v>4215</v>
      </c>
      <c r="F609" t="s">
        <v>17334</v>
      </c>
      <c r="G609">
        <v>3</v>
      </c>
      <c r="O609" t="s">
        <v>16243</v>
      </c>
    </row>
    <row r="610" spans="1:15">
      <c r="A610" t="s">
        <v>17333</v>
      </c>
      <c r="B610" t="s">
        <v>17058</v>
      </c>
      <c r="D610" t="s">
        <v>16244</v>
      </c>
      <c r="E610" t="s">
        <v>4215</v>
      </c>
      <c r="F610" t="s">
        <v>17334</v>
      </c>
      <c r="G610">
        <v>3</v>
      </c>
      <c r="O610" t="s">
        <v>16244</v>
      </c>
    </row>
    <row r="611" spans="1:15">
      <c r="A611" t="s">
        <v>17333</v>
      </c>
      <c r="B611" t="s">
        <v>17065</v>
      </c>
      <c r="D611" t="s">
        <v>16245</v>
      </c>
      <c r="E611" t="s">
        <v>4215</v>
      </c>
      <c r="F611" t="s">
        <v>17334</v>
      </c>
      <c r="G611">
        <v>3</v>
      </c>
      <c r="O611" t="s">
        <v>16245</v>
      </c>
    </row>
    <row r="612" spans="1:15">
      <c r="A612" t="s">
        <v>17333</v>
      </c>
      <c r="B612" t="s">
        <v>17072</v>
      </c>
      <c r="D612" t="s">
        <v>16246</v>
      </c>
      <c r="E612" t="s">
        <v>4215</v>
      </c>
      <c r="F612" t="s">
        <v>17334</v>
      </c>
      <c r="G612">
        <v>3</v>
      </c>
      <c r="O612" t="s">
        <v>16246</v>
      </c>
    </row>
    <row r="613" spans="1:15">
      <c r="A613" t="s">
        <v>17333</v>
      </c>
      <c r="B613" t="s">
        <v>17079</v>
      </c>
      <c r="D613" t="s">
        <v>16247</v>
      </c>
      <c r="E613" t="s">
        <v>4215</v>
      </c>
      <c r="F613" t="s">
        <v>17334</v>
      </c>
      <c r="G613">
        <v>3</v>
      </c>
      <c r="O613" t="s">
        <v>16247</v>
      </c>
    </row>
    <row r="614" spans="1:15">
      <c r="A614" t="s">
        <v>17333</v>
      </c>
      <c r="B614" t="s">
        <v>17086</v>
      </c>
      <c r="D614" t="s">
        <v>16248</v>
      </c>
      <c r="E614" t="s">
        <v>4215</v>
      </c>
      <c r="F614" t="s">
        <v>17334</v>
      </c>
      <c r="G614">
        <v>3</v>
      </c>
      <c r="O614" t="s">
        <v>16248</v>
      </c>
    </row>
    <row r="615" spans="1:15">
      <c r="A615" t="s">
        <v>17333</v>
      </c>
      <c r="B615" t="s">
        <v>17093</v>
      </c>
      <c r="D615" t="s">
        <v>16249</v>
      </c>
      <c r="E615" t="s">
        <v>4215</v>
      </c>
      <c r="F615" t="s">
        <v>17334</v>
      </c>
      <c r="G615">
        <v>3</v>
      </c>
      <c r="O615" t="s">
        <v>16249</v>
      </c>
    </row>
    <row r="616" spans="1:15">
      <c r="A616" t="s">
        <v>17333</v>
      </c>
      <c r="B616" t="s">
        <v>17100</v>
      </c>
      <c r="D616" t="s">
        <v>16250</v>
      </c>
      <c r="E616" t="s">
        <v>4215</v>
      </c>
      <c r="F616" t="s">
        <v>17334</v>
      </c>
      <c r="G616">
        <v>3</v>
      </c>
      <c r="O616" t="s">
        <v>16250</v>
      </c>
    </row>
    <row r="617" spans="1:15">
      <c r="A617" t="s">
        <v>17333</v>
      </c>
      <c r="B617" t="s">
        <v>17107</v>
      </c>
      <c r="D617" t="s">
        <v>16251</v>
      </c>
      <c r="E617" t="s">
        <v>4215</v>
      </c>
      <c r="F617" t="s">
        <v>17334</v>
      </c>
      <c r="G617">
        <v>3</v>
      </c>
      <c r="O617" t="s">
        <v>16251</v>
      </c>
    </row>
    <row r="618" spans="1:15">
      <c r="A618" t="s">
        <v>17333</v>
      </c>
      <c r="B618" t="s">
        <v>16904</v>
      </c>
      <c r="D618" t="s">
        <v>16252</v>
      </c>
      <c r="E618" t="s">
        <v>4215</v>
      </c>
      <c r="F618" t="s">
        <v>17334</v>
      </c>
      <c r="G618">
        <v>3</v>
      </c>
      <c r="O618" t="s">
        <v>16252</v>
      </c>
    </row>
    <row r="619" spans="1:15">
      <c r="A619" t="s">
        <v>17333</v>
      </c>
      <c r="B619" t="s">
        <v>16913</v>
      </c>
      <c r="D619" t="s">
        <v>16253</v>
      </c>
      <c r="E619" t="s">
        <v>4215</v>
      </c>
      <c r="F619" t="s">
        <v>17334</v>
      </c>
      <c r="G619">
        <v>3</v>
      </c>
      <c r="O619" t="s">
        <v>16253</v>
      </c>
    </row>
    <row r="620" spans="1:15">
      <c r="A620" t="s">
        <v>17333</v>
      </c>
      <c r="B620" t="s">
        <v>16922</v>
      </c>
      <c r="D620" t="s">
        <v>16254</v>
      </c>
      <c r="E620" t="s">
        <v>4215</v>
      </c>
      <c r="F620" t="s">
        <v>17334</v>
      </c>
      <c r="G620">
        <v>3</v>
      </c>
      <c r="O620" t="s">
        <v>16254</v>
      </c>
    </row>
    <row r="621" spans="1:15">
      <c r="A621" t="s">
        <v>17333</v>
      </c>
      <c r="B621" t="s">
        <v>16931</v>
      </c>
      <c r="D621" t="s">
        <v>16255</v>
      </c>
      <c r="E621" t="s">
        <v>4215</v>
      </c>
      <c r="F621" t="s">
        <v>17334</v>
      </c>
      <c r="G621">
        <v>3</v>
      </c>
      <c r="O621" t="s">
        <v>16255</v>
      </c>
    </row>
    <row r="622" spans="1:15">
      <c r="A622" t="s">
        <v>17333</v>
      </c>
      <c r="B622" t="s">
        <v>16940</v>
      </c>
      <c r="D622" t="s">
        <v>16256</v>
      </c>
      <c r="E622" t="s">
        <v>4215</v>
      </c>
      <c r="F622" t="s">
        <v>17334</v>
      </c>
      <c r="G622">
        <v>3</v>
      </c>
      <c r="O622" t="s">
        <v>16256</v>
      </c>
    </row>
    <row r="623" spans="1:15">
      <c r="A623" t="s">
        <v>17333</v>
      </c>
      <c r="B623" t="s">
        <v>16949</v>
      </c>
      <c r="D623" t="s">
        <v>16257</v>
      </c>
      <c r="E623" t="s">
        <v>4215</v>
      </c>
      <c r="F623" t="s">
        <v>17334</v>
      </c>
      <c r="G623">
        <v>3</v>
      </c>
      <c r="O623" t="s">
        <v>16257</v>
      </c>
    </row>
    <row r="624" spans="1:15">
      <c r="A624" t="s">
        <v>17333</v>
      </c>
      <c r="B624" t="s">
        <v>16958</v>
      </c>
      <c r="D624" t="s">
        <v>16258</v>
      </c>
      <c r="E624" t="s">
        <v>4215</v>
      </c>
      <c r="F624" t="s">
        <v>17334</v>
      </c>
      <c r="G624">
        <v>3</v>
      </c>
      <c r="O624" t="s">
        <v>16258</v>
      </c>
    </row>
    <row r="625" spans="1:15">
      <c r="A625" t="s">
        <v>17333</v>
      </c>
      <c r="B625" t="s">
        <v>16905</v>
      </c>
      <c r="D625" t="s">
        <v>16259</v>
      </c>
      <c r="E625" t="s">
        <v>4215</v>
      </c>
      <c r="F625" t="s">
        <v>17334</v>
      </c>
      <c r="G625">
        <v>3</v>
      </c>
      <c r="O625" t="s">
        <v>16259</v>
      </c>
    </row>
    <row r="626" spans="1:15">
      <c r="A626" t="s">
        <v>17333</v>
      </c>
      <c r="B626" t="s">
        <v>16914</v>
      </c>
      <c r="D626" t="s">
        <v>16260</v>
      </c>
      <c r="E626" t="s">
        <v>4215</v>
      </c>
      <c r="F626" t="s">
        <v>17334</v>
      </c>
      <c r="G626">
        <v>3</v>
      </c>
      <c r="O626" t="s">
        <v>16260</v>
      </c>
    </row>
    <row r="627" spans="1:15">
      <c r="A627" t="s">
        <v>17333</v>
      </c>
      <c r="B627" t="s">
        <v>16923</v>
      </c>
      <c r="D627" t="s">
        <v>16261</v>
      </c>
      <c r="E627" t="s">
        <v>4215</v>
      </c>
      <c r="F627" t="s">
        <v>17334</v>
      </c>
      <c r="G627">
        <v>3</v>
      </c>
      <c r="O627" t="s">
        <v>16261</v>
      </c>
    </row>
    <row r="628" spans="1:15">
      <c r="A628" t="s">
        <v>17333</v>
      </c>
      <c r="B628" t="s">
        <v>16932</v>
      </c>
      <c r="D628" t="s">
        <v>16262</v>
      </c>
      <c r="E628" t="s">
        <v>4215</v>
      </c>
      <c r="F628" t="s">
        <v>17334</v>
      </c>
      <c r="G628">
        <v>3</v>
      </c>
      <c r="O628" t="s">
        <v>16262</v>
      </c>
    </row>
    <row r="629" spans="1:15">
      <c r="A629" t="s">
        <v>17333</v>
      </c>
      <c r="B629" t="s">
        <v>16941</v>
      </c>
      <c r="D629" t="s">
        <v>16263</v>
      </c>
      <c r="E629" t="s">
        <v>4215</v>
      </c>
      <c r="F629" t="s">
        <v>17334</v>
      </c>
      <c r="G629">
        <v>3</v>
      </c>
      <c r="O629" t="s">
        <v>16263</v>
      </c>
    </row>
    <row r="630" spans="1:15">
      <c r="A630" t="s">
        <v>17333</v>
      </c>
      <c r="B630" t="s">
        <v>16950</v>
      </c>
      <c r="D630" t="s">
        <v>16264</v>
      </c>
      <c r="E630" t="s">
        <v>4215</v>
      </c>
      <c r="F630" t="s">
        <v>17334</v>
      </c>
      <c r="G630">
        <v>3</v>
      </c>
      <c r="O630" t="s">
        <v>16264</v>
      </c>
    </row>
    <row r="631" spans="1:15">
      <c r="A631" t="s">
        <v>17333</v>
      </c>
      <c r="B631" t="s">
        <v>16959</v>
      </c>
      <c r="D631" t="s">
        <v>16265</v>
      </c>
      <c r="E631" t="s">
        <v>4215</v>
      </c>
      <c r="F631" t="s">
        <v>17334</v>
      </c>
      <c r="G631">
        <v>3</v>
      </c>
      <c r="O631" t="s">
        <v>16265</v>
      </c>
    </row>
    <row r="632" spans="1:15">
      <c r="A632" t="s">
        <v>17333</v>
      </c>
      <c r="B632" t="s">
        <v>17108</v>
      </c>
      <c r="D632" t="s">
        <v>16266</v>
      </c>
      <c r="E632" t="s">
        <v>4215</v>
      </c>
      <c r="F632" t="s">
        <v>17334</v>
      </c>
      <c r="G632">
        <v>3</v>
      </c>
      <c r="O632" t="s">
        <v>16266</v>
      </c>
    </row>
    <row r="633" spans="1:15">
      <c r="A633" t="s">
        <v>17333</v>
      </c>
      <c r="B633" t="s">
        <v>17117</v>
      </c>
      <c r="D633" t="s">
        <v>16267</v>
      </c>
      <c r="E633" t="s">
        <v>4215</v>
      </c>
      <c r="F633" t="s">
        <v>17334</v>
      </c>
      <c r="G633">
        <v>3</v>
      </c>
      <c r="O633" t="s">
        <v>16267</v>
      </c>
    </row>
    <row r="634" spans="1:15">
      <c r="A634" t="s">
        <v>17333</v>
      </c>
      <c r="B634" t="s">
        <v>17126</v>
      </c>
      <c r="D634" t="s">
        <v>16268</v>
      </c>
      <c r="E634" t="s">
        <v>4215</v>
      </c>
      <c r="F634" t="s">
        <v>17334</v>
      </c>
      <c r="G634">
        <v>3</v>
      </c>
      <c r="O634" t="s">
        <v>16268</v>
      </c>
    </row>
    <row r="635" spans="1:15">
      <c r="A635" t="s">
        <v>17333</v>
      </c>
      <c r="B635" t="s">
        <v>17135</v>
      </c>
      <c r="D635" t="s">
        <v>16269</v>
      </c>
      <c r="E635" t="s">
        <v>4215</v>
      </c>
      <c r="F635" t="s">
        <v>17334</v>
      </c>
      <c r="G635">
        <v>3</v>
      </c>
      <c r="O635" t="s">
        <v>16269</v>
      </c>
    </row>
    <row r="636" spans="1:15">
      <c r="A636" t="s">
        <v>17333</v>
      </c>
      <c r="B636" t="s">
        <v>17144</v>
      </c>
      <c r="D636" t="s">
        <v>16270</v>
      </c>
      <c r="E636" t="s">
        <v>4215</v>
      </c>
      <c r="F636" t="s">
        <v>17334</v>
      </c>
      <c r="G636">
        <v>3</v>
      </c>
      <c r="O636" t="s">
        <v>16270</v>
      </c>
    </row>
    <row r="637" spans="1:15">
      <c r="A637" t="s">
        <v>17333</v>
      </c>
      <c r="B637" t="s">
        <v>17153</v>
      </c>
      <c r="D637" t="s">
        <v>16271</v>
      </c>
      <c r="E637" t="s">
        <v>4215</v>
      </c>
      <c r="F637" t="s">
        <v>17334</v>
      </c>
      <c r="G637">
        <v>3</v>
      </c>
      <c r="O637" t="s">
        <v>16271</v>
      </c>
    </row>
    <row r="638" spans="1:15">
      <c r="A638" t="s">
        <v>17333</v>
      </c>
      <c r="B638" t="s">
        <v>17162</v>
      </c>
      <c r="D638" t="s">
        <v>16272</v>
      </c>
      <c r="E638" t="s">
        <v>4215</v>
      </c>
      <c r="F638" t="s">
        <v>17334</v>
      </c>
      <c r="G638">
        <v>3</v>
      </c>
      <c r="O638" t="s">
        <v>16272</v>
      </c>
    </row>
    <row r="639" spans="1:15">
      <c r="A639" t="s">
        <v>17333</v>
      </c>
      <c r="B639" t="s">
        <v>17171</v>
      </c>
      <c r="D639" t="s">
        <v>16273</v>
      </c>
      <c r="E639" t="s">
        <v>4215</v>
      </c>
      <c r="F639" t="s">
        <v>17334</v>
      </c>
      <c r="G639">
        <v>3</v>
      </c>
      <c r="O639" t="s">
        <v>16273</v>
      </c>
    </row>
    <row r="640" spans="1:15">
      <c r="A640" t="s">
        <v>17333</v>
      </c>
      <c r="B640" t="s">
        <v>17179</v>
      </c>
      <c r="D640" t="s">
        <v>16274</v>
      </c>
      <c r="E640" t="s">
        <v>4215</v>
      </c>
      <c r="F640" t="s">
        <v>17334</v>
      </c>
      <c r="G640">
        <v>3</v>
      </c>
      <c r="O640" t="s">
        <v>16274</v>
      </c>
    </row>
    <row r="641" spans="1:15">
      <c r="A641" t="s">
        <v>17333</v>
      </c>
      <c r="B641" t="s">
        <v>17186</v>
      </c>
      <c r="D641" t="s">
        <v>16275</v>
      </c>
      <c r="E641" t="s">
        <v>4215</v>
      </c>
      <c r="F641" t="s">
        <v>17334</v>
      </c>
      <c r="G641">
        <v>3</v>
      </c>
      <c r="O641" t="s">
        <v>16275</v>
      </c>
    </row>
    <row r="642" spans="1:15">
      <c r="A642" t="s">
        <v>17333</v>
      </c>
      <c r="B642" t="s">
        <v>17193</v>
      </c>
      <c r="D642" t="s">
        <v>16276</v>
      </c>
      <c r="E642" t="s">
        <v>4215</v>
      </c>
      <c r="F642" t="s">
        <v>17334</v>
      </c>
      <c r="G642">
        <v>3</v>
      </c>
      <c r="O642" t="s">
        <v>16276</v>
      </c>
    </row>
    <row r="643" spans="1:15">
      <c r="A643" t="s">
        <v>17333</v>
      </c>
      <c r="B643" t="s">
        <v>17200</v>
      </c>
      <c r="D643" t="s">
        <v>16277</v>
      </c>
      <c r="E643" t="s">
        <v>4215</v>
      </c>
      <c r="F643" t="s">
        <v>17334</v>
      </c>
      <c r="G643">
        <v>3</v>
      </c>
      <c r="O643" t="s">
        <v>16277</v>
      </c>
    </row>
    <row r="644" spans="1:15">
      <c r="A644" t="s">
        <v>17333</v>
      </c>
      <c r="B644" t="s">
        <v>17207</v>
      </c>
      <c r="D644" t="s">
        <v>16278</v>
      </c>
      <c r="E644" t="s">
        <v>4215</v>
      </c>
      <c r="F644" t="s">
        <v>17334</v>
      </c>
      <c r="G644">
        <v>3</v>
      </c>
      <c r="O644" t="s">
        <v>16278</v>
      </c>
    </row>
    <row r="645" spans="1:15">
      <c r="A645" t="s">
        <v>17333</v>
      </c>
      <c r="B645" t="s">
        <v>17214</v>
      </c>
      <c r="D645" t="s">
        <v>16279</v>
      </c>
      <c r="E645" t="s">
        <v>4215</v>
      </c>
      <c r="F645" t="s">
        <v>17334</v>
      </c>
      <c r="G645">
        <v>3</v>
      </c>
      <c r="O645" t="s">
        <v>16279</v>
      </c>
    </row>
    <row r="646" spans="1:15">
      <c r="A646" t="s">
        <v>17333</v>
      </c>
      <c r="B646" t="s">
        <v>17221</v>
      </c>
      <c r="D646" t="s">
        <v>16280</v>
      </c>
      <c r="E646" t="s">
        <v>4215</v>
      </c>
      <c r="F646" t="s">
        <v>17334</v>
      </c>
      <c r="G646">
        <v>3</v>
      </c>
      <c r="O646" t="s">
        <v>16280</v>
      </c>
    </row>
    <row r="647" spans="1:15">
      <c r="A647" t="s">
        <v>17333</v>
      </c>
      <c r="B647" t="s">
        <v>17228</v>
      </c>
      <c r="D647" t="s">
        <v>16281</v>
      </c>
      <c r="E647" t="s">
        <v>4215</v>
      </c>
      <c r="F647" t="s">
        <v>17334</v>
      </c>
      <c r="G647">
        <v>3</v>
      </c>
      <c r="O647" t="s">
        <v>16281</v>
      </c>
    </row>
    <row r="648" spans="1:15">
      <c r="A648" t="s">
        <v>17333</v>
      </c>
      <c r="B648" t="s">
        <v>17235</v>
      </c>
      <c r="D648" t="s">
        <v>16282</v>
      </c>
      <c r="E648" t="s">
        <v>4215</v>
      </c>
      <c r="F648" t="s">
        <v>17334</v>
      </c>
      <c r="G648">
        <v>3</v>
      </c>
      <c r="O648" t="s">
        <v>16282</v>
      </c>
    </row>
    <row r="649" spans="1:15">
      <c r="A649" t="s">
        <v>17333</v>
      </c>
      <c r="B649" t="s">
        <v>17242</v>
      </c>
      <c r="D649" t="s">
        <v>16283</v>
      </c>
      <c r="E649" t="s">
        <v>4215</v>
      </c>
      <c r="F649" t="s">
        <v>17334</v>
      </c>
      <c r="G649">
        <v>3</v>
      </c>
      <c r="O649" t="s">
        <v>16283</v>
      </c>
    </row>
    <row r="650" spans="1:15">
      <c r="A650" t="s">
        <v>17333</v>
      </c>
      <c r="B650" t="s">
        <v>17249</v>
      </c>
      <c r="D650" t="s">
        <v>16284</v>
      </c>
      <c r="E650" t="s">
        <v>4215</v>
      </c>
      <c r="F650" t="s">
        <v>17334</v>
      </c>
      <c r="G650">
        <v>3</v>
      </c>
      <c r="O650" t="s">
        <v>16284</v>
      </c>
    </row>
    <row r="651" spans="1:15">
      <c r="A651" t="s">
        <v>17333</v>
      </c>
      <c r="B651" t="s">
        <v>17256</v>
      </c>
      <c r="D651" t="s">
        <v>16285</v>
      </c>
      <c r="E651" t="s">
        <v>4215</v>
      </c>
      <c r="F651" t="s">
        <v>17334</v>
      </c>
      <c r="G651">
        <v>3</v>
      </c>
      <c r="O651" t="s">
        <v>16285</v>
      </c>
    </row>
    <row r="652" spans="1:15">
      <c r="A652" t="s">
        <v>17333</v>
      </c>
      <c r="B652" t="s">
        <v>17263</v>
      </c>
      <c r="D652" t="s">
        <v>16286</v>
      </c>
      <c r="E652" t="s">
        <v>4215</v>
      </c>
      <c r="F652" t="s">
        <v>17334</v>
      </c>
      <c r="G652">
        <v>3</v>
      </c>
      <c r="O652" t="s">
        <v>16286</v>
      </c>
    </row>
    <row r="653" spans="1:15">
      <c r="A653" t="s">
        <v>17333</v>
      </c>
      <c r="B653" t="s">
        <v>17270</v>
      </c>
      <c r="D653" t="s">
        <v>16287</v>
      </c>
      <c r="E653" t="s">
        <v>4215</v>
      </c>
      <c r="F653" t="s">
        <v>17334</v>
      </c>
      <c r="G653">
        <v>3</v>
      </c>
      <c r="O653" t="s">
        <v>16287</v>
      </c>
    </row>
    <row r="654" spans="1:15">
      <c r="A654" t="s">
        <v>17333</v>
      </c>
      <c r="B654" t="s">
        <v>17277</v>
      </c>
      <c r="D654" t="s">
        <v>16288</v>
      </c>
      <c r="E654" t="s">
        <v>4215</v>
      </c>
      <c r="F654" t="s">
        <v>17334</v>
      </c>
      <c r="G654">
        <v>3</v>
      </c>
      <c r="O654" t="s">
        <v>16288</v>
      </c>
    </row>
    <row r="655" spans="1:15">
      <c r="A655" t="s">
        <v>17333</v>
      </c>
      <c r="B655" t="s">
        <v>17284</v>
      </c>
      <c r="D655" t="s">
        <v>16289</v>
      </c>
      <c r="E655" t="s">
        <v>4215</v>
      </c>
      <c r="F655" t="s">
        <v>17334</v>
      </c>
      <c r="G655">
        <v>3</v>
      </c>
      <c r="O655" t="s">
        <v>16289</v>
      </c>
    </row>
    <row r="656" spans="1:15">
      <c r="A656" t="s">
        <v>17333</v>
      </c>
      <c r="B656" t="s">
        <v>17291</v>
      </c>
      <c r="D656" t="s">
        <v>16290</v>
      </c>
      <c r="E656" t="s">
        <v>4215</v>
      </c>
      <c r="F656" t="s">
        <v>17334</v>
      </c>
      <c r="G656">
        <v>3</v>
      </c>
      <c r="O656" t="s">
        <v>16290</v>
      </c>
    </row>
    <row r="657" spans="1:15">
      <c r="A657" t="s">
        <v>17333</v>
      </c>
      <c r="B657" t="s">
        <v>17298</v>
      </c>
      <c r="D657" t="s">
        <v>16291</v>
      </c>
      <c r="E657" t="s">
        <v>4215</v>
      </c>
      <c r="F657" t="s">
        <v>17334</v>
      </c>
      <c r="G657">
        <v>3</v>
      </c>
      <c r="O657" t="s">
        <v>16291</v>
      </c>
    </row>
    <row r="658" spans="1:15">
      <c r="A658" t="s">
        <v>17333</v>
      </c>
      <c r="B658" t="s">
        <v>17305</v>
      </c>
      <c r="D658" t="s">
        <v>16292</v>
      </c>
      <c r="E658" t="s">
        <v>4215</v>
      </c>
      <c r="F658" t="s">
        <v>17334</v>
      </c>
      <c r="G658">
        <v>3</v>
      </c>
      <c r="O658" t="s">
        <v>16292</v>
      </c>
    </row>
    <row r="659" spans="1:15">
      <c r="A659" t="s">
        <v>17333</v>
      </c>
      <c r="B659" t="s">
        <v>17312</v>
      </c>
      <c r="D659" t="s">
        <v>16293</v>
      </c>
      <c r="E659" t="s">
        <v>4215</v>
      </c>
      <c r="F659" t="s">
        <v>17334</v>
      </c>
      <c r="G659">
        <v>3</v>
      </c>
      <c r="O659" t="s">
        <v>16293</v>
      </c>
    </row>
    <row r="660" spans="1:15">
      <c r="A660" t="s">
        <v>17333</v>
      </c>
      <c r="B660" t="s">
        <v>17109</v>
      </c>
      <c r="D660" t="s">
        <v>16294</v>
      </c>
      <c r="E660" t="s">
        <v>4215</v>
      </c>
      <c r="F660" t="s">
        <v>17334</v>
      </c>
      <c r="G660">
        <v>3</v>
      </c>
      <c r="O660" t="s">
        <v>16294</v>
      </c>
    </row>
    <row r="661" spans="1:15">
      <c r="A661" t="s">
        <v>17333</v>
      </c>
      <c r="B661" t="s">
        <v>17118</v>
      </c>
      <c r="D661" t="s">
        <v>16295</v>
      </c>
      <c r="E661" t="s">
        <v>4215</v>
      </c>
      <c r="F661" t="s">
        <v>17334</v>
      </c>
      <c r="G661">
        <v>3</v>
      </c>
      <c r="O661" t="s">
        <v>16295</v>
      </c>
    </row>
    <row r="662" spans="1:15">
      <c r="A662" t="s">
        <v>17333</v>
      </c>
      <c r="B662" t="s">
        <v>17127</v>
      </c>
      <c r="D662" t="s">
        <v>16296</v>
      </c>
      <c r="E662" t="s">
        <v>4215</v>
      </c>
      <c r="F662" t="s">
        <v>17334</v>
      </c>
      <c r="G662">
        <v>3</v>
      </c>
      <c r="O662" t="s">
        <v>16296</v>
      </c>
    </row>
    <row r="663" spans="1:15">
      <c r="A663" t="s">
        <v>17333</v>
      </c>
      <c r="B663" t="s">
        <v>17136</v>
      </c>
      <c r="D663" t="s">
        <v>16297</v>
      </c>
      <c r="E663" t="s">
        <v>4215</v>
      </c>
      <c r="F663" t="s">
        <v>17334</v>
      </c>
      <c r="G663">
        <v>3</v>
      </c>
      <c r="O663" t="s">
        <v>16297</v>
      </c>
    </row>
    <row r="664" spans="1:15">
      <c r="A664" t="s">
        <v>17333</v>
      </c>
      <c r="B664" t="s">
        <v>17145</v>
      </c>
      <c r="D664" t="s">
        <v>16298</v>
      </c>
      <c r="E664" t="s">
        <v>4215</v>
      </c>
      <c r="F664" t="s">
        <v>17334</v>
      </c>
      <c r="G664">
        <v>3</v>
      </c>
      <c r="O664" t="s">
        <v>16298</v>
      </c>
    </row>
    <row r="665" spans="1:15">
      <c r="A665" t="s">
        <v>17333</v>
      </c>
      <c r="B665" t="s">
        <v>17154</v>
      </c>
      <c r="D665" t="s">
        <v>16299</v>
      </c>
      <c r="E665" t="s">
        <v>4215</v>
      </c>
      <c r="F665" t="s">
        <v>17334</v>
      </c>
      <c r="G665">
        <v>3</v>
      </c>
      <c r="O665" t="s">
        <v>16299</v>
      </c>
    </row>
    <row r="666" spans="1:15">
      <c r="A666" t="s">
        <v>17333</v>
      </c>
      <c r="B666" t="s">
        <v>17163</v>
      </c>
      <c r="D666" t="s">
        <v>16300</v>
      </c>
      <c r="E666" t="s">
        <v>4215</v>
      </c>
      <c r="F666" t="s">
        <v>17334</v>
      </c>
      <c r="G666">
        <v>3</v>
      </c>
      <c r="O666" t="s">
        <v>16300</v>
      </c>
    </row>
    <row r="667" spans="1:15">
      <c r="A667" t="s">
        <v>17333</v>
      </c>
      <c r="B667" t="s">
        <v>17172</v>
      </c>
      <c r="D667" t="s">
        <v>16301</v>
      </c>
      <c r="E667" t="s">
        <v>4215</v>
      </c>
      <c r="F667" t="s">
        <v>17334</v>
      </c>
      <c r="G667">
        <v>3</v>
      </c>
      <c r="O667" t="s">
        <v>16301</v>
      </c>
    </row>
    <row r="668" spans="1:15">
      <c r="A668" t="s">
        <v>17333</v>
      </c>
      <c r="B668" t="s">
        <v>17180</v>
      </c>
      <c r="D668" t="s">
        <v>16302</v>
      </c>
      <c r="E668" t="s">
        <v>4215</v>
      </c>
      <c r="F668" t="s">
        <v>17334</v>
      </c>
      <c r="G668">
        <v>3</v>
      </c>
      <c r="O668" t="s">
        <v>16302</v>
      </c>
    </row>
    <row r="669" spans="1:15">
      <c r="A669" t="s">
        <v>17333</v>
      </c>
      <c r="B669" t="s">
        <v>17187</v>
      </c>
      <c r="D669" t="s">
        <v>16303</v>
      </c>
      <c r="E669" t="s">
        <v>4215</v>
      </c>
      <c r="F669" t="s">
        <v>17334</v>
      </c>
      <c r="G669">
        <v>3</v>
      </c>
      <c r="O669" t="s">
        <v>16303</v>
      </c>
    </row>
    <row r="670" spans="1:15">
      <c r="A670" t="s">
        <v>17333</v>
      </c>
      <c r="B670" t="s">
        <v>17194</v>
      </c>
      <c r="D670" t="s">
        <v>16304</v>
      </c>
      <c r="E670" t="s">
        <v>4215</v>
      </c>
      <c r="F670" t="s">
        <v>17334</v>
      </c>
      <c r="G670">
        <v>3</v>
      </c>
      <c r="O670" t="s">
        <v>16304</v>
      </c>
    </row>
    <row r="671" spans="1:15">
      <c r="A671" t="s">
        <v>17333</v>
      </c>
      <c r="B671" t="s">
        <v>17201</v>
      </c>
      <c r="D671" t="s">
        <v>16305</v>
      </c>
      <c r="E671" t="s">
        <v>4215</v>
      </c>
      <c r="F671" t="s">
        <v>17334</v>
      </c>
      <c r="G671">
        <v>3</v>
      </c>
      <c r="O671" t="s">
        <v>16305</v>
      </c>
    </row>
    <row r="672" spans="1:15">
      <c r="A672" t="s">
        <v>17333</v>
      </c>
      <c r="B672" t="s">
        <v>17208</v>
      </c>
      <c r="D672" t="s">
        <v>16306</v>
      </c>
      <c r="E672" t="s">
        <v>4215</v>
      </c>
      <c r="F672" t="s">
        <v>17334</v>
      </c>
      <c r="G672">
        <v>3</v>
      </c>
      <c r="O672" t="s">
        <v>16306</v>
      </c>
    </row>
    <row r="673" spans="1:15">
      <c r="A673" t="s">
        <v>17333</v>
      </c>
      <c r="B673" t="s">
        <v>17215</v>
      </c>
      <c r="D673" t="s">
        <v>16307</v>
      </c>
      <c r="E673" t="s">
        <v>4215</v>
      </c>
      <c r="F673" t="s">
        <v>17334</v>
      </c>
      <c r="G673">
        <v>3</v>
      </c>
      <c r="O673" t="s">
        <v>16307</v>
      </c>
    </row>
    <row r="674" spans="1:15">
      <c r="A674" t="s">
        <v>17333</v>
      </c>
      <c r="B674" t="s">
        <v>17222</v>
      </c>
      <c r="D674" t="s">
        <v>16308</v>
      </c>
      <c r="E674" t="s">
        <v>4215</v>
      </c>
      <c r="F674" t="s">
        <v>17334</v>
      </c>
      <c r="G674">
        <v>3</v>
      </c>
      <c r="O674" t="s">
        <v>16308</v>
      </c>
    </row>
    <row r="675" spans="1:15">
      <c r="A675" t="s">
        <v>17333</v>
      </c>
      <c r="B675" t="s">
        <v>17229</v>
      </c>
      <c r="D675" t="s">
        <v>16309</v>
      </c>
      <c r="E675" t="s">
        <v>4215</v>
      </c>
      <c r="F675" t="s">
        <v>17334</v>
      </c>
      <c r="G675">
        <v>3</v>
      </c>
      <c r="O675" t="s">
        <v>16309</v>
      </c>
    </row>
    <row r="676" spans="1:15">
      <c r="A676" t="s">
        <v>17333</v>
      </c>
      <c r="B676" t="s">
        <v>17236</v>
      </c>
      <c r="D676" t="s">
        <v>16310</v>
      </c>
      <c r="E676" t="s">
        <v>4215</v>
      </c>
      <c r="F676" t="s">
        <v>17334</v>
      </c>
      <c r="G676">
        <v>3</v>
      </c>
      <c r="O676" t="s">
        <v>16310</v>
      </c>
    </row>
    <row r="677" spans="1:15">
      <c r="A677" t="s">
        <v>17333</v>
      </c>
      <c r="B677" t="s">
        <v>17243</v>
      </c>
      <c r="D677" t="s">
        <v>16311</v>
      </c>
      <c r="E677" t="s">
        <v>4215</v>
      </c>
      <c r="F677" t="s">
        <v>17334</v>
      </c>
      <c r="G677">
        <v>3</v>
      </c>
      <c r="O677" t="s">
        <v>16311</v>
      </c>
    </row>
    <row r="678" spans="1:15">
      <c r="A678" t="s">
        <v>17333</v>
      </c>
      <c r="B678" t="s">
        <v>17250</v>
      </c>
      <c r="D678" t="s">
        <v>16312</v>
      </c>
      <c r="E678" t="s">
        <v>4215</v>
      </c>
      <c r="F678" t="s">
        <v>17334</v>
      </c>
      <c r="G678">
        <v>3</v>
      </c>
      <c r="O678" t="s">
        <v>16312</v>
      </c>
    </row>
    <row r="679" spans="1:15">
      <c r="A679" t="s">
        <v>17333</v>
      </c>
      <c r="B679" t="s">
        <v>17257</v>
      </c>
      <c r="D679" t="s">
        <v>16313</v>
      </c>
      <c r="E679" t="s">
        <v>4215</v>
      </c>
      <c r="F679" t="s">
        <v>17334</v>
      </c>
      <c r="G679">
        <v>3</v>
      </c>
      <c r="O679" t="s">
        <v>16313</v>
      </c>
    </row>
    <row r="680" spans="1:15">
      <c r="A680" t="s">
        <v>17333</v>
      </c>
      <c r="B680" t="s">
        <v>17264</v>
      </c>
      <c r="D680" t="s">
        <v>16314</v>
      </c>
      <c r="E680" t="s">
        <v>4215</v>
      </c>
      <c r="F680" t="s">
        <v>17334</v>
      </c>
      <c r="G680">
        <v>3</v>
      </c>
      <c r="O680" t="s">
        <v>16314</v>
      </c>
    </row>
    <row r="681" spans="1:15">
      <c r="A681" t="s">
        <v>17333</v>
      </c>
      <c r="B681" t="s">
        <v>17271</v>
      </c>
      <c r="D681" t="s">
        <v>16315</v>
      </c>
      <c r="E681" t="s">
        <v>4215</v>
      </c>
      <c r="F681" t="s">
        <v>17334</v>
      </c>
      <c r="G681">
        <v>3</v>
      </c>
      <c r="O681" t="s">
        <v>16315</v>
      </c>
    </row>
    <row r="682" spans="1:15">
      <c r="A682" t="s">
        <v>17333</v>
      </c>
      <c r="B682" t="s">
        <v>17278</v>
      </c>
      <c r="D682" t="s">
        <v>16316</v>
      </c>
      <c r="E682" t="s">
        <v>4215</v>
      </c>
      <c r="F682" t="s">
        <v>17334</v>
      </c>
      <c r="G682">
        <v>3</v>
      </c>
      <c r="O682" t="s">
        <v>16316</v>
      </c>
    </row>
    <row r="683" spans="1:15">
      <c r="A683" t="s">
        <v>17333</v>
      </c>
      <c r="B683" t="s">
        <v>17285</v>
      </c>
      <c r="D683" t="s">
        <v>16317</v>
      </c>
      <c r="E683" t="s">
        <v>4215</v>
      </c>
      <c r="F683" t="s">
        <v>17334</v>
      </c>
      <c r="G683">
        <v>3</v>
      </c>
      <c r="O683" t="s">
        <v>16317</v>
      </c>
    </row>
    <row r="684" spans="1:15">
      <c r="A684" t="s">
        <v>17333</v>
      </c>
      <c r="B684" t="s">
        <v>17292</v>
      </c>
      <c r="D684" t="s">
        <v>16318</v>
      </c>
      <c r="E684" t="s">
        <v>4215</v>
      </c>
      <c r="F684" t="s">
        <v>17334</v>
      </c>
      <c r="G684">
        <v>3</v>
      </c>
      <c r="O684" t="s">
        <v>16318</v>
      </c>
    </row>
    <row r="685" spans="1:15">
      <c r="A685" t="s">
        <v>17333</v>
      </c>
      <c r="B685" t="s">
        <v>17299</v>
      </c>
      <c r="D685" t="s">
        <v>16319</v>
      </c>
      <c r="E685" t="s">
        <v>4215</v>
      </c>
      <c r="F685" t="s">
        <v>17334</v>
      </c>
      <c r="G685">
        <v>3</v>
      </c>
      <c r="O685" t="s">
        <v>16319</v>
      </c>
    </row>
    <row r="686" spans="1:15">
      <c r="A686" t="s">
        <v>17333</v>
      </c>
      <c r="B686" t="s">
        <v>17306</v>
      </c>
      <c r="D686" t="s">
        <v>16320</v>
      </c>
      <c r="E686" t="s">
        <v>4215</v>
      </c>
      <c r="F686" t="s">
        <v>17334</v>
      </c>
      <c r="G686">
        <v>3</v>
      </c>
      <c r="O686" t="s">
        <v>16320</v>
      </c>
    </row>
    <row r="687" spans="1:15">
      <c r="A687" t="s">
        <v>17333</v>
      </c>
      <c r="B687" t="s">
        <v>17313</v>
      </c>
      <c r="D687" t="s">
        <v>16321</v>
      </c>
      <c r="E687" t="s">
        <v>4215</v>
      </c>
      <c r="F687" t="s">
        <v>17334</v>
      </c>
      <c r="G687">
        <v>3</v>
      </c>
      <c r="O687" t="s">
        <v>16321</v>
      </c>
    </row>
    <row r="688" spans="1:15">
      <c r="A688" t="s">
        <v>17333</v>
      </c>
      <c r="B688" t="s">
        <v>17110</v>
      </c>
      <c r="D688" t="s">
        <v>16322</v>
      </c>
      <c r="E688" t="s">
        <v>4215</v>
      </c>
      <c r="F688" t="s">
        <v>17334</v>
      </c>
      <c r="G688">
        <v>3</v>
      </c>
      <c r="O688" t="s">
        <v>16322</v>
      </c>
    </row>
    <row r="689" spans="1:15">
      <c r="A689" t="s">
        <v>17333</v>
      </c>
      <c r="B689" t="s">
        <v>17119</v>
      </c>
      <c r="D689" t="s">
        <v>16323</v>
      </c>
      <c r="E689" t="s">
        <v>4215</v>
      </c>
      <c r="F689" t="s">
        <v>17334</v>
      </c>
      <c r="G689">
        <v>3</v>
      </c>
      <c r="O689" t="s">
        <v>16323</v>
      </c>
    </row>
    <row r="690" spans="1:15">
      <c r="A690" t="s">
        <v>17333</v>
      </c>
      <c r="B690" t="s">
        <v>17128</v>
      </c>
      <c r="D690" t="s">
        <v>16324</v>
      </c>
      <c r="E690" t="s">
        <v>4215</v>
      </c>
      <c r="F690" t="s">
        <v>17334</v>
      </c>
      <c r="G690">
        <v>3</v>
      </c>
      <c r="O690" t="s">
        <v>16324</v>
      </c>
    </row>
    <row r="691" spans="1:15">
      <c r="A691" t="s">
        <v>17333</v>
      </c>
      <c r="B691" t="s">
        <v>17137</v>
      </c>
      <c r="D691" t="s">
        <v>16325</v>
      </c>
      <c r="E691" t="s">
        <v>4215</v>
      </c>
      <c r="F691" t="s">
        <v>17334</v>
      </c>
      <c r="G691">
        <v>3</v>
      </c>
      <c r="O691" t="s">
        <v>16325</v>
      </c>
    </row>
    <row r="692" spans="1:15">
      <c r="A692" t="s">
        <v>17333</v>
      </c>
      <c r="B692" t="s">
        <v>17146</v>
      </c>
      <c r="D692" t="s">
        <v>16326</v>
      </c>
      <c r="E692" t="s">
        <v>4215</v>
      </c>
      <c r="F692" t="s">
        <v>17334</v>
      </c>
      <c r="G692">
        <v>3</v>
      </c>
      <c r="O692" t="s">
        <v>16326</v>
      </c>
    </row>
    <row r="693" spans="1:15">
      <c r="A693" t="s">
        <v>17333</v>
      </c>
      <c r="B693" t="s">
        <v>17155</v>
      </c>
      <c r="D693" t="s">
        <v>16327</v>
      </c>
      <c r="E693" t="s">
        <v>4215</v>
      </c>
      <c r="F693" t="s">
        <v>17334</v>
      </c>
      <c r="G693">
        <v>3</v>
      </c>
      <c r="O693" t="s">
        <v>16327</v>
      </c>
    </row>
    <row r="694" spans="1:15">
      <c r="A694" t="s">
        <v>17333</v>
      </c>
      <c r="B694" t="s">
        <v>17164</v>
      </c>
      <c r="D694" t="s">
        <v>16328</v>
      </c>
      <c r="E694" t="s">
        <v>4215</v>
      </c>
      <c r="F694" t="s">
        <v>17334</v>
      </c>
      <c r="G694">
        <v>3</v>
      </c>
      <c r="O694" t="s">
        <v>16328</v>
      </c>
    </row>
    <row r="695" spans="1:15">
      <c r="A695" t="s">
        <v>17333</v>
      </c>
      <c r="B695" t="s">
        <v>17173</v>
      </c>
      <c r="D695" t="s">
        <v>16329</v>
      </c>
      <c r="E695" t="s">
        <v>4215</v>
      </c>
      <c r="F695" t="s">
        <v>17334</v>
      </c>
      <c r="G695">
        <v>3</v>
      </c>
      <c r="O695" t="s">
        <v>16329</v>
      </c>
    </row>
    <row r="696" spans="1:15">
      <c r="A696" t="s">
        <v>17333</v>
      </c>
      <c r="B696" t="s">
        <v>17181</v>
      </c>
      <c r="D696" t="s">
        <v>16330</v>
      </c>
      <c r="E696" t="s">
        <v>4215</v>
      </c>
      <c r="F696" t="s">
        <v>17334</v>
      </c>
      <c r="G696">
        <v>3</v>
      </c>
      <c r="O696" t="s">
        <v>16330</v>
      </c>
    </row>
    <row r="697" spans="1:15">
      <c r="A697" t="s">
        <v>17333</v>
      </c>
      <c r="B697" t="s">
        <v>17188</v>
      </c>
      <c r="D697" t="s">
        <v>16331</v>
      </c>
      <c r="E697" t="s">
        <v>4215</v>
      </c>
      <c r="F697" t="s">
        <v>17334</v>
      </c>
      <c r="G697">
        <v>3</v>
      </c>
      <c r="O697" t="s">
        <v>16331</v>
      </c>
    </row>
    <row r="698" spans="1:15">
      <c r="A698" t="s">
        <v>17333</v>
      </c>
      <c r="B698" t="s">
        <v>17195</v>
      </c>
      <c r="D698" t="s">
        <v>16332</v>
      </c>
      <c r="E698" t="s">
        <v>4215</v>
      </c>
      <c r="F698" t="s">
        <v>17334</v>
      </c>
      <c r="G698">
        <v>3</v>
      </c>
      <c r="O698" t="s">
        <v>16332</v>
      </c>
    </row>
    <row r="699" spans="1:15">
      <c r="A699" t="s">
        <v>17333</v>
      </c>
      <c r="B699" t="s">
        <v>17202</v>
      </c>
      <c r="D699" t="s">
        <v>16333</v>
      </c>
      <c r="E699" t="s">
        <v>4215</v>
      </c>
      <c r="F699" t="s">
        <v>17334</v>
      </c>
      <c r="G699">
        <v>3</v>
      </c>
      <c r="O699" t="s">
        <v>16333</v>
      </c>
    </row>
    <row r="700" spans="1:15">
      <c r="A700" t="s">
        <v>17333</v>
      </c>
      <c r="B700" t="s">
        <v>17209</v>
      </c>
      <c r="D700" t="s">
        <v>16334</v>
      </c>
      <c r="E700" t="s">
        <v>4215</v>
      </c>
      <c r="F700" t="s">
        <v>17334</v>
      </c>
      <c r="G700">
        <v>3</v>
      </c>
      <c r="O700" t="s">
        <v>16334</v>
      </c>
    </row>
    <row r="701" spans="1:15">
      <c r="A701" t="s">
        <v>17333</v>
      </c>
      <c r="B701" t="s">
        <v>17216</v>
      </c>
      <c r="D701" t="s">
        <v>16335</v>
      </c>
      <c r="E701" t="s">
        <v>4215</v>
      </c>
      <c r="F701" t="s">
        <v>17334</v>
      </c>
      <c r="G701">
        <v>3</v>
      </c>
      <c r="O701" t="s">
        <v>16335</v>
      </c>
    </row>
    <row r="702" spans="1:15">
      <c r="A702" t="s">
        <v>17333</v>
      </c>
      <c r="B702" t="s">
        <v>17223</v>
      </c>
      <c r="D702" t="s">
        <v>16336</v>
      </c>
      <c r="E702" t="s">
        <v>4215</v>
      </c>
      <c r="F702" t="s">
        <v>17334</v>
      </c>
      <c r="G702">
        <v>3</v>
      </c>
      <c r="O702" t="s">
        <v>16336</v>
      </c>
    </row>
    <row r="703" spans="1:15">
      <c r="A703" t="s">
        <v>17333</v>
      </c>
      <c r="B703" t="s">
        <v>17230</v>
      </c>
      <c r="D703" t="s">
        <v>16337</v>
      </c>
      <c r="E703" t="s">
        <v>4215</v>
      </c>
      <c r="F703" t="s">
        <v>17334</v>
      </c>
      <c r="G703">
        <v>3</v>
      </c>
      <c r="O703" t="s">
        <v>16337</v>
      </c>
    </row>
    <row r="704" spans="1:15">
      <c r="A704" t="s">
        <v>17333</v>
      </c>
      <c r="B704" t="s">
        <v>17237</v>
      </c>
      <c r="D704" t="s">
        <v>16338</v>
      </c>
      <c r="E704" t="s">
        <v>4215</v>
      </c>
      <c r="F704" t="s">
        <v>17334</v>
      </c>
      <c r="G704">
        <v>3</v>
      </c>
      <c r="O704" t="s">
        <v>16338</v>
      </c>
    </row>
    <row r="705" spans="1:15">
      <c r="A705" t="s">
        <v>17333</v>
      </c>
      <c r="B705" t="s">
        <v>17244</v>
      </c>
      <c r="D705" t="s">
        <v>16339</v>
      </c>
      <c r="E705" t="s">
        <v>4215</v>
      </c>
      <c r="F705" t="s">
        <v>17334</v>
      </c>
      <c r="G705">
        <v>3</v>
      </c>
      <c r="O705" t="s">
        <v>16339</v>
      </c>
    </row>
    <row r="706" spans="1:15">
      <c r="A706" t="s">
        <v>17333</v>
      </c>
      <c r="B706" t="s">
        <v>17251</v>
      </c>
      <c r="D706" t="s">
        <v>16340</v>
      </c>
      <c r="E706" t="s">
        <v>4215</v>
      </c>
      <c r="F706" t="s">
        <v>17334</v>
      </c>
      <c r="G706">
        <v>3</v>
      </c>
      <c r="O706" t="s">
        <v>16340</v>
      </c>
    </row>
    <row r="707" spans="1:15">
      <c r="A707" t="s">
        <v>17333</v>
      </c>
      <c r="B707" t="s">
        <v>17258</v>
      </c>
      <c r="D707" t="s">
        <v>16341</v>
      </c>
      <c r="E707" t="s">
        <v>4215</v>
      </c>
      <c r="F707" t="s">
        <v>17334</v>
      </c>
      <c r="G707">
        <v>3</v>
      </c>
      <c r="O707" t="s">
        <v>16341</v>
      </c>
    </row>
    <row r="708" spans="1:15">
      <c r="A708" t="s">
        <v>17333</v>
      </c>
      <c r="B708" t="s">
        <v>17265</v>
      </c>
      <c r="D708" t="s">
        <v>16342</v>
      </c>
      <c r="E708" t="s">
        <v>4215</v>
      </c>
      <c r="F708" t="s">
        <v>17334</v>
      </c>
      <c r="G708">
        <v>3</v>
      </c>
      <c r="O708" t="s">
        <v>16342</v>
      </c>
    </row>
    <row r="709" spans="1:15">
      <c r="A709" t="s">
        <v>17333</v>
      </c>
      <c r="B709" t="s">
        <v>17272</v>
      </c>
      <c r="D709" t="s">
        <v>16343</v>
      </c>
      <c r="E709" t="s">
        <v>4215</v>
      </c>
      <c r="F709" t="s">
        <v>17334</v>
      </c>
      <c r="G709">
        <v>3</v>
      </c>
      <c r="O709" t="s">
        <v>16343</v>
      </c>
    </row>
    <row r="710" spans="1:15">
      <c r="A710" t="s">
        <v>17333</v>
      </c>
      <c r="B710" t="s">
        <v>17279</v>
      </c>
      <c r="D710" t="s">
        <v>16344</v>
      </c>
      <c r="E710" t="s">
        <v>4215</v>
      </c>
      <c r="F710" t="s">
        <v>17334</v>
      </c>
      <c r="G710">
        <v>3</v>
      </c>
      <c r="O710" t="s">
        <v>16344</v>
      </c>
    </row>
    <row r="711" spans="1:15">
      <c r="A711" t="s">
        <v>17333</v>
      </c>
      <c r="B711" t="s">
        <v>17286</v>
      </c>
      <c r="D711" t="s">
        <v>16345</v>
      </c>
      <c r="E711" t="s">
        <v>4215</v>
      </c>
      <c r="F711" t="s">
        <v>17334</v>
      </c>
      <c r="G711">
        <v>3</v>
      </c>
      <c r="O711" t="s">
        <v>16345</v>
      </c>
    </row>
    <row r="712" spans="1:15">
      <c r="A712" t="s">
        <v>17333</v>
      </c>
      <c r="B712" t="s">
        <v>17293</v>
      </c>
      <c r="D712" t="s">
        <v>16346</v>
      </c>
      <c r="E712" t="s">
        <v>4215</v>
      </c>
      <c r="F712" t="s">
        <v>17334</v>
      </c>
      <c r="G712">
        <v>3</v>
      </c>
      <c r="O712" t="s">
        <v>16346</v>
      </c>
    </row>
    <row r="713" spans="1:15">
      <c r="A713" t="s">
        <v>17333</v>
      </c>
      <c r="B713" t="s">
        <v>17300</v>
      </c>
      <c r="D713" t="s">
        <v>16347</v>
      </c>
      <c r="E713" t="s">
        <v>4215</v>
      </c>
      <c r="F713" t="s">
        <v>17334</v>
      </c>
      <c r="G713">
        <v>3</v>
      </c>
      <c r="O713" t="s">
        <v>16347</v>
      </c>
    </row>
    <row r="714" spans="1:15">
      <c r="A714" t="s">
        <v>17333</v>
      </c>
      <c r="B714" t="s">
        <v>17307</v>
      </c>
      <c r="D714" t="s">
        <v>16348</v>
      </c>
      <c r="E714" t="s">
        <v>4215</v>
      </c>
      <c r="F714" t="s">
        <v>17334</v>
      </c>
      <c r="G714">
        <v>3</v>
      </c>
      <c r="O714" t="s">
        <v>16348</v>
      </c>
    </row>
    <row r="715" spans="1:15">
      <c r="A715" t="s">
        <v>17333</v>
      </c>
      <c r="B715" t="s">
        <v>17314</v>
      </c>
      <c r="D715" t="s">
        <v>16349</v>
      </c>
      <c r="E715" t="s">
        <v>4215</v>
      </c>
      <c r="F715" t="s">
        <v>17334</v>
      </c>
      <c r="G715">
        <v>3</v>
      </c>
      <c r="O715" t="s">
        <v>16349</v>
      </c>
    </row>
    <row r="716" spans="1:15">
      <c r="A716" t="s">
        <v>17333</v>
      </c>
      <c r="B716" t="s">
        <v>17111</v>
      </c>
      <c r="D716" t="s">
        <v>16350</v>
      </c>
      <c r="E716" t="s">
        <v>4215</v>
      </c>
      <c r="F716" t="s">
        <v>17334</v>
      </c>
      <c r="G716">
        <v>3</v>
      </c>
      <c r="O716" t="s">
        <v>16350</v>
      </c>
    </row>
    <row r="717" spans="1:15">
      <c r="A717" t="s">
        <v>17333</v>
      </c>
      <c r="B717" t="s">
        <v>17120</v>
      </c>
      <c r="D717" t="s">
        <v>16351</v>
      </c>
      <c r="E717" t="s">
        <v>4215</v>
      </c>
      <c r="F717" t="s">
        <v>17334</v>
      </c>
      <c r="G717">
        <v>3</v>
      </c>
      <c r="O717" t="s">
        <v>16351</v>
      </c>
    </row>
    <row r="718" spans="1:15">
      <c r="A718" t="s">
        <v>17333</v>
      </c>
      <c r="B718" t="s">
        <v>17129</v>
      </c>
      <c r="D718" t="s">
        <v>16352</v>
      </c>
      <c r="E718" t="s">
        <v>4215</v>
      </c>
      <c r="F718" t="s">
        <v>17334</v>
      </c>
      <c r="G718">
        <v>3</v>
      </c>
      <c r="O718" t="s">
        <v>16352</v>
      </c>
    </row>
    <row r="719" spans="1:15">
      <c r="A719" t="s">
        <v>17333</v>
      </c>
      <c r="B719" t="s">
        <v>17138</v>
      </c>
      <c r="D719" t="s">
        <v>16353</v>
      </c>
      <c r="E719" t="s">
        <v>4215</v>
      </c>
      <c r="F719" t="s">
        <v>17334</v>
      </c>
      <c r="G719">
        <v>3</v>
      </c>
      <c r="O719" t="s">
        <v>16353</v>
      </c>
    </row>
    <row r="720" spans="1:15">
      <c r="A720" t="s">
        <v>17333</v>
      </c>
      <c r="B720" t="s">
        <v>17147</v>
      </c>
      <c r="D720" t="s">
        <v>16354</v>
      </c>
      <c r="E720" t="s">
        <v>4215</v>
      </c>
      <c r="F720" t="s">
        <v>17334</v>
      </c>
      <c r="G720">
        <v>3</v>
      </c>
      <c r="O720" t="s">
        <v>16354</v>
      </c>
    </row>
    <row r="721" spans="1:15">
      <c r="A721" t="s">
        <v>17333</v>
      </c>
      <c r="B721" t="s">
        <v>17156</v>
      </c>
      <c r="D721" t="s">
        <v>16355</v>
      </c>
      <c r="E721" t="s">
        <v>4215</v>
      </c>
      <c r="F721" t="s">
        <v>17334</v>
      </c>
      <c r="G721">
        <v>3</v>
      </c>
      <c r="O721" t="s">
        <v>16355</v>
      </c>
    </row>
    <row r="722" spans="1:15">
      <c r="A722" t="s">
        <v>17333</v>
      </c>
      <c r="B722" t="s">
        <v>17165</v>
      </c>
      <c r="D722" t="s">
        <v>16356</v>
      </c>
      <c r="E722" t="s">
        <v>4215</v>
      </c>
      <c r="F722" t="s">
        <v>17334</v>
      </c>
      <c r="G722">
        <v>3</v>
      </c>
      <c r="O722" t="s">
        <v>16356</v>
      </c>
    </row>
    <row r="723" spans="1:15">
      <c r="A723" t="s">
        <v>17333</v>
      </c>
      <c r="B723" t="s">
        <v>17174</v>
      </c>
      <c r="D723" t="s">
        <v>16357</v>
      </c>
      <c r="E723" t="s">
        <v>4215</v>
      </c>
      <c r="F723" t="s">
        <v>17334</v>
      </c>
      <c r="G723">
        <v>3</v>
      </c>
      <c r="O723" t="s">
        <v>16357</v>
      </c>
    </row>
    <row r="724" spans="1:15">
      <c r="A724" t="s">
        <v>17333</v>
      </c>
      <c r="B724" t="s">
        <v>17182</v>
      </c>
      <c r="D724" t="s">
        <v>16358</v>
      </c>
      <c r="E724" t="s">
        <v>4215</v>
      </c>
      <c r="F724" t="s">
        <v>17334</v>
      </c>
      <c r="G724">
        <v>3</v>
      </c>
      <c r="O724" t="s">
        <v>16358</v>
      </c>
    </row>
    <row r="725" spans="1:15">
      <c r="A725" t="s">
        <v>17333</v>
      </c>
      <c r="B725" t="s">
        <v>17189</v>
      </c>
      <c r="D725" t="s">
        <v>16359</v>
      </c>
      <c r="E725" t="s">
        <v>4215</v>
      </c>
      <c r="F725" t="s">
        <v>17334</v>
      </c>
      <c r="G725">
        <v>3</v>
      </c>
      <c r="O725" t="s">
        <v>16359</v>
      </c>
    </row>
    <row r="726" spans="1:15">
      <c r="A726" t="s">
        <v>17333</v>
      </c>
      <c r="B726" t="s">
        <v>17196</v>
      </c>
      <c r="D726" t="s">
        <v>16360</v>
      </c>
      <c r="E726" t="s">
        <v>4215</v>
      </c>
      <c r="F726" t="s">
        <v>17334</v>
      </c>
      <c r="G726">
        <v>3</v>
      </c>
      <c r="O726" t="s">
        <v>16360</v>
      </c>
    </row>
    <row r="727" spans="1:15">
      <c r="A727" t="s">
        <v>17333</v>
      </c>
      <c r="B727" t="s">
        <v>17203</v>
      </c>
      <c r="D727" t="s">
        <v>16361</v>
      </c>
      <c r="E727" t="s">
        <v>4215</v>
      </c>
      <c r="F727" t="s">
        <v>17334</v>
      </c>
      <c r="G727">
        <v>3</v>
      </c>
      <c r="O727" t="s">
        <v>16361</v>
      </c>
    </row>
    <row r="728" spans="1:15">
      <c r="A728" t="s">
        <v>17333</v>
      </c>
      <c r="B728" t="s">
        <v>17210</v>
      </c>
      <c r="D728" t="s">
        <v>16362</v>
      </c>
      <c r="E728" t="s">
        <v>4215</v>
      </c>
      <c r="F728" t="s">
        <v>17334</v>
      </c>
      <c r="G728">
        <v>3</v>
      </c>
      <c r="O728" t="s">
        <v>16362</v>
      </c>
    </row>
    <row r="729" spans="1:15">
      <c r="A729" t="s">
        <v>17333</v>
      </c>
      <c r="B729" t="s">
        <v>17217</v>
      </c>
      <c r="D729" t="s">
        <v>16363</v>
      </c>
      <c r="E729" t="s">
        <v>4215</v>
      </c>
      <c r="F729" t="s">
        <v>17334</v>
      </c>
      <c r="G729">
        <v>3</v>
      </c>
      <c r="O729" t="s">
        <v>16363</v>
      </c>
    </row>
    <row r="730" spans="1:15">
      <c r="A730" t="s">
        <v>17333</v>
      </c>
      <c r="B730" t="s">
        <v>17224</v>
      </c>
      <c r="D730" t="s">
        <v>16364</v>
      </c>
      <c r="E730" t="s">
        <v>4215</v>
      </c>
      <c r="F730" t="s">
        <v>17334</v>
      </c>
      <c r="G730">
        <v>3</v>
      </c>
      <c r="O730" t="s">
        <v>16364</v>
      </c>
    </row>
    <row r="731" spans="1:15">
      <c r="A731" t="s">
        <v>17333</v>
      </c>
      <c r="B731" t="s">
        <v>17231</v>
      </c>
      <c r="D731" t="s">
        <v>16365</v>
      </c>
      <c r="E731" t="s">
        <v>4215</v>
      </c>
      <c r="F731" t="s">
        <v>17334</v>
      </c>
      <c r="G731">
        <v>3</v>
      </c>
      <c r="O731" t="s">
        <v>16365</v>
      </c>
    </row>
    <row r="732" spans="1:15">
      <c r="A732" t="s">
        <v>17333</v>
      </c>
      <c r="B732" t="s">
        <v>17238</v>
      </c>
      <c r="D732" t="s">
        <v>16366</v>
      </c>
      <c r="E732" t="s">
        <v>4215</v>
      </c>
      <c r="F732" t="s">
        <v>17334</v>
      </c>
      <c r="G732">
        <v>3</v>
      </c>
      <c r="O732" t="s">
        <v>16366</v>
      </c>
    </row>
    <row r="733" spans="1:15">
      <c r="A733" t="s">
        <v>17333</v>
      </c>
      <c r="B733" t="s">
        <v>17245</v>
      </c>
      <c r="D733" t="s">
        <v>16367</v>
      </c>
      <c r="E733" t="s">
        <v>4215</v>
      </c>
      <c r="F733" t="s">
        <v>17334</v>
      </c>
      <c r="G733">
        <v>3</v>
      </c>
      <c r="O733" t="s">
        <v>16367</v>
      </c>
    </row>
    <row r="734" spans="1:15">
      <c r="A734" t="s">
        <v>17333</v>
      </c>
      <c r="B734" t="s">
        <v>17252</v>
      </c>
      <c r="D734" t="s">
        <v>16368</v>
      </c>
      <c r="E734" t="s">
        <v>4215</v>
      </c>
      <c r="F734" t="s">
        <v>17334</v>
      </c>
      <c r="G734">
        <v>3</v>
      </c>
      <c r="O734" t="s">
        <v>16368</v>
      </c>
    </row>
    <row r="735" spans="1:15">
      <c r="A735" t="s">
        <v>17333</v>
      </c>
      <c r="B735" t="s">
        <v>17259</v>
      </c>
      <c r="D735" t="s">
        <v>16369</v>
      </c>
      <c r="E735" t="s">
        <v>4215</v>
      </c>
      <c r="F735" t="s">
        <v>17334</v>
      </c>
      <c r="G735">
        <v>3</v>
      </c>
      <c r="O735" t="s">
        <v>16369</v>
      </c>
    </row>
    <row r="736" spans="1:15">
      <c r="A736" t="s">
        <v>17333</v>
      </c>
      <c r="B736" t="s">
        <v>17266</v>
      </c>
      <c r="D736" t="s">
        <v>16370</v>
      </c>
      <c r="E736" t="s">
        <v>4215</v>
      </c>
      <c r="F736" t="s">
        <v>17334</v>
      </c>
      <c r="G736">
        <v>3</v>
      </c>
      <c r="O736" t="s">
        <v>16370</v>
      </c>
    </row>
    <row r="737" spans="1:15">
      <c r="A737" t="s">
        <v>17333</v>
      </c>
      <c r="B737" t="s">
        <v>17273</v>
      </c>
      <c r="D737" t="s">
        <v>16371</v>
      </c>
      <c r="E737" t="s">
        <v>4215</v>
      </c>
      <c r="F737" t="s">
        <v>17334</v>
      </c>
      <c r="G737">
        <v>3</v>
      </c>
      <c r="O737" t="s">
        <v>16371</v>
      </c>
    </row>
    <row r="738" spans="1:15">
      <c r="A738" t="s">
        <v>17333</v>
      </c>
      <c r="B738" t="s">
        <v>17280</v>
      </c>
      <c r="D738" t="s">
        <v>16372</v>
      </c>
      <c r="E738" t="s">
        <v>4215</v>
      </c>
      <c r="F738" t="s">
        <v>17334</v>
      </c>
      <c r="G738">
        <v>3</v>
      </c>
      <c r="O738" t="s">
        <v>16372</v>
      </c>
    </row>
    <row r="739" spans="1:15">
      <c r="A739" t="s">
        <v>17333</v>
      </c>
      <c r="B739" t="s">
        <v>17287</v>
      </c>
      <c r="D739" t="s">
        <v>16373</v>
      </c>
      <c r="E739" t="s">
        <v>4215</v>
      </c>
      <c r="F739" t="s">
        <v>17334</v>
      </c>
      <c r="G739">
        <v>3</v>
      </c>
      <c r="O739" t="s">
        <v>16373</v>
      </c>
    </row>
    <row r="740" spans="1:15">
      <c r="A740" t="s">
        <v>17333</v>
      </c>
      <c r="B740" t="s">
        <v>17294</v>
      </c>
      <c r="D740" t="s">
        <v>16374</v>
      </c>
      <c r="E740" t="s">
        <v>4215</v>
      </c>
      <c r="F740" t="s">
        <v>17334</v>
      </c>
      <c r="G740">
        <v>3</v>
      </c>
      <c r="O740" t="s">
        <v>16374</v>
      </c>
    </row>
    <row r="741" spans="1:15">
      <c r="A741" t="s">
        <v>17333</v>
      </c>
      <c r="B741" t="s">
        <v>17301</v>
      </c>
      <c r="D741" t="s">
        <v>16375</v>
      </c>
      <c r="E741" t="s">
        <v>4215</v>
      </c>
      <c r="F741" t="s">
        <v>17334</v>
      </c>
      <c r="G741">
        <v>3</v>
      </c>
      <c r="O741" t="s">
        <v>16375</v>
      </c>
    </row>
    <row r="742" spans="1:15">
      <c r="A742" t="s">
        <v>17333</v>
      </c>
      <c r="B742" t="s">
        <v>17308</v>
      </c>
      <c r="D742" t="s">
        <v>16376</v>
      </c>
      <c r="E742" t="s">
        <v>4215</v>
      </c>
      <c r="F742" t="s">
        <v>17334</v>
      </c>
      <c r="G742">
        <v>3</v>
      </c>
      <c r="O742" t="s">
        <v>16376</v>
      </c>
    </row>
    <row r="743" spans="1:15">
      <c r="A743" t="s">
        <v>17333</v>
      </c>
      <c r="B743" t="s">
        <v>17315</v>
      </c>
      <c r="D743" t="s">
        <v>16377</v>
      </c>
      <c r="E743" t="s">
        <v>4215</v>
      </c>
      <c r="F743" t="s">
        <v>17334</v>
      </c>
      <c r="G743">
        <v>3</v>
      </c>
      <c r="O743" t="s">
        <v>16377</v>
      </c>
    </row>
    <row r="744" spans="1:15">
      <c r="A744" t="s">
        <v>17333</v>
      </c>
      <c r="B744" t="s">
        <v>17112</v>
      </c>
      <c r="D744" t="s">
        <v>16378</v>
      </c>
      <c r="E744" t="s">
        <v>4215</v>
      </c>
      <c r="F744" t="s">
        <v>17334</v>
      </c>
      <c r="G744">
        <v>3</v>
      </c>
      <c r="O744" t="s">
        <v>16378</v>
      </c>
    </row>
    <row r="745" spans="1:15">
      <c r="A745" t="s">
        <v>17333</v>
      </c>
      <c r="B745" t="s">
        <v>17121</v>
      </c>
      <c r="D745" t="s">
        <v>16379</v>
      </c>
      <c r="E745" t="s">
        <v>4215</v>
      </c>
      <c r="F745" t="s">
        <v>17334</v>
      </c>
      <c r="G745">
        <v>3</v>
      </c>
      <c r="O745" t="s">
        <v>16379</v>
      </c>
    </row>
    <row r="746" spans="1:15">
      <c r="A746" t="s">
        <v>17333</v>
      </c>
      <c r="B746" t="s">
        <v>17130</v>
      </c>
      <c r="D746" t="s">
        <v>16380</v>
      </c>
      <c r="E746" t="s">
        <v>4215</v>
      </c>
      <c r="F746" t="s">
        <v>17334</v>
      </c>
      <c r="G746">
        <v>3</v>
      </c>
      <c r="O746" t="s">
        <v>16380</v>
      </c>
    </row>
    <row r="747" spans="1:15">
      <c r="A747" t="s">
        <v>17333</v>
      </c>
      <c r="B747" t="s">
        <v>17139</v>
      </c>
      <c r="D747" t="s">
        <v>16381</v>
      </c>
      <c r="E747" t="s">
        <v>4215</v>
      </c>
      <c r="F747" t="s">
        <v>17334</v>
      </c>
      <c r="G747">
        <v>3</v>
      </c>
      <c r="O747" t="s">
        <v>16381</v>
      </c>
    </row>
    <row r="748" spans="1:15">
      <c r="A748" t="s">
        <v>17333</v>
      </c>
      <c r="B748" t="s">
        <v>17148</v>
      </c>
      <c r="D748" t="s">
        <v>16382</v>
      </c>
      <c r="E748" t="s">
        <v>4215</v>
      </c>
      <c r="F748" t="s">
        <v>17334</v>
      </c>
      <c r="G748">
        <v>3</v>
      </c>
      <c r="O748" t="s">
        <v>16382</v>
      </c>
    </row>
    <row r="749" spans="1:15">
      <c r="A749" t="s">
        <v>17333</v>
      </c>
      <c r="B749" t="s">
        <v>17157</v>
      </c>
      <c r="D749" t="s">
        <v>16383</v>
      </c>
      <c r="E749" t="s">
        <v>4215</v>
      </c>
      <c r="F749" t="s">
        <v>17334</v>
      </c>
      <c r="G749">
        <v>3</v>
      </c>
      <c r="O749" t="s">
        <v>16383</v>
      </c>
    </row>
    <row r="750" spans="1:15">
      <c r="A750" t="s">
        <v>17333</v>
      </c>
      <c r="B750" t="s">
        <v>17166</v>
      </c>
      <c r="D750" t="s">
        <v>16384</v>
      </c>
      <c r="E750" t="s">
        <v>4215</v>
      </c>
      <c r="F750" t="s">
        <v>17334</v>
      </c>
      <c r="G750">
        <v>3</v>
      </c>
      <c r="O750" t="s">
        <v>16384</v>
      </c>
    </row>
    <row r="751" spans="1:15">
      <c r="A751" t="s">
        <v>17333</v>
      </c>
      <c r="B751" t="s">
        <v>17175</v>
      </c>
      <c r="D751" t="s">
        <v>16385</v>
      </c>
      <c r="E751" t="s">
        <v>4215</v>
      </c>
      <c r="F751" t="s">
        <v>17334</v>
      </c>
      <c r="G751">
        <v>3</v>
      </c>
      <c r="O751" t="s">
        <v>16385</v>
      </c>
    </row>
    <row r="752" spans="1:15">
      <c r="A752" t="s">
        <v>17333</v>
      </c>
      <c r="B752" t="s">
        <v>17183</v>
      </c>
      <c r="D752" t="s">
        <v>16386</v>
      </c>
      <c r="E752" t="s">
        <v>4215</v>
      </c>
      <c r="F752" t="s">
        <v>17334</v>
      </c>
      <c r="G752">
        <v>3</v>
      </c>
      <c r="O752" t="s">
        <v>16386</v>
      </c>
    </row>
    <row r="753" spans="1:15">
      <c r="A753" t="s">
        <v>17333</v>
      </c>
      <c r="B753" t="s">
        <v>17190</v>
      </c>
      <c r="D753" t="s">
        <v>16387</v>
      </c>
      <c r="E753" t="s">
        <v>4215</v>
      </c>
      <c r="F753" t="s">
        <v>17334</v>
      </c>
      <c r="G753">
        <v>3</v>
      </c>
      <c r="O753" t="s">
        <v>16387</v>
      </c>
    </row>
    <row r="754" spans="1:15">
      <c r="A754" t="s">
        <v>17333</v>
      </c>
      <c r="B754" t="s">
        <v>17197</v>
      </c>
      <c r="D754" t="s">
        <v>16388</v>
      </c>
      <c r="E754" t="s">
        <v>4215</v>
      </c>
      <c r="F754" t="s">
        <v>17334</v>
      </c>
      <c r="G754">
        <v>3</v>
      </c>
      <c r="O754" t="s">
        <v>16388</v>
      </c>
    </row>
    <row r="755" spans="1:15">
      <c r="A755" t="s">
        <v>17333</v>
      </c>
      <c r="B755" t="s">
        <v>17204</v>
      </c>
      <c r="D755" t="s">
        <v>16389</v>
      </c>
      <c r="E755" t="s">
        <v>4215</v>
      </c>
      <c r="F755" t="s">
        <v>17334</v>
      </c>
      <c r="G755">
        <v>3</v>
      </c>
      <c r="O755" t="s">
        <v>16389</v>
      </c>
    </row>
    <row r="756" spans="1:15">
      <c r="A756" t="s">
        <v>17333</v>
      </c>
      <c r="B756" t="s">
        <v>17211</v>
      </c>
      <c r="D756" t="s">
        <v>16390</v>
      </c>
      <c r="E756" t="s">
        <v>4215</v>
      </c>
      <c r="F756" t="s">
        <v>17334</v>
      </c>
      <c r="G756">
        <v>3</v>
      </c>
      <c r="O756" t="s">
        <v>16390</v>
      </c>
    </row>
    <row r="757" spans="1:15">
      <c r="A757" t="s">
        <v>17333</v>
      </c>
      <c r="B757" t="s">
        <v>17218</v>
      </c>
      <c r="D757" t="s">
        <v>16391</v>
      </c>
      <c r="E757" t="s">
        <v>4215</v>
      </c>
      <c r="F757" t="s">
        <v>17334</v>
      </c>
      <c r="G757">
        <v>3</v>
      </c>
      <c r="O757" t="s">
        <v>16391</v>
      </c>
    </row>
    <row r="758" spans="1:15">
      <c r="A758" t="s">
        <v>17333</v>
      </c>
      <c r="B758" t="s">
        <v>17225</v>
      </c>
      <c r="D758" t="s">
        <v>16392</v>
      </c>
      <c r="E758" t="s">
        <v>4215</v>
      </c>
      <c r="F758" t="s">
        <v>17334</v>
      </c>
      <c r="G758">
        <v>3</v>
      </c>
      <c r="O758" t="s">
        <v>16392</v>
      </c>
    </row>
    <row r="759" spans="1:15">
      <c r="A759" t="s">
        <v>17333</v>
      </c>
      <c r="B759" t="s">
        <v>17232</v>
      </c>
      <c r="D759" t="s">
        <v>16393</v>
      </c>
      <c r="E759" t="s">
        <v>4215</v>
      </c>
      <c r="F759" t="s">
        <v>17334</v>
      </c>
      <c r="G759">
        <v>3</v>
      </c>
      <c r="O759" t="s">
        <v>16393</v>
      </c>
    </row>
    <row r="760" spans="1:15">
      <c r="A760" t="s">
        <v>17333</v>
      </c>
      <c r="B760" t="s">
        <v>17239</v>
      </c>
      <c r="D760" t="s">
        <v>16394</v>
      </c>
      <c r="E760" t="s">
        <v>4215</v>
      </c>
      <c r="F760" t="s">
        <v>17334</v>
      </c>
      <c r="G760">
        <v>3</v>
      </c>
      <c r="O760" t="s">
        <v>16394</v>
      </c>
    </row>
    <row r="761" spans="1:15">
      <c r="A761" t="s">
        <v>17333</v>
      </c>
      <c r="B761" t="s">
        <v>17246</v>
      </c>
      <c r="D761" t="s">
        <v>16395</v>
      </c>
      <c r="E761" t="s">
        <v>4215</v>
      </c>
      <c r="F761" t="s">
        <v>17334</v>
      </c>
      <c r="G761">
        <v>3</v>
      </c>
      <c r="O761" t="s">
        <v>16395</v>
      </c>
    </row>
    <row r="762" spans="1:15">
      <c r="A762" t="s">
        <v>17333</v>
      </c>
      <c r="B762" t="s">
        <v>17253</v>
      </c>
      <c r="D762" t="s">
        <v>16396</v>
      </c>
      <c r="E762" t="s">
        <v>4215</v>
      </c>
      <c r="F762" t="s">
        <v>17334</v>
      </c>
      <c r="G762">
        <v>3</v>
      </c>
      <c r="O762" t="s">
        <v>16396</v>
      </c>
    </row>
    <row r="763" spans="1:15">
      <c r="A763" t="s">
        <v>17333</v>
      </c>
      <c r="B763" t="s">
        <v>17260</v>
      </c>
      <c r="D763" t="s">
        <v>16397</v>
      </c>
      <c r="E763" t="s">
        <v>4215</v>
      </c>
      <c r="F763" t="s">
        <v>17334</v>
      </c>
      <c r="G763">
        <v>3</v>
      </c>
      <c r="O763" t="s">
        <v>16397</v>
      </c>
    </row>
    <row r="764" spans="1:15">
      <c r="A764" t="s">
        <v>17333</v>
      </c>
      <c r="B764" t="s">
        <v>17267</v>
      </c>
      <c r="D764" t="s">
        <v>16398</v>
      </c>
      <c r="E764" t="s">
        <v>4215</v>
      </c>
      <c r="F764" t="s">
        <v>17334</v>
      </c>
      <c r="G764">
        <v>3</v>
      </c>
      <c r="O764" t="s">
        <v>16398</v>
      </c>
    </row>
    <row r="765" spans="1:15">
      <c r="A765" t="s">
        <v>17333</v>
      </c>
      <c r="B765" t="s">
        <v>17274</v>
      </c>
      <c r="D765" t="s">
        <v>16399</v>
      </c>
      <c r="E765" t="s">
        <v>4215</v>
      </c>
      <c r="F765" t="s">
        <v>17334</v>
      </c>
      <c r="G765">
        <v>3</v>
      </c>
      <c r="O765" t="s">
        <v>16399</v>
      </c>
    </row>
    <row r="766" spans="1:15">
      <c r="A766" t="s">
        <v>17333</v>
      </c>
      <c r="B766" t="s">
        <v>17281</v>
      </c>
      <c r="D766" t="s">
        <v>16400</v>
      </c>
      <c r="E766" t="s">
        <v>4215</v>
      </c>
      <c r="F766" t="s">
        <v>17334</v>
      </c>
      <c r="G766">
        <v>3</v>
      </c>
      <c r="O766" t="s">
        <v>16400</v>
      </c>
    </row>
    <row r="767" spans="1:15">
      <c r="A767" t="s">
        <v>17333</v>
      </c>
      <c r="B767" t="s">
        <v>17288</v>
      </c>
      <c r="D767" t="s">
        <v>16401</v>
      </c>
      <c r="E767" t="s">
        <v>4215</v>
      </c>
      <c r="F767" t="s">
        <v>17334</v>
      </c>
      <c r="G767">
        <v>3</v>
      </c>
      <c r="O767" t="s">
        <v>16401</v>
      </c>
    </row>
    <row r="768" spans="1:15">
      <c r="A768" t="s">
        <v>17333</v>
      </c>
      <c r="B768" t="s">
        <v>17295</v>
      </c>
      <c r="D768" t="s">
        <v>16402</v>
      </c>
      <c r="E768" t="s">
        <v>4215</v>
      </c>
      <c r="F768" t="s">
        <v>17334</v>
      </c>
      <c r="G768">
        <v>3</v>
      </c>
      <c r="O768" t="s">
        <v>16402</v>
      </c>
    </row>
    <row r="769" spans="1:15">
      <c r="A769" t="s">
        <v>17333</v>
      </c>
      <c r="B769" t="s">
        <v>17302</v>
      </c>
      <c r="D769" t="s">
        <v>16403</v>
      </c>
      <c r="E769" t="s">
        <v>4215</v>
      </c>
      <c r="F769" t="s">
        <v>17334</v>
      </c>
      <c r="G769">
        <v>3</v>
      </c>
      <c r="O769" t="s">
        <v>16403</v>
      </c>
    </row>
    <row r="770" spans="1:15">
      <c r="A770" t="s">
        <v>17333</v>
      </c>
      <c r="B770" t="s">
        <v>17309</v>
      </c>
      <c r="D770" t="s">
        <v>16404</v>
      </c>
      <c r="E770" t="s">
        <v>4215</v>
      </c>
      <c r="F770" t="s">
        <v>17334</v>
      </c>
      <c r="G770">
        <v>3</v>
      </c>
      <c r="O770" t="s">
        <v>16404</v>
      </c>
    </row>
    <row r="771" spans="1:15">
      <c r="A771" t="s">
        <v>17333</v>
      </c>
      <c r="B771" t="s">
        <v>17316</v>
      </c>
      <c r="D771" t="s">
        <v>16405</v>
      </c>
      <c r="E771" t="s">
        <v>4215</v>
      </c>
      <c r="F771" t="s">
        <v>17334</v>
      </c>
      <c r="G771">
        <v>3</v>
      </c>
      <c r="O771" t="s">
        <v>16405</v>
      </c>
    </row>
    <row r="772" spans="1:15">
      <c r="A772" t="s">
        <v>17333</v>
      </c>
      <c r="B772" t="s">
        <v>17113</v>
      </c>
      <c r="D772" t="s">
        <v>16406</v>
      </c>
      <c r="E772" t="s">
        <v>4215</v>
      </c>
      <c r="F772" t="s">
        <v>17334</v>
      </c>
      <c r="G772">
        <v>3</v>
      </c>
      <c r="O772" t="s">
        <v>16406</v>
      </c>
    </row>
    <row r="773" spans="1:15">
      <c r="A773" t="s">
        <v>17333</v>
      </c>
      <c r="B773" t="s">
        <v>17122</v>
      </c>
      <c r="D773" t="s">
        <v>16407</v>
      </c>
      <c r="E773" t="s">
        <v>4215</v>
      </c>
      <c r="F773" t="s">
        <v>17334</v>
      </c>
      <c r="G773">
        <v>3</v>
      </c>
      <c r="O773" t="s">
        <v>16407</v>
      </c>
    </row>
    <row r="774" spans="1:15">
      <c r="A774" t="s">
        <v>17333</v>
      </c>
      <c r="B774" t="s">
        <v>17131</v>
      </c>
      <c r="D774" t="s">
        <v>16408</v>
      </c>
      <c r="E774" t="s">
        <v>4215</v>
      </c>
      <c r="F774" t="s">
        <v>17334</v>
      </c>
      <c r="G774">
        <v>3</v>
      </c>
      <c r="O774" t="s">
        <v>16408</v>
      </c>
    </row>
    <row r="775" spans="1:15">
      <c r="A775" t="s">
        <v>17333</v>
      </c>
      <c r="B775" t="s">
        <v>17140</v>
      </c>
      <c r="D775" t="s">
        <v>16409</v>
      </c>
      <c r="E775" t="s">
        <v>4215</v>
      </c>
      <c r="F775" t="s">
        <v>17334</v>
      </c>
      <c r="G775">
        <v>3</v>
      </c>
      <c r="O775" t="s">
        <v>16409</v>
      </c>
    </row>
    <row r="776" spans="1:15">
      <c r="A776" t="s">
        <v>17333</v>
      </c>
      <c r="B776" t="s">
        <v>17149</v>
      </c>
      <c r="D776" t="s">
        <v>16410</v>
      </c>
      <c r="E776" t="s">
        <v>4215</v>
      </c>
      <c r="F776" t="s">
        <v>17334</v>
      </c>
      <c r="G776">
        <v>3</v>
      </c>
      <c r="O776" t="s">
        <v>16410</v>
      </c>
    </row>
    <row r="777" spans="1:15">
      <c r="A777" t="s">
        <v>17333</v>
      </c>
      <c r="B777" t="s">
        <v>17158</v>
      </c>
      <c r="D777" t="s">
        <v>16411</v>
      </c>
      <c r="E777" t="s">
        <v>4215</v>
      </c>
      <c r="F777" t="s">
        <v>17334</v>
      </c>
      <c r="G777">
        <v>3</v>
      </c>
      <c r="O777" t="s">
        <v>16411</v>
      </c>
    </row>
    <row r="778" spans="1:15">
      <c r="A778" t="s">
        <v>17333</v>
      </c>
      <c r="B778" t="s">
        <v>17167</v>
      </c>
      <c r="D778" t="s">
        <v>16412</v>
      </c>
      <c r="E778" t="s">
        <v>4215</v>
      </c>
      <c r="F778" t="s">
        <v>17334</v>
      </c>
      <c r="G778">
        <v>3</v>
      </c>
      <c r="O778" t="s">
        <v>16412</v>
      </c>
    </row>
    <row r="779" spans="1:15">
      <c r="A779" t="s">
        <v>17333</v>
      </c>
      <c r="B779" t="s">
        <v>17176</v>
      </c>
      <c r="D779" t="s">
        <v>16413</v>
      </c>
      <c r="E779" t="s">
        <v>4215</v>
      </c>
      <c r="F779" t="s">
        <v>17334</v>
      </c>
      <c r="G779">
        <v>3</v>
      </c>
      <c r="O779" t="s">
        <v>16413</v>
      </c>
    </row>
    <row r="780" spans="1:15">
      <c r="A780" t="s">
        <v>17333</v>
      </c>
      <c r="B780" t="s">
        <v>17184</v>
      </c>
      <c r="D780" t="s">
        <v>16414</v>
      </c>
      <c r="E780" t="s">
        <v>4215</v>
      </c>
      <c r="F780" t="s">
        <v>17334</v>
      </c>
      <c r="G780">
        <v>3</v>
      </c>
      <c r="O780" t="s">
        <v>16414</v>
      </c>
    </row>
    <row r="781" spans="1:15">
      <c r="A781" t="s">
        <v>17333</v>
      </c>
      <c r="B781" t="s">
        <v>17191</v>
      </c>
      <c r="D781" t="s">
        <v>16415</v>
      </c>
      <c r="E781" t="s">
        <v>4215</v>
      </c>
      <c r="F781" t="s">
        <v>17334</v>
      </c>
      <c r="G781">
        <v>3</v>
      </c>
      <c r="O781" t="s">
        <v>16415</v>
      </c>
    </row>
    <row r="782" spans="1:15">
      <c r="A782" t="s">
        <v>17333</v>
      </c>
      <c r="B782" t="s">
        <v>17198</v>
      </c>
      <c r="D782" t="s">
        <v>16416</v>
      </c>
      <c r="E782" t="s">
        <v>4215</v>
      </c>
      <c r="F782" t="s">
        <v>17334</v>
      </c>
      <c r="G782">
        <v>3</v>
      </c>
      <c r="O782" t="s">
        <v>16416</v>
      </c>
    </row>
    <row r="783" spans="1:15">
      <c r="A783" t="s">
        <v>17333</v>
      </c>
      <c r="B783" t="s">
        <v>17205</v>
      </c>
      <c r="D783" t="s">
        <v>16417</v>
      </c>
      <c r="E783" t="s">
        <v>4215</v>
      </c>
      <c r="F783" t="s">
        <v>17334</v>
      </c>
      <c r="G783">
        <v>3</v>
      </c>
      <c r="O783" t="s">
        <v>16417</v>
      </c>
    </row>
    <row r="784" spans="1:15">
      <c r="A784" t="s">
        <v>17333</v>
      </c>
      <c r="B784" t="s">
        <v>17212</v>
      </c>
      <c r="D784" t="s">
        <v>16418</v>
      </c>
      <c r="E784" t="s">
        <v>4215</v>
      </c>
      <c r="F784" t="s">
        <v>17334</v>
      </c>
      <c r="G784">
        <v>3</v>
      </c>
      <c r="O784" t="s">
        <v>16418</v>
      </c>
    </row>
    <row r="785" spans="1:15">
      <c r="A785" t="s">
        <v>17333</v>
      </c>
      <c r="B785" t="s">
        <v>17219</v>
      </c>
      <c r="D785" t="s">
        <v>16419</v>
      </c>
      <c r="E785" t="s">
        <v>4215</v>
      </c>
      <c r="F785" t="s">
        <v>17334</v>
      </c>
      <c r="G785">
        <v>3</v>
      </c>
      <c r="O785" t="s">
        <v>16419</v>
      </c>
    </row>
    <row r="786" spans="1:15">
      <c r="A786" t="s">
        <v>17333</v>
      </c>
      <c r="B786" t="s">
        <v>17226</v>
      </c>
      <c r="D786" t="s">
        <v>16420</v>
      </c>
      <c r="E786" t="s">
        <v>4215</v>
      </c>
      <c r="F786" t="s">
        <v>17334</v>
      </c>
      <c r="G786">
        <v>3</v>
      </c>
      <c r="O786" t="s">
        <v>16420</v>
      </c>
    </row>
    <row r="787" spans="1:15">
      <c r="A787" t="s">
        <v>17333</v>
      </c>
      <c r="B787" t="s">
        <v>17233</v>
      </c>
      <c r="D787" t="s">
        <v>16421</v>
      </c>
      <c r="E787" t="s">
        <v>4215</v>
      </c>
      <c r="F787" t="s">
        <v>17334</v>
      </c>
      <c r="G787">
        <v>3</v>
      </c>
      <c r="O787" t="s">
        <v>16421</v>
      </c>
    </row>
    <row r="788" spans="1:15">
      <c r="A788" t="s">
        <v>17333</v>
      </c>
      <c r="B788" t="s">
        <v>17240</v>
      </c>
      <c r="D788" t="s">
        <v>16422</v>
      </c>
      <c r="E788" t="s">
        <v>4215</v>
      </c>
      <c r="F788" t="s">
        <v>17334</v>
      </c>
      <c r="G788">
        <v>3</v>
      </c>
      <c r="O788" t="s">
        <v>16422</v>
      </c>
    </row>
    <row r="789" spans="1:15">
      <c r="A789" t="s">
        <v>17333</v>
      </c>
      <c r="B789" t="s">
        <v>17247</v>
      </c>
      <c r="D789" t="s">
        <v>16423</v>
      </c>
      <c r="E789" t="s">
        <v>4215</v>
      </c>
      <c r="F789" t="s">
        <v>17334</v>
      </c>
      <c r="G789">
        <v>3</v>
      </c>
      <c r="O789" t="s">
        <v>16423</v>
      </c>
    </row>
    <row r="790" spans="1:15">
      <c r="A790" t="s">
        <v>17333</v>
      </c>
      <c r="B790" t="s">
        <v>17254</v>
      </c>
      <c r="D790" t="s">
        <v>16424</v>
      </c>
      <c r="E790" t="s">
        <v>4215</v>
      </c>
      <c r="F790" t="s">
        <v>17334</v>
      </c>
      <c r="G790">
        <v>3</v>
      </c>
      <c r="O790" t="s">
        <v>16424</v>
      </c>
    </row>
    <row r="791" spans="1:15">
      <c r="A791" t="s">
        <v>17333</v>
      </c>
      <c r="B791" t="s">
        <v>17261</v>
      </c>
      <c r="D791" t="s">
        <v>16425</v>
      </c>
      <c r="E791" t="s">
        <v>4215</v>
      </c>
      <c r="F791" t="s">
        <v>17334</v>
      </c>
      <c r="G791">
        <v>3</v>
      </c>
      <c r="O791" t="s">
        <v>16425</v>
      </c>
    </row>
    <row r="792" spans="1:15">
      <c r="A792" t="s">
        <v>17333</v>
      </c>
      <c r="B792" t="s">
        <v>17268</v>
      </c>
      <c r="D792" t="s">
        <v>16426</v>
      </c>
      <c r="E792" t="s">
        <v>4215</v>
      </c>
      <c r="F792" t="s">
        <v>17334</v>
      </c>
      <c r="G792">
        <v>3</v>
      </c>
      <c r="O792" t="s">
        <v>16426</v>
      </c>
    </row>
    <row r="793" spans="1:15">
      <c r="A793" t="s">
        <v>17333</v>
      </c>
      <c r="B793" t="s">
        <v>17275</v>
      </c>
      <c r="D793" t="s">
        <v>16427</v>
      </c>
      <c r="E793" t="s">
        <v>4215</v>
      </c>
      <c r="F793" t="s">
        <v>17334</v>
      </c>
      <c r="G793">
        <v>3</v>
      </c>
      <c r="O793" t="s">
        <v>16427</v>
      </c>
    </row>
    <row r="794" spans="1:15">
      <c r="A794" t="s">
        <v>17333</v>
      </c>
      <c r="B794" t="s">
        <v>17282</v>
      </c>
      <c r="D794" t="s">
        <v>16428</v>
      </c>
      <c r="E794" t="s">
        <v>4215</v>
      </c>
      <c r="F794" t="s">
        <v>17334</v>
      </c>
      <c r="G794">
        <v>3</v>
      </c>
      <c r="O794" t="s">
        <v>16428</v>
      </c>
    </row>
    <row r="795" spans="1:15">
      <c r="A795" t="s">
        <v>17333</v>
      </c>
      <c r="B795" t="s">
        <v>17289</v>
      </c>
      <c r="D795" t="s">
        <v>16429</v>
      </c>
      <c r="E795" t="s">
        <v>4215</v>
      </c>
      <c r="F795" t="s">
        <v>17334</v>
      </c>
      <c r="G795">
        <v>3</v>
      </c>
      <c r="O795" t="s">
        <v>16429</v>
      </c>
    </row>
    <row r="796" spans="1:15">
      <c r="A796" t="s">
        <v>17333</v>
      </c>
      <c r="B796" t="s">
        <v>17296</v>
      </c>
      <c r="D796" t="s">
        <v>16430</v>
      </c>
      <c r="E796" t="s">
        <v>4215</v>
      </c>
      <c r="F796" t="s">
        <v>17334</v>
      </c>
      <c r="G796">
        <v>3</v>
      </c>
      <c r="O796" t="s">
        <v>16430</v>
      </c>
    </row>
    <row r="797" spans="1:15">
      <c r="A797" t="s">
        <v>17333</v>
      </c>
      <c r="B797" t="s">
        <v>17303</v>
      </c>
      <c r="D797" t="s">
        <v>16431</v>
      </c>
      <c r="E797" t="s">
        <v>4215</v>
      </c>
      <c r="F797" t="s">
        <v>17334</v>
      </c>
      <c r="G797">
        <v>3</v>
      </c>
      <c r="O797" t="s">
        <v>16431</v>
      </c>
    </row>
    <row r="798" spans="1:15">
      <c r="A798" t="s">
        <v>17333</v>
      </c>
      <c r="B798" t="s">
        <v>17310</v>
      </c>
      <c r="D798" t="s">
        <v>16432</v>
      </c>
      <c r="E798" t="s">
        <v>4215</v>
      </c>
      <c r="F798" t="s">
        <v>17334</v>
      </c>
      <c r="G798">
        <v>3</v>
      </c>
      <c r="O798" t="s">
        <v>16432</v>
      </c>
    </row>
    <row r="799" spans="1:15">
      <c r="A799" t="s">
        <v>17333</v>
      </c>
      <c r="B799" t="s">
        <v>17317</v>
      </c>
      <c r="D799" t="s">
        <v>16433</v>
      </c>
      <c r="E799" t="s">
        <v>4215</v>
      </c>
      <c r="F799" t="s">
        <v>17334</v>
      </c>
      <c r="G799">
        <v>3</v>
      </c>
      <c r="O799" t="s">
        <v>16433</v>
      </c>
    </row>
    <row r="800" spans="1:15">
      <c r="A800" t="s">
        <v>17333</v>
      </c>
      <c r="B800" t="s">
        <v>17114</v>
      </c>
      <c r="D800" t="s">
        <v>16434</v>
      </c>
      <c r="E800" t="s">
        <v>4215</v>
      </c>
      <c r="F800" t="s">
        <v>17334</v>
      </c>
      <c r="G800">
        <v>3</v>
      </c>
      <c r="O800" t="s">
        <v>16434</v>
      </c>
    </row>
    <row r="801" spans="1:15">
      <c r="A801" t="s">
        <v>17333</v>
      </c>
      <c r="B801" t="s">
        <v>17123</v>
      </c>
      <c r="D801" t="s">
        <v>16435</v>
      </c>
      <c r="E801" t="s">
        <v>4215</v>
      </c>
      <c r="F801" t="s">
        <v>17334</v>
      </c>
      <c r="G801">
        <v>3</v>
      </c>
      <c r="O801" t="s">
        <v>16435</v>
      </c>
    </row>
    <row r="802" spans="1:15">
      <c r="A802" t="s">
        <v>17333</v>
      </c>
      <c r="B802" t="s">
        <v>17132</v>
      </c>
      <c r="D802" t="s">
        <v>16436</v>
      </c>
      <c r="E802" t="s">
        <v>4215</v>
      </c>
      <c r="F802" t="s">
        <v>17334</v>
      </c>
      <c r="G802">
        <v>3</v>
      </c>
      <c r="O802" t="s">
        <v>16436</v>
      </c>
    </row>
    <row r="803" spans="1:15">
      <c r="A803" t="s">
        <v>17333</v>
      </c>
      <c r="B803" t="s">
        <v>17141</v>
      </c>
      <c r="D803" t="s">
        <v>16437</v>
      </c>
      <c r="E803" t="s">
        <v>4215</v>
      </c>
      <c r="F803" t="s">
        <v>17334</v>
      </c>
      <c r="G803">
        <v>3</v>
      </c>
      <c r="O803" t="s">
        <v>16437</v>
      </c>
    </row>
    <row r="804" spans="1:15">
      <c r="A804" t="s">
        <v>17333</v>
      </c>
      <c r="B804" t="s">
        <v>17150</v>
      </c>
      <c r="D804" t="s">
        <v>16438</v>
      </c>
      <c r="E804" t="s">
        <v>4215</v>
      </c>
      <c r="F804" t="s">
        <v>17334</v>
      </c>
      <c r="G804">
        <v>3</v>
      </c>
      <c r="O804" t="s">
        <v>16438</v>
      </c>
    </row>
    <row r="805" spans="1:15">
      <c r="A805" t="s">
        <v>17333</v>
      </c>
      <c r="B805" t="s">
        <v>17159</v>
      </c>
      <c r="D805" t="s">
        <v>16439</v>
      </c>
      <c r="E805" t="s">
        <v>4215</v>
      </c>
      <c r="F805" t="s">
        <v>17334</v>
      </c>
      <c r="G805">
        <v>3</v>
      </c>
      <c r="O805" t="s">
        <v>16439</v>
      </c>
    </row>
    <row r="806" spans="1:15">
      <c r="A806" t="s">
        <v>17333</v>
      </c>
      <c r="B806" t="s">
        <v>17168</v>
      </c>
      <c r="D806" t="s">
        <v>16440</v>
      </c>
      <c r="E806" t="s">
        <v>4215</v>
      </c>
      <c r="F806" t="s">
        <v>17334</v>
      </c>
      <c r="G806">
        <v>3</v>
      </c>
      <c r="O806" t="s">
        <v>16440</v>
      </c>
    </row>
    <row r="807" spans="1:15">
      <c r="A807" t="s">
        <v>17333</v>
      </c>
      <c r="B807" t="s">
        <v>17177</v>
      </c>
      <c r="D807" t="s">
        <v>16441</v>
      </c>
      <c r="E807" t="s">
        <v>4215</v>
      </c>
      <c r="F807" t="s">
        <v>17334</v>
      </c>
      <c r="G807">
        <v>3</v>
      </c>
      <c r="O807" t="s">
        <v>16441</v>
      </c>
    </row>
    <row r="808" spans="1:15">
      <c r="A808" t="s">
        <v>17333</v>
      </c>
      <c r="B808" t="s">
        <v>17185</v>
      </c>
      <c r="D808" t="s">
        <v>16442</v>
      </c>
      <c r="E808" t="s">
        <v>4215</v>
      </c>
      <c r="F808" t="s">
        <v>17334</v>
      </c>
      <c r="G808">
        <v>3</v>
      </c>
      <c r="O808" t="s">
        <v>16442</v>
      </c>
    </row>
    <row r="809" spans="1:15">
      <c r="A809" t="s">
        <v>17333</v>
      </c>
      <c r="B809" t="s">
        <v>17192</v>
      </c>
      <c r="D809" t="s">
        <v>16443</v>
      </c>
      <c r="E809" t="s">
        <v>4215</v>
      </c>
      <c r="F809" t="s">
        <v>17334</v>
      </c>
      <c r="G809">
        <v>3</v>
      </c>
      <c r="O809" t="s">
        <v>16443</v>
      </c>
    </row>
    <row r="810" spans="1:15">
      <c r="A810" t="s">
        <v>17333</v>
      </c>
      <c r="B810" t="s">
        <v>17199</v>
      </c>
      <c r="D810" t="s">
        <v>16444</v>
      </c>
      <c r="E810" t="s">
        <v>4215</v>
      </c>
      <c r="F810" t="s">
        <v>17334</v>
      </c>
      <c r="G810">
        <v>3</v>
      </c>
      <c r="O810" t="s">
        <v>16444</v>
      </c>
    </row>
    <row r="811" spans="1:15">
      <c r="A811" t="s">
        <v>17333</v>
      </c>
      <c r="B811" t="s">
        <v>17206</v>
      </c>
      <c r="D811" t="s">
        <v>16445</v>
      </c>
      <c r="E811" t="s">
        <v>4215</v>
      </c>
      <c r="F811" t="s">
        <v>17334</v>
      </c>
      <c r="G811">
        <v>3</v>
      </c>
      <c r="O811" t="s">
        <v>16445</v>
      </c>
    </row>
    <row r="812" spans="1:15">
      <c r="A812" t="s">
        <v>17333</v>
      </c>
      <c r="B812" t="s">
        <v>17213</v>
      </c>
      <c r="D812" t="s">
        <v>16446</v>
      </c>
      <c r="E812" t="s">
        <v>4215</v>
      </c>
      <c r="F812" t="s">
        <v>17334</v>
      </c>
      <c r="G812">
        <v>3</v>
      </c>
      <c r="O812" t="s">
        <v>16446</v>
      </c>
    </row>
    <row r="813" spans="1:15">
      <c r="A813" t="s">
        <v>17333</v>
      </c>
      <c r="B813" t="s">
        <v>17220</v>
      </c>
      <c r="D813" t="s">
        <v>16447</v>
      </c>
      <c r="E813" t="s">
        <v>4215</v>
      </c>
      <c r="F813" t="s">
        <v>17334</v>
      </c>
      <c r="G813">
        <v>3</v>
      </c>
      <c r="O813" t="s">
        <v>16447</v>
      </c>
    </row>
    <row r="814" spans="1:15">
      <c r="A814" t="s">
        <v>17333</v>
      </c>
      <c r="B814" t="s">
        <v>17227</v>
      </c>
      <c r="D814" t="s">
        <v>16448</v>
      </c>
      <c r="E814" t="s">
        <v>4215</v>
      </c>
      <c r="F814" t="s">
        <v>17334</v>
      </c>
      <c r="G814">
        <v>3</v>
      </c>
      <c r="O814" t="s">
        <v>16448</v>
      </c>
    </row>
    <row r="815" spans="1:15">
      <c r="A815" t="s">
        <v>17333</v>
      </c>
      <c r="B815" t="s">
        <v>17234</v>
      </c>
      <c r="D815" t="s">
        <v>16449</v>
      </c>
      <c r="E815" t="s">
        <v>4215</v>
      </c>
      <c r="F815" t="s">
        <v>17334</v>
      </c>
      <c r="G815">
        <v>3</v>
      </c>
      <c r="O815" t="s">
        <v>16449</v>
      </c>
    </row>
    <row r="816" spans="1:15">
      <c r="A816" t="s">
        <v>17333</v>
      </c>
      <c r="B816" t="s">
        <v>17241</v>
      </c>
      <c r="D816" t="s">
        <v>16450</v>
      </c>
      <c r="E816" t="s">
        <v>4215</v>
      </c>
      <c r="F816" t="s">
        <v>17334</v>
      </c>
      <c r="G816">
        <v>3</v>
      </c>
      <c r="O816" t="s">
        <v>16450</v>
      </c>
    </row>
    <row r="817" spans="1:15">
      <c r="A817" t="s">
        <v>17333</v>
      </c>
      <c r="B817" t="s">
        <v>17248</v>
      </c>
      <c r="D817" t="s">
        <v>16451</v>
      </c>
      <c r="E817" t="s">
        <v>4215</v>
      </c>
      <c r="F817" t="s">
        <v>17334</v>
      </c>
      <c r="G817">
        <v>3</v>
      </c>
      <c r="O817" t="s">
        <v>16451</v>
      </c>
    </row>
    <row r="818" spans="1:15">
      <c r="A818" t="s">
        <v>17333</v>
      </c>
      <c r="B818" t="s">
        <v>17255</v>
      </c>
      <c r="D818" t="s">
        <v>16452</v>
      </c>
      <c r="E818" t="s">
        <v>4215</v>
      </c>
      <c r="F818" t="s">
        <v>17334</v>
      </c>
      <c r="G818">
        <v>3</v>
      </c>
      <c r="O818" t="s">
        <v>16452</v>
      </c>
    </row>
    <row r="819" spans="1:15">
      <c r="A819" t="s">
        <v>17333</v>
      </c>
      <c r="B819" t="s">
        <v>17262</v>
      </c>
      <c r="D819" t="s">
        <v>16453</v>
      </c>
      <c r="E819" t="s">
        <v>4215</v>
      </c>
      <c r="F819" t="s">
        <v>17334</v>
      </c>
      <c r="G819">
        <v>3</v>
      </c>
      <c r="O819" t="s">
        <v>16453</v>
      </c>
    </row>
    <row r="820" spans="1:15">
      <c r="A820" t="s">
        <v>17333</v>
      </c>
      <c r="B820" t="s">
        <v>17269</v>
      </c>
      <c r="D820" t="s">
        <v>16454</v>
      </c>
      <c r="E820" t="s">
        <v>4215</v>
      </c>
      <c r="F820" t="s">
        <v>17334</v>
      </c>
      <c r="G820">
        <v>3</v>
      </c>
      <c r="O820" t="s">
        <v>16454</v>
      </c>
    </row>
    <row r="821" spans="1:15">
      <c r="A821" t="s">
        <v>17333</v>
      </c>
      <c r="B821" t="s">
        <v>17276</v>
      </c>
      <c r="D821" t="s">
        <v>16455</v>
      </c>
      <c r="E821" t="s">
        <v>4215</v>
      </c>
      <c r="F821" t="s">
        <v>17334</v>
      </c>
      <c r="G821">
        <v>3</v>
      </c>
      <c r="O821" t="s">
        <v>16455</v>
      </c>
    </row>
    <row r="822" spans="1:15">
      <c r="A822" t="s">
        <v>17333</v>
      </c>
      <c r="B822" t="s">
        <v>17283</v>
      </c>
      <c r="D822" t="s">
        <v>16456</v>
      </c>
      <c r="E822" t="s">
        <v>4215</v>
      </c>
      <c r="F822" t="s">
        <v>17334</v>
      </c>
      <c r="G822">
        <v>3</v>
      </c>
      <c r="O822" t="s">
        <v>16456</v>
      </c>
    </row>
    <row r="823" spans="1:15">
      <c r="A823" t="s">
        <v>17333</v>
      </c>
      <c r="B823" t="s">
        <v>17290</v>
      </c>
      <c r="D823" t="s">
        <v>16457</v>
      </c>
      <c r="E823" t="s">
        <v>4215</v>
      </c>
      <c r="F823" t="s">
        <v>17334</v>
      </c>
      <c r="G823">
        <v>3</v>
      </c>
      <c r="O823" t="s">
        <v>16457</v>
      </c>
    </row>
    <row r="824" spans="1:15">
      <c r="A824" t="s">
        <v>17333</v>
      </c>
      <c r="B824" t="s">
        <v>17297</v>
      </c>
      <c r="D824" t="s">
        <v>16458</v>
      </c>
      <c r="E824" t="s">
        <v>4215</v>
      </c>
      <c r="F824" t="s">
        <v>17334</v>
      </c>
      <c r="G824">
        <v>3</v>
      </c>
      <c r="O824" t="s">
        <v>16458</v>
      </c>
    </row>
    <row r="825" spans="1:15">
      <c r="A825" t="s">
        <v>17333</v>
      </c>
      <c r="B825" t="s">
        <v>17304</v>
      </c>
      <c r="D825" t="s">
        <v>16459</v>
      </c>
      <c r="E825" t="s">
        <v>4215</v>
      </c>
      <c r="F825" t="s">
        <v>17334</v>
      </c>
      <c r="G825">
        <v>3</v>
      </c>
      <c r="O825" t="s">
        <v>16459</v>
      </c>
    </row>
    <row r="826" spans="1:15">
      <c r="A826" t="s">
        <v>17333</v>
      </c>
      <c r="B826" t="s">
        <v>17311</v>
      </c>
      <c r="D826" t="s">
        <v>16460</v>
      </c>
      <c r="E826" t="s">
        <v>4215</v>
      </c>
      <c r="F826" t="s">
        <v>17334</v>
      </c>
      <c r="G826">
        <v>3</v>
      </c>
      <c r="O826" t="s">
        <v>16460</v>
      </c>
    </row>
    <row r="827" spans="1:15">
      <c r="A827" t="s">
        <v>17333</v>
      </c>
      <c r="B827" t="s">
        <v>17318</v>
      </c>
      <c r="D827" t="s">
        <v>16461</v>
      </c>
      <c r="E827" t="s">
        <v>4215</v>
      </c>
      <c r="F827" t="s">
        <v>17334</v>
      </c>
      <c r="G827">
        <v>3</v>
      </c>
      <c r="O827" t="s">
        <v>16461</v>
      </c>
    </row>
    <row r="828" spans="1:15">
      <c r="A828" t="s">
        <v>17333</v>
      </c>
      <c r="B828" t="s">
        <v>17115</v>
      </c>
      <c r="D828" t="s">
        <v>16462</v>
      </c>
      <c r="E828" t="s">
        <v>4215</v>
      </c>
      <c r="F828" t="s">
        <v>17334</v>
      </c>
      <c r="G828">
        <v>3</v>
      </c>
      <c r="O828" t="s">
        <v>16462</v>
      </c>
    </row>
    <row r="829" spans="1:15">
      <c r="A829" t="s">
        <v>17333</v>
      </c>
      <c r="B829" t="s">
        <v>17124</v>
      </c>
      <c r="D829" t="s">
        <v>16463</v>
      </c>
      <c r="E829" t="s">
        <v>4215</v>
      </c>
      <c r="F829" t="s">
        <v>17334</v>
      </c>
      <c r="G829">
        <v>3</v>
      </c>
      <c r="O829" t="s">
        <v>16463</v>
      </c>
    </row>
    <row r="830" spans="1:15">
      <c r="A830" t="s">
        <v>17333</v>
      </c>
      <c r="B830" t="s">
        <v>17133</v>
      </c>
      <c r="D830" t="s">
        <v>16464</v>
      </c>
      <c r="E830" t="s">
        <v>4215</v>
      </c>
      <c r="F830" t="s">
        <v>17334</v>
      </c>
      <c r="G830">
        <v>3</v>
      </c>
      <c r="O830" t="s">
        <v>16464</v>
      </c>
    </row>
    <row r="831" spans="1:15">
      <c r="A831" t="s">
        <v>17333</v>
      </c>
      <c r="B831" t="s">
        <v>17142</v>
      </c>
      <c r="D831" t="s">
        <v>16465</v>
      </c>
      <c r="E831" t="s">
        <v>4215</v>
      </c>
      <c r="F831" t="s">
        <v>17334</v>
      </c>
      <c r="G831">
        <v>3</v>
      </c>
      <c r="O831" t="s">
        <v>16465</v>
      </c>
    </row>
    <row r="832" spans="1:15">
      <c r="A832" t="s">
        <v>17333</v>
      </c>
      <c r="B832" t="s">
        <v>17151</v>
      </c>
      <c r="D832" t="s">
        <v>16466</v>
      </c>
      <c r="E832" t="s">
        <v>4215</v>
      </c>
      <c r="F832" t="s">
        <v>17334</v>
      </c>
      <c r="G832">
        <v>3</v>
      </c>
      <c r="O832" t="s">
        <v>16466</v>
      </c>
    </row>
    <row r="833" spans="1:15">
      <c r="A833" t="s">
        <v>17333</v>
      </c>
      <c r="B833" t="s">
        <v>17160</v>
      </c>
      <c r="D833" t="s">
        <v>16467</v>
      </c>
      <c r="E833" t="s">
        <v>4215</v>
      </c>
      <c r="F833" t="s">
        <v>17334</v>
      </c>
      <c r="G833">
        <v>3</v>
      </c>
      <c r="O833" t="s">
        <v>16467</v>
      </c>
    </row>
    <row r="834" spans="1:15">
      <c r="A834" t="s">
        <v>17333</v>
      </c>
      <c r="B834" t="s">
        <v>17169</v>
      </c>
      <c r="D834" t="s">
        <v>16468</v>
      </c>
      <c r="E834" t="s">
        <v>4215</v>
      </c>
      <c r="F834" t="s">
        <v>17334</v>
      </c>
      <c r="G834">
        <v>3</v>
      </c>
      <c r="O834" t="s">
        <v>16468</v>
      </c>
    </row>
    <row r="835" spans="1:15">
      <c r="A835" t="s">
        <v>17333</v>
      </c>
      <c r="B835" t="s">
        <v>17116</v>
      </c>
      <c r="D835" t="s">
        <v>16469</v>
      </c>
      <c r="E835" t="s">
        <v>4215</v>
      </c>
      <c r="F835" t="s">
        <v>17334</v>
      </c>
      <c r="G835">
        <v>3</v>
      </c>
      <c r="O835" t="s">
        <v>16469</v>
      </c>
    </row>
    <row r="836" spans="1:15">
      <c r="A836" t="s">
        <v>17333</v>
      </c>
      <c r="B836" t="s">
        <v>17125</v>
      </c>
      <c r="D836" t="s">
        <v>16470</v>
      </c>
      <c r="E836" t="s">
        <v>4215</v>
      </c>
      <c r="F836" t="s">
        <v>17334</v>
      </c>
      <c r="G836">
        <v>3</v>
      </c>
      <c r="O836" t="s">
        <v>16470</v>
      </c>
    </row>
    <row r="837" spans="1:15">
      <c r="A837" t="s">
        <v>17333</v>
      </c>
      <c r="B837" t="s">
        <v>17134</v>
      </c>
      <c r="D837" t="s">
        <v>16471</v>
      </c>
      <c r="E837" t="s">
        <v>4215</v>
      </c>
      <c r="F837" t="s">
        <v>17334</v>
      </c>
      <c r="G837">
        <v>3</v>
      </c>
      <c r="O837" t="s">
        <v>16471</v>
      </c>
    </row>
    <row r="838" spans="1:15">
      <c r="A838" t="s">
        <v>17333</v>
      </c>
      <c r="B838" t="s">
        <v>17143</v>
      </c>
      <c r="D838" t="s">
        <v>16472</v>
      </c>
      <c r="E838" t="s">
        <v>4215</v>
      </c>
      <c r="F838" t="s">
        <v>17334</v>
      </c>
      <c r="G838">
        <v>3</v>
      </c>
      <c r="O838" t="s">
        <v>16472</v>
      </c>
    </row>
    <row r="839" spans="1:15">
      <c r="A839" t="s">
        <v>17333</v>
      </c>
      <c r="B839" t="s">
        <v>17152</v>
      </c>
      <c r="D839" t="s">
        <v>16473</v>
      </c>
      <c r="E839" t="s">
        <v>4215</v>
      </c>
      <c r="F839" t="s">
        <v>17334</v>
      </c>
      <c r="G839">
        <v>3</v>
      </c>
      <c r="O839" t="s">
        <v>16473</v>
      </c>
    </row>
    <row r="840" spans="1:15">
      <c r="A840" t="s">
        <v>17333</v>
      </c>
      <c r="B840" t="s">
        <v>17161</v>
      </c>
      <c r="D840" t="s">
        <v>16474</v>
      </c>
      <c r="E840" t="s">
        <v>4215</v>
      </c>
      <c r="F840" t="s">
        <v>17334</v>
      </c>
      <c r="G840">
        <v>3</v>
      </c>
      <c r="O840" t="s">
        <v>16474</v>
      </c>
    </row>
    <row r="841" spans="1:15">
      <c r="A841" t="s">
        <v>17333</v>
      </c>
      <c r="B841" t="s">
        <v>17170</v>
      </c>
      <c r="D841" t="s">
        <v>16475</v>
      </c>
      <c r="E841" t="s">
        <v>4215</v>
      </c>
      <c r="F841" t="s">
        <v>17334</v>
      </c>
      <c r="G841">
        <v>3</v>
      </c>
      <c r="O841" t="s">
        <v>16475</v>
      </c>
    </row>
    <row r="842" spans="1:15">
      <c r="A842" t="s">
        <v>4187</v>
      </c>
      <c r="B842" t="s">
        <v>17350</v>
      </c>
      <c r="D842" t="s">
        <v>18136</v>
      </c>
      <c r="E842" t="s">
        <v>9215</v>
      </c>
      <c r="F842" t="s">
        <v>17334</v>
      </c>
      <c r="G842" t="s">
        <v>4215</v>
      </c>
      <c r="O842" t="s">
        <v>18136</v>
      </c>
    </row>
    <row r="843" spans="1:15">
      <c r="A843" t="s">
        <v>4187</v>
      </c>
      <c r="B843" t="s">
        <v>17351</v>
      </c>
      <c r="D843" t="s">
        <v>18137</v>
      </c>
      <c r="E843" t="s">
        <v>9215</v>
      </c>
      <c r="F843" t="s">
        <v>17334</v>
      </c>
      <c r="G843" t="s">
        <v>4215</v>
      </c>
      <c r="O843" t="s">
        <v>18137</v>
      </c>
    </row>
    <row r="844" spans="1:15">
      <c r="A844" t="s">
        <v>4187</v>
      </c>
      <c r="B844" t="s">
        <v>17352</v>
      </c>
      <c r="D844" t="s">
        <v>18138</v>
      </c>
      <c r="E844" t="s">
        <v>9215</v>
      </c>
      <c r="F844" t="s">
        <v>17334</v>
      </c>
      <c r="G844" t="s">
        <v>4215</v>
      </c>
      <c r="O844" t="s">
        <v>18138</v>
      </c>
    </row>
    <row r="845" spans="1:15">
      <c r="A845" t="s">
        <v>4187</v>
      </c>
      <c r="B845" t="s">
        <v>17353</v>
      </c>
      <c r="D845" t="s">
        <v>18139</v>
      </c>
      <c r="E845" t="s">
        <v>9215</v>
      </c>
      <c r="F845" t="s">
        <v>17334</v>
      </c>
      <c r="G845" t="s">
        <v>4215</v>
      </c>
      <c r="O845" t="s">
        <v>18139</v>
      </c>
    </row>
    <row r="846" spans="1:15">
      <c r="A846" t="s">
        <v>4187</v>
      </c>
      <c r="B846" t="s">
        <v>17354</v>
      </c>
      <c r="D846" t="s">
        <v>18140</v>
      </c>
      <c r="E846" t="s">
        <v>9215</v>
      </c>
      <c r="F846" t="s">
        <v>17334</v>
      </c>
      <c r="G846" t="s">
        <v>4215</v>
      </c>
      <c r="O846" t="s">
        <v>18140</v>
      </c>
    </row>
    <row r="847" spans="1:15">
      <c r="A847" t="s">
        <v>4187</v>
      </c>
      <c r="B847" t="s">
        <v>17355</v>
      </c>
      <c r="D847" t="s">
        <v>18141</v>
      </c>
      <c r="E847" t="s">
        <v>9215</v>
      </c>
      <c r="F847" t="s">
        <v>17334</v>
      </c>
      <c r="G847" t="s">
        <v>4215</v>
      </c>
      <c r="O847" t="s">
        <v>18141</v>
      </c>
    </row>
    <row r="848" spans="1:15">
      <c r="A848" t="s">
        <v>4187</v>
      </c>
      <c r="B848" t="s">
        <v>17356</v>
      </c>
      <c r="D848" t="s">
        <v>18136</v>
      </c>
      <c r="E848" t="s">
        <v>9223</v>
      </c>
      <c r="F848" t="s">
        <v>17334</v>
      </c>
      <c r="G848" t="s">
        <v>4215</v>
      </c>
      <c r="O848" t="s">
        <v>18136</v>
      </c>
    </row>
    <row r="849" spans="1:15">
      <c r="A849" t="s">
        <v>4187</v>
      </c>
      <c r="B849" t="s">
        <v>17357</v>
      </c>
      <c r="D849" t="s">
        <v>18137</v>
      </c>
      <c r="E849" t="s">
        <v>9223</v>
      </c>
      <c r="F849" t="s">
        <v>17334</v>
      </c>
      <c r="G849" t="s">
        <v>4215</v>
      </c>
      <c r="O849" t="s">
        <v>18137</v>
      </c>
    </row>
    <row r="850" spans="1:15">
      <c r="A850" t="s">
        <v>4187</v>
      </c>
      <c r="B850" t="s">
        <v>17358</v>
      </c>
      <c r="D850" t="s">
        <v>18138</v>
      </c>
      <c r="E850" t="s">
        <v>9223</v>
      </c>
      <c r="F850" t="s">
        <v>17334</v>
      </c>
      <c r="G850" t="s">
        <v>4215</v>
      </c>
      <c r="O850" t="s">
        <v>18138</v>
      </c>
    </row>
    <row r="851" spans="1:15">
      <c r="A851" t="s">
        <v>4187</v>
      </c>
      <c r="B851" t="s">
        <v>17359</v>
      </c>
      <c r="D851" t="s">
        <v>18139</v>
      </c>
      <c r="E851" t="s">
        <v>9223</v>
      </c>
      <c r="F851" t="s">
        <v>17334</v>
      </c>
      <c r="G851" t="s">
        <v>4215</v>
      </c>
      <c r="O851" t="s">
        <v>18139</v>
      </c>
    </row>
    <row r="852" spans="1:15">
      <c r="A852" t="s">
        <v>4187</v>
      </c>
      <c r="B852" t="s">
        <v>17360</v>
      </c>
      <c r="D852" t="s">
        <v>18140</v>
      </c>
      <c r="E852" t="s">
        <v>9223</v>
      </c>
      <c r="F852" t="s">
        <v>17334</v>
      </c>
      <c r="G852" t="s">
        <v>4215</v>
      </c>
      <c r="O852" t="s">
        <v>18140</v>
      </c>
    </row>
    <row r="853" spans="1:15">
      <c r="A853" t="s">
        <v>4187</v>
      </c>
      <c r="B853" t="s">
        <v>17361</v>
      </c>
      <c r="D853" t="s">
        <v>18141</v>
      </c>
      <c r="E853" t="s">
        <v>9223</v>
      </c>
      <c r="F853" t="s">
        <v>17334</v>
      </c>
      <c r="G853" t="s">
        <v>4215</v>
      </c>
      <c r="O853" t="s">
        <v>18141</v>
      </c>
    </row>
    <row r="854" spans="1:15">
      <c r="A854" t="s">
        <v>4187</v>
      </c>
      <c r="B854" t="s">
        <v>17362</v>
      </c>
      <c r="D854" t="s">
        <v>18136</v>
      </c>
      <c r="E854" t="s">
        <v>9231</v>
      </c>
      <c r="F854" t="s">
        <v>17334</v>
      </c>
      <c r="G854" t="s">
        <v>4215</v>
      </c>
      <c r="O854" t="s">
        <v>18136</v>
      </c>
    </row>
    <row r="855" spans="1:15">
      <c r="A855" t="s">
        <v>4187</v>
      </c>
      <c r="B855" t="s">
        <v>17363</v>
      </c>
      <c r="D855" t="s">
        <v>18137</v>
      </c>
      <c r="E855" t="s">
        <v>9231</v>
      </c>
      <c r="F855" t="s">
        <v>17334</v>
      </c>
      <c r="G855" t="s">
        <v>4215</v>
      </c>
      <c r="O855" t="s">
        <v>18137</v>
      </c>
    </row>
    <row r="856" spans="1:15">
      <c r="A856" t="s">
        <v>4187</v>
      </c>
      <c r="B856" t="s">
        <v>17364</v>
      </c>
      <c r="D856" t="s">
        <v>18138</v>
      </c>
      <c r="E856" t="s">
        <v>9231</v>
      </c>
      <c r="F856" t="s">
        <v>17334</v>
      </c>
      <c r="G856" t="s">
        <v>4215</v>
      </c>
      <c r="O856" t="s">
        <v>18138</v>
      </c>
    </row>
    <row r="857" spans="1:15">
      <c r="A857" t="s">
        <v>4187</v>
      </c>
      <c r="B857" t="s">
        <v>17365</v>
      </c>
      <c r="D857" t="s">
        <v>18139</v>
      </c>
      <c r="E857" t="s">
        <v>9231</v>
      </c>
      <c r="F857" t="s">
        <v>17334</v>
      </c>
      <c r="G857" t="s">
        <v>4215</v>
      </c>
      <c r="O857" t="s">
        <v>18139</v>
      </c>
    </row>
    <row r="858" spans="1:15">
      <c r="A858" t="s">
        <v>4187</v>
      </c>
      <c r="B858" t="s">
        <v>17366</v>
      </c>
      <c r="D858" t="s">
        <v>18140</v>
      </c>
      <c r="E858" t="s">
        <v>9231</v>
      </c>
      <c r="F858" t="s">
        <v>17334</v>
      </c>
      <c r="G858" t="s">
        <v>4215</v>
      </c>
      <c r="O858" t="s">
        <v>18140</v>
      </c>
    </row>
    <row r="859" spans="1:15">
      <c r="A859" t="s">
        <v>4187</v>
      </c>
      <c r="B859" t="s">
        <v>17367</v>
      </c>
      <c r="D859" t="s">
        <v>18141</v>
      </c>
      <c r="E859" t="s">
        <v>9231</v>
      </c>
      <c r="F859" t="s">
        <v>17334</v>
      </c>
      <c r="G859" t="s">
        <v>4215</v>
      </c>
      <c r="O859" t="s">
        <v>18141</v>
      </c>
    </row>
    <row r="860" spans="1:15">
      <c r="A860" t="s">
        <v>4187</v>
      </c>
      <c r="B860" t="s">
        <v>17368</v>
      </c>
      <c r="D860" t="s">
        <v>18142</v>
      </c>
      <c r="E860" t="s">
        <v>9215</v>
      </c>
      <c r="F860" t="s">
        <v>17334</v>
      </c>
      <c r="G860" t="s">
        <v>4215</v>
      </c>
      <c r="O860" t="s">
        <v>18142</v>
      </c>
    </row>
    <row r="861" spans="1:15">
      <c r="A861" t="s">
        <v>4187</v>
      </c>
      <c r="B861" t="s">
        <v>17369</v>
      </c>
      <c r="D861" t="s">
        <v>18143</v>
      </c>
      <c r="E861" t="s">
        <v>9215</v>
      </c>
      <c r="F861" t="s">
        <v>17334</v>
      </c>
      <c r="G861" t="s">
        <v>4215</v>
      </c>
      <c r="O861" t="s">
        <v>18143</v>
      </c>
    </row>
    <row r="862" spans="1:15">
      <c r="A862" t="s">
        <v>4187</v>
      </c>
      <c r="B862" t="s">
        <v>17370</v>
      </c>
      <c r="D862" t="s">
        <v>18144</v>
      </c>
      <c r="E862" t="s">
        <v>9215</v>
      </c>
      <c r="F862" t="s">
        <v>17334</v>
      </c>
      <c r="G862" t="s">
        <v>4215</v>
      </c>
      <c r="O862" t="s">
        <v>18144</v>
      </c>
    </row>
    <row r="863" spans="1:15">
      <c r="A863" t="s">
        <v>4187</v>
      </c>
      <c r="B863" t="s">
        <v>17371</v>
      </c>
      <c r="D863" t="s">
        <v>18145</v>
      </c>
      <c r="E863" t="s">
        <v>9215</v>
      </c>
      <c r="F863" t="s">
        <v>17334</v>
      </c>
      <c r="G863" t="s">
        <v>4215</v>
      </c>
      <c r="O863" t="s">
        <v>18145</v>
      </c>
    </row>
    <row r="864" spans="1:15">
      <c r="A864" t="s">
        <v>4187</v>
      </c>
      <c r="B864" t="s">
        <v>17372</v>
      </c>
      <c r="D864" t="s">
        <v>18146</v>
      </c>
      <c r="E864" t="s">
        <v>9215</v>
      </c>
      <c r="F864" t="s">
        <v>17334</v>
      </c>
      <c r="G864" t="s">
        <v>4215</v>
      </c>
      <c r="O864" t="s">
        <v>18146</v>
      </c>
    </row>
    <row r="865" spans="1:15">
      <c r="A865" t="s">
        <v>4187</v>
      </c>
      <c r="B865" t="s">
        <v>17373</v>
      </c>
      <c r="D865" t="s">
        <v>18147</v>
      </c>
      <c r="E865" t="s">
        <v>9215</v>
      </c>
      <c r="F865" t="s">
        <v>17334</v>
      </c>
      <c r="G865" t="s">
        <v>4215</v>
      </c>
      <c r="O865" t="s">
        <v>18147</v>
      </c>
    </row>
    <row r="866" spans="1:15">
      <c r="A866" t="s">
        <v>4187</v>
      </c>
      <c r="B866" t="s">
        <v>17374</v>
      </c>
      <c r="D866" t="s">
        <v>18142</v>
      </c>
      <c r="E866" t="s">
        <v>9223</v>
      </c>
      <c r="F866" t="s">
        <v>17334</v>
      </c>
      <c r="G866" t="s">
        <v>4215</v>
      </c>
      <c r="O866" t="s">
        <v>18142</v>
      </c>
    </row>
    <row r="867" spans="1:15">
      <c r="A867" t="s">
        <v>4187</v>
      </c>
      <c r="B867" t="s">
        <v>17375</v>
      </c>
      <c r="D867" t="s">
        <v>18143</v>
      </c>
      <c r="E867" t="s">
        <v>9223</v>
      </c>
      <c r="F867" t="s">
        <v>17334</v>
      </c>
      <c r="G867" t="s">
        <v>4215</v>
      </c>
      <c r="O867" t="s">
        <v>18143</v>
      </c>
    </row>
    <row r="868" spans="1:15">
      <c r="A868" t="s">
        <v>4187</v>
      </c>
      <c r="B868" t="s">
        <v>17376</v>
      </c>
      <c r="D868" t="s">
        <v>18144</v>
      </c>
      <c r="E868" t="s">
        <v>9223</v>
      </c>
      <c r="F868" t="s">
        <v>17334</v>
      </c>
      <c r="G868" t="s">
        <v>4215</v>
      </c>
      <c r="O868" t="s">
        <v>18144</v>
      </c>
    </row>
    <row r="869" spans="1:15">
      <c r="A869" t="s">
        <v>4187</v>
      </c>
      <c r="B869" t="s">
        <v>17377</v>
      </c>
      <c r="D869" t="s">
        <v>18145</v>
      </c>
      <c r="E869" t="s">
        <v>9223</v>
      </c>
      <c r="F869" t="s">
        <v>17334</v>
      </c>
      <c r="G869" t="s">
        <v>4215</v>
      </c>
      <c r="O869" t="s">
        <v>18145</v>
      </c>
    </row>
    <row r="870" spans="1:15">
      <c r="A870" t="s">
        <v>4187</v>
      </c>
      <c r="B870" t="s">
        <v>17378</v>
      </c>
      <c r="D870" t="s">
        <v>18146</v>
      </c>
      <c r="E870" t="s">
        <v>9223</v>
      </c>
      <c r="F870" t="s">
        <v>17334</v>
      </c>
      <c r="G870" t="s">
        <v>4215</v>
      </c>
      <c r="O870" t="s">
        <v>18146</v>
      </c>
    </row>
    <row r="871" spans="1:15">
      <c r="A871" t="s">
        <v>4187</v>
      </c>
      <c r="B871" t="s">
        <v>17379</v>
      </c>
      <c r="D871" t="s">
        <v>18147</v>
      </c>
      <c r="E871" t="s">
        <v>9223</v>
      </c>
      <c r="F871" t="s">
        <v>17334</v>
      </c>
      <c r="G871" t="s">
        <v>4215</v>
      </c>
      <c r="O871" t="s">
        <v>18147</v>
      </c>
    </row>
    <row r="872" spans="1:15">
      <c r="A872" t="s">
        <v>4187</v>
      </c>
      <c r="B872" t="s">
        <v>17380</v>
      </c>
      <c r="D872" t="s">
        <v>18142</v>
      </c>
      <c r="E872" t="s">
        <v>9231</v>
      </c>
      <c r="F872" t="s">
        <v>17334</v>
      </c>
      <c r="G872" t="s">
        <v>4215</v>
      </c>
      <c r="O872" t="s">
        <v>18142</v>
      </c>
    </row>
    <row r="873" spans="1:15">
      <c r="A873" t="s">
        <v>4187</v>
      </c>
      <c r="B873" t="s">
        <v>17381</v>
      </c>
      <c r="D873" t="s">
        <v>18143</v>
      </c>
      <c r="E873" t="s">
        <v>9231</v>
      </c>
      <c r="F873" t="s">
        <v>17334</v>
      </c>
      <c r="G873" t="s">
        <v>4215</v>
      </c>
      <c r="O873" t="s">
        <v>18143</v>
      </c>
    </row>
    <row r="874" spans="1:15">
      <c r="A874" t="s">
        <v>4187</v>
      </c>
      <c r="B874" t="s">
        <v>17382</v>
      </c>
      <c r="D874" t="s">
        <v>18144</v>
      </c>
      <c r="E874" t="s">
        <v>9231</v>
      </c>
      <c r="F874" t="s">
        <v>17334</v>
      </c>
      <c r="G874" t="s">
        <v>4215</v>
      </c>
      <c r="O874" t="s">
        <v>18144</v>
      </c>
    </row>
    <row r="875" spans="1:15">
      <c r="A875" t="s">
        <v>4187</v>
      </c>
      <c r="B875" t="s">
        <v>17383</v>
      </c>
      <c r="D875" t="s">
        <v>18145</v>
      </c>
      <c r="E875" t="s">
        <v>9231</v>
      </c>
      <c r="F875" t="s">
        <v>17334</v>
      </c>
      <c r="G875" t="s">
        <v>4215</v>
      </c>
      <c r="O875" t="s">
        <v>18145</v>
      </c>
    </row>
    <row r="876" spans="1:15">
      <c r="A876" t="s">
        <v>4187</v>
      </c>
      <c r="B876" t="s">
        <v>17384</v>
      </c>
      <c r="D876" t="s">
        <v>18146</v>
      </c>
      <c r="E876" t="s">
        <v>9231</v>
      </c>
      <c r="F876" t="s">
        <v>17334</v>
      </c>
      <c r="G876" t="s">
        <v>4215</v>
      </c>
      <c r="O876" t="s">
        <v>18146</v>
      </c>
    </row>
    <row r="877" spans="1:15">
      <c r="A877" t="s">
        <v>4187</v>
      </c>
      <c r="B877" t="s">
        <v>17385</v>
      </c>
      <c r="D877" t="s">
        <v>18147</v>
      </c>
      <c r="E877" t="s">
        <v>9231</v>
      </c>
      <c r="F877" t="s">
        <v>17334</v>
      </c>
      <c r="G877" t="s">
        <v>4215</v>
      </c>
      <c r="O877" t="s">
        <v>18147</v>
      </c>
    </row>
    <row r="878" spans="1:15">
      <c r="A878" t="s">
        <v>4187</v>
      </c>
      <c r="B878" t="s">
        <v>17449</v>
      </c>
      <c r="D878" t="s">
        <v>18148</v>
      </c>
      <c r="E878" t="s">
        <v>9231</v>
      </c>
      <c r="F878" t="s">
        <v>17334</v>
      </c>
      <c r="G878" t="s">
        <v>4215</v>
      </c>
      <c r="O878" t="s">
        <v>18148</v>
      </c>
    </row>
    <row r="879" spans="1:15">
      <c r="A879" t="s">
        <v>4187</v>
      </c>
      <c r="B879" t="s">
        <v>17450</v>
      </c>
      <c r="D879" t="s">
        <v>18149</v>
      </c>
      <c r="E879" t="s">
        <v>9231</v>
      </c>
      <c r="F879" t="s">
        <v>17334</v>
      </c>
      <c r="G879" t="s">
        <v>4215</v>
      </c>
      <c r="O879" t="s">
        <v>18149</v>
      </c>
    </row>
    <row r="880" spans="1:15">
      <c r="A880" t="s">
        <v>4187</v>
      </c>
      <c r="B880" t="s">
        <v>17451</v>
      </c>
      <c r="D880" t="s">
        <v>18150</v>
      </c>
      <c r="E880" t="s">
        <v>9215</v>
      </c>
      <c r="F880" t="s">
        <v>17334</v>
      </c>
      <c r="G880" t="s">
        <v>4215</v>
      </c>
      <c r="O880" t="s">
        <v>18150</v>
      </c>
    </row>
    <row r="881" spans="1:15">
      <c r="A881" t="s">
        <v>4187</v>
      </c>
      <c r="B881" t="s">
        <v>17452</v>
      </c>
      <c r="D881" t="s">
        <v>18151</v>
      </c>
      <c r="E881" t="s">
        <v>9215</v>
      </c>
      <c r="F881" t="s">
        <v>17334</v>
      </c>
      <c r="G881" t="s">
        <v>4215</v>
      </c>
      <c r="O881" t="s">
        <v>18151</v>
      </c>
    </row>
    <row r="882" spans="1:15">
      <c r="A882" t="s">
        <v>4187</v>
      </c>
      <c r="B882" t="s">
        <v>17453</v>
      </c>
      <c r="D882" t="s">
        <v>18150</v>
      </c>
      <c r="E882" t="s">
        <v>9223</v>
      </c>
      <c r="F882" t="s">
        <v>17334</v>
      </c>
      <c r="G882" t="s">
        <v>4215</v>
      </c>
      <c r="O882" t="s">
        <v>18150</v>
      </c>
    </row>
    <row r="883" spans="1:15">
      <c r="A883" t="s">
        <v>4187</v>
      </c>
      <c r="B883" t="s">
        <v>17454</v>
      </c>
      <c r="D883" t="s">
        <v>18151</v>
      </c>
      <c r="E883" t="s">
        <v>9223</v>
      </c>
      <c r="F883" t="s">
        <v>17334</v>
      </c>
      <c r="G883" t="s">
        <v>4215</v>
      </c>
      <c r="O883" t="s">
        <v>18151</v>
      </c>
    </row>
    <row r="884" spans="1:15">
      <c r="A884" t="s">
        <v>4187</v>
      </c>
      <c r="B884" t="s">
        <v>17455</v>
      </c>
      <c r="D884" t="s">
        <v>18150</v>
      </c>
      <c r="E884" t="s">
        <v>9231</v>
      </c>
      <c r="F884" t="s">
        <v>17334</v>
      </c>
      <c r="G884" t="s">
        <v>4215</v>
      </c>
      <c r="O884" t="s">
        <v>18150</v>
      </c>
    </row>
    <row r="885" spans="1:15">
      <c r="A885" t="s">
        <v>4187</v>
      </c>
      <c r="B885" t="s">
        <v>17456</v>
      </c>
      <c r="D885" t="s">
        <v>18151</v>
      </c>
      <c r="E885" t="s">
        <v>9231</v>
      </c>
      <c r="F885" t="s">
        <v>17334</v>
      </c>
      <c r="G885" t="s">
        <v>4215</v>
      </c>
      <c r="O885" t="s">
        <v>18151</v>
      </c>
    </row>
    <row r="886" spans="1:15">
      <c r="A886" t="s">
        <v>4187</v>
      </c>
      <c r="B886" t="s">
        <v>17411</v>
      </c>
      <c r="D886" t="s">
        <v>18152</v>
      </c>
      <c r="E886" t="s">
        <v>9215</v>
      </c>
      <c r="F886" t="s">
        <v>17334</v>
      </c>
      <c r="G886" t="s">
        <v>4215</v>
      </c>
      <c r="O886" t="s">
        <v>18152</v>
      </c>
    </row>
    <row r="887" spans="1:15">
      <c r="A887" t="s">
        <v>4187</v>
      </c>
      <c r="B887" t="s">
        <v>17412</v>
      </c>
      <c r="D887" t="s">
        <v>18153</v>
      </c>
      <c r="E887" t="s">
        <v>9215</v>
      </c>
      <c r="F887" t="s">
        <v>17334</v>
      </c>
      <c r="G887" t="s">
        <v>4215</v>
      </c>
      <c r="O887" t="s">
        <v>18153</v>
      </c>
    </row>
    <row r="888" spans="1:15">
      <c r="A888" t="s">
        <v>4187</v>
      </c>
      <c r="B888" t="s">
        <v>17417</v>
      </c>
      <c r="D888" t="s">
        <v>18152</v>
      </c>
      <c r="E888" t="s">
        <v>9223</v>
      </c>
      <c r="F888" t="s">
        <v>17334</v>
      </c>
      <c r="G888" t="s">
        <v>4215</v>
      </c>
      <c r="O888" t="s">
        <v>18152</v>
      </c>
    </row>
    <row r="889" spans="1:15">
      <c r="A889" t="s">
        <v>4187</v>
      </c>
      <c r="B889" t="s">
        <v>17418</v>
      </c>
      <c r="D889" t="s">
        <v>18153</v>
      </c>
      <c r="E889" t="s">
        <v>9223</v>
      </c>
      <c r="F889" t="s">
        <v>17334</v>
      </c>
      <c r="G889" t="s">
        <v>4215</v>
      </c>
      <c r="O889" t="s">
        <v>18153</v>
      </c>
    </row>
    <row r="890" spans="1:15">
      <c r="A890" t="s">
        <v>4187</v>
      </c>
      <c r="B890" t="s">
        <v>17423</v>
      </c>
      <c r="D890" t="s">
        <v>18152</v>
      </c>
      <c r="E890" t="s">
        <v>9231</v>
      </c>
      <c r="F890" t="s">
        <v>17334</v>
      </c>
      <c r="G890" t="s">
        <v>4215</v>
      </c>
      <c r="O890" t="s">
        <v>18152</v>
      </c>
    </row>
    <row r="891" spans="1:15">
      <c r="A891" t="s">
        <v>4187</v>
      </c>
      <c r="B891" t="s">
        <v>17424</v>
      </c>
      <c r="D891" t="s">
        <v>18153</v>
      </c>
      <c r="E891" t="s">
        <v>9231</v>
      </c>
      <c r="F891" t="s">
        <v>17334</v>
      </c>
      <c r="G891" t="s">
        <v>4215</v>
      </c>
      <c r="O891" t="s">
        <v>18153</v>
      </c>
    </row>
    <row r="892" spans="1:15">
      <c r="A892" t="s">
        <v>4187</v>
      </c>
      <c r="B892" t="s">
        <v>9656</v>
      </c>
      <c r="D892" t="s">
        <v>18154</v>
      </c>
      <c r="E892" t="s">
        <v>9215</v>
      </c>
      <c r="F892" t="s">
        <v>17334</v>
      </c>
      <c r="G892" t="s">
        <v>4215</v>
      </c>
      <c r="O892" t="s">
        <v>18154</v>
      </c>
    </row>
    <row r="893" spans="1:15">
      <c r="A893" t="s">
        <v>4187</v>
      </c>
      <c r="B893" t="s">
        <v>9657</v>
      </c>
      <c r="D893" t="s">
        <v>18155</v>
      </c>
      <c r="E893" t="s">
        <v>9215</v>
      </c>
      <c r="F893" t="s">
        <v>17334</v>
      </c>
      <c r="G893" t="s">
        <v>4215</v>
      </c>
      <c r="O893" t="s">
        <v>18155</v>
      </c>
    </row>
    <row r="894" spans="1:15">
      <c r="A894" t="s">
        <v>4187</v>
      </c>
      <c r="B894" t="s">
        <v>9658</v>
      </c>
      <c r="D894" t="s">
        <v>18156</v>
      </c>
      <c r="E894" t="s">
        <v>9215</v>
      </c>
      <c r="F894" t="s">
        <v>17334</v>
      </c>
      <c r="G894" t="s">
        <v>4215</v>
      </c>
      <c r="O894" t="s">
        <v>18156</v>
      </c>
    </row>
    <row r="895" spans="1:15">
      <c r="A895" t="s">
        <v>4187</v>
      </c>
      <c r="B895" t="s">
        <v>9659</v>
      </c>
      <c r="D895" t="s">
        <v>18157</v>
      </c>
      <c r="E895" t="s">
        <v>9215</v>
      </c>
      <c r="F895" t="s">
        <v>17334</v>
      </c>
      <c r="G895" t="s">
        <v>4215</v>
      </c>
      <c r="O895" t="s">
        <v>18157</v>
      </c>
    </row>
    <row r="896" spans="1:15">
      <c r="A896" t="s">
        <v>4187</v>
      </c>
      <c r="B896" t="s">
        <v>9660</v>
      </c>
      <c r="D896" t="s">
        <v>18158</v>
      </c>
      <c r="E896" t="s">
        <v>9215</v>
      </c>
      <c r="F896" t="s">
        <v>17334</v>
      </c>
      <c r="G896" t="s">
        <v>4215</v>
      </c>
      <c r="O896" t="s">
        <v>18158</v>
      </c>
    </row>
    <row r="897" spans="1:15">
      <c r="A897" t="s">
        <v>4187</v>
      </c>
      <c r="B897" t="s">
        <v>17395</v>
      </c>
      <c r="D897" t="s">
        <v>18159</v>
      </c>
      <c r="E897" t="s">
        <v>9215</v>
      </c>
      <c r="F897" t="s">
        <v>17334</v>
      </c>
      <c r="G897" t="s">
        <v>4215</v>
      </c>
      <c r="O897" t="s">
        <v>18159</v>
      </c>
    </row>
    <row r="898" spans="1:15">
      <c r="A898" t="s">
        <v>4187</v>
      </c>
      <c r="B898" t="s">
        <v>17396</v>
      </c>
      <c r="D898" t="s">
        <v>18160</v>
      </c>
      <c r="E898" t="s">
        <v>9215</v>
      </c>
      <c r="F898" t="s">
        <v>17334</v>
      </c>
      <c r="G898" t="s">
        <v>4215</v>
      </c>
      <c r="O898" t="s">
        <v>18160</v>
      </c>
    </row>
    <row r="899" spans="1:15">
      <c r="A899" t="s">
        <v>4187</v>
      </c>
      <c r="B899" t="s">
        <v>17397</v>
      </c>
      <c r="D899" t="s">
        <v>18161</v>
      </c>
      <c r="E899" t="s">
        <v>9215</v>
      </c>
      <c r="F899" t="s">
        <v>17334</v>
      </c>
      <c r="G899" t="s">
        <v>4215</v>
      </c>
      <c r="O899" t="s">
        <v>18161</v>
      </c>
    </row>
    <row r="900" spans="1:15">
      <c r="A900" t="s">
        <v>4187</v>
      </c>
      <c r="B900" t="s">
        <v>17398</v>
      </c>
      <c r="D900" t="s">
        <v>18162</v>
      </c>
      <c r="E900" t="s">
        <v>9215</v>
      </c>
      <c r="F900" t="s">
        <v>17334</v>
      </c>
      <c r="G900" t="s">
        <v>4215</v>
      </c>
      <c r="O900" t="s">
        <v>18162</v>
      </c>
    </row>
    <row r="901" spans="1:15">
      <c r="A901" t="s">
        <v>4187</v>
      </c>
      <c r="B901" t="s">
        <v>17399</v>
      </c>
      <c r="D901" t="s">
        <v>18163</v>
      </c>
      <c r="E901" t="s">
        <v>9215</v>
      </c>
      <c r="F901" t="s">
        <v>17334</v>
      </c>
      <c r="G901" t="s">
        <v>4215</v>
      </c>
      <c r="O901" t="s">
        <v>18163</v>
      </c>
    </row>
    <row r="902" spans="1:15">
      <c r="A902" t="s">
        <v>4187</v>
      </c>
      <c r="B902" t="s">
        <v>17400</v>
      </c>
      <c r="D902" t="s">
        <v>18164</v>
      </c>
      <c r="E902" t="s">
        <v>9215</v>
      </c>
      <c r="F902" t="s">
        <v>17334</v>
      </c>
      <c r="G902" t="s">
        <v>4215</v>
      </c>
      <c r="O902" t="s">
        <v>18164</v>
      </c>
    </row>
    <row r="903" spans="1:15">
      <c r="A903" t="s">
        <v>4187</v>
      </c>
      <c r="B903" t="s">
        <v>9663</v>
      </c>
      <c r="D903" t="s">
        <v>18154</v>
      </c>
      <c r="E903" t="s">
        <v>9223</v>
      </c>
      <c r="F903" t="s">
        <v>17334</v>
      </c>
      <c r="G903" t="s">
        <v>4215</v>
      </c>
      <c r="O903" t="s">
        <v>18154</v>
      </c>
    </row>
    <row r="904" spans="1:15">
      <c r="A904" t="s">
        <v>4187</v>
      </c>
      <c r="B904" t="s">
        <v>9664</v>
      </c>
      <c r="D904" t="s">
        <v>18155</v>
      </c>
      <c r="E904" t="s">
        <v>9223</v>
      </c>
      <c r="F904" t="s">
        <v>17334</v>
      </c>
      <c r="G904" t="s">
        <v>4215</v>
      </c>
      <c r="O904" t="s">
        <v>18155</v>
      </c>
    </row>
    <row r="905" spans="1:15">
      <c r="A905" t="s">
        <v>4187</v>
      </c>
      <c r="B905" t="s">
        <v>9665</v>
      </c>
      <c r="D905" t="s">
        <v>18156</v>
      </c>
      <c r="E905" t="s">
        <v>9223</v>
      </c>
      <c r="F905" t="s">
        <v>17334</v>
      </c>
      <c r="G905" t="s">
        <v>4215</v>
      </c>
      <c r="O905" t="s">
        <v>18156</v>
      </c>
    </row>
    <row r="906" spans="1:15">
      <c r="A906" t="s">
        <v>4187</v>
      </c>
      <c r="B906" t="s">
        <v>9666</v>
      </c>
      <c r="D906" t="s">
        <v>18157</v>
      </c>
      <c r="E906" t="s">
        <v>9223</v>
      </c>
      <c r="F906" t="s">
        <v>17334</v>
      </c>
      <c r="G906" t="s">
        <v>4215</v>
      </c>
      <c r="O906" t="s">
        <v>18157</v>
      </c>
    </row>
    <row r="907" spans="1:15">
      <c r="A907" t="s">
        <v>4187</v>
      </c>
      <c r="B907" t="s">
        <v>9667</v>
      </c>
      <c r="D907" t="s">
        <v>18158</v>
      </c>
      <c r="E907" t="s">
        <v>9223</v>
      </c>
      <c r="F907" t="s">
        <v>17334</v>
      </c>
      <c r="G907" t="s">
        <v>4215</v>
      </c>
      <c r="O907" t="s">
        <v>18158</v>
      </c>
    </row>
    <row r="908" spans="1:15">
      <c r="A908" t="s">
        <v>4187</v>
      </c>
      <c r="B908" t="s">
        <v>17401</v>
      </c>
      <c r="D908" t="s">
        <v>18159</v>
      </c>
      <c r="E908" t="s">
        <v>9223</v>
      </c>
      <c r="F908" t="s">
        <v>17334</v>
      </c>
      <c r="G908" t="s">
        <v>4215</v>
      </c>
      <c r="O908" t="s">
        <v>18159</v>
      </c>
    </row>
    <row r="909" spans="1:15">
      <c r="A909" t="s">
        <v>4187</v>
      </c>
      <c r="B909" t="s">
        <v>17402</v>
      </c>
      <c r="D909" t="s">
        <v>18160</v>
      </c>
      <c r="E909" t="s">
        <v>9223</v>
      </c>
      <c r="F909" t="s">
        <v>17334</v>
      </c>
      <c r="G909" t="s">
        <v>4215</v>
      </c>
      <c r="O909" t="s">
        <v>18160</v>
      </c>
    </row>
    <row r="910" spans="1:15">
      <c r="A910" t="s">
        <v>4187</v>
      </c>
      <c r="B910" t="s">
        <v>17403</v>
      </c>
      <c r="D910" t="s">
        <v>18161</v>
      </c>
      <c r="E910" t="s">
        <v>9223</v>
      </c>
      <c r="F910" t="s">
        <v>17334</v>
      </c>
      <c r="G910" t="s">
        <v>4215</v>
      </c>
      <c r="O910" t="s">
        <v>18161</v>
      </c>
    </row>
    <row r="911" spans="1:15">
      <c r="A911" t="s">
        <v>4187</v>
      </c>
      <c r="B911" t="s">
        <v>17404</v>
      </c>
      <c r="D911" t="s">
        <v>18162</v>
      </c>
      <c r="E911" t="s">
        <v>9223</v>
      </c>
      <c r="F911" t="s">
        <v>17334</v>
      </c>
      <c r="G911" t="s">
        <v>4215</v>
      </c>
      <c r="O911" t="s">
        <v>18162</v>
      </c>
    </row>
    <row r="912" spans="1:15">
      <c r="A912" t="s">
        <v>4187</v>
      </c>
      <c r="B912" t="s">
        <v>17405</v>
      </c>
      <c r="D912" t="s">
        <v>18163</v>
      </c>
      <c r="E912" t="s">
        <v>9223</v>
      </c>
      <c r="F912" t="s">
        <v>17334</v>
      </c>
      <c r="G912" t="s">
        <v>4215</v>
      </c>
      <c r="O912" t="s">
        <v>18163</v>
      </c>
    </row>
    <row r="913" spans="1:15">
      <c r="A913" t="s">
        <v>4187</v>
      </c>
      <c r="B913" t="s">
        <v>17406</v>
      </c>
      <c r="D913" t="s">
        <v>18164</v>
      </c>
      <c r="E913" t="s">
        <v>9223</v>
      </c>
      <c r="F913" t="s">
        <v>17334</v>
      </c>
      <c r="G913" t="s">
        <v>4215</v>
      </c>
      <c r="O913" t="s">
        <v>18164</v>
      </c>
    </row>
    <row r="914" spans="1:15">
      <c r="A914" t="s">
        <v>4187</v>
      </c>
      <c r="B914" t="s">
        <v>9670</v>
      </c>
      <c r="D914" t="s">
        <v>18154</v>
      </c>
      <c r="E914" t="s">
        <v>9231</v>
      </c>
      <c r="F914" t="s">
        <v>17334</v>
      </c>
      <c r="G914" t="s">
        <v>4215</v>
      </c>
      <c r="O914" t="s">
        <v>18154</v>
      </c>
    </row>
    <row r="915" spans="1:15">
      <c r="A915" t="s">
        <v>4187</v>
      </c>
      <c r="B915" t="s">
        <v>9671</v>
      </c>
      <c r="D915" t="s">
        <v>18155</v>
      </c>
      <c r="E915" t="s">
        <v>9231</v>
      </c>
      <c r="F915" t="s">
        <v>17334</v>
      </c>
      <c r="G915" t="s">
        <v>4215</v>
      </c>
      <c r="O915" t="s">
        <v>18155</v>
      </c>
    </row>
    <row r="916" spans="1:15">
      <c r="A916" t="s">
        <v>4187</v>
      </c>
      <c r="B916" t="s">
        <v>9672</v>
      </c>
      <c r="D916" t="s">
        <v>18156</v>
      </c>
      <c r="E916" t="s">
        <v>9231</v>
      </c>
      <c r="F916" t="s">
        <v>17334</v>
      </c>
      <c r="G916" t="s">
        <v>4215</v>
      </c>
      <c r="O916" t="s">
        <v>18156</v>
      </c>
    </row>
    <row r="917" spans="1:15">
      <c r="A917" t="s">
        <v>4187</v>
      </c>
      <c r="B917" t="s">
        <v>9673</v>
      </c>
      <c r="D917" t="s">
        <v>18157</v>
      </c>
      <c r="E917" t="s">
        <v>9231</v>
      </c>
      <c r="F917" t="s">
        <v>17334</v>
      </c>
      <c r="G917" t="s">
        <v>4215</v>
      </c>
      <c r="O917" t="s">
        <v>18157</v>
      </c>
    </row>
    <row r="918" spans="1:15">
      <c r="A918" t="s">
        <v>4187</v>
      </c>
      <c r="B918" t="s">
        <v>9674</v>
      </c>
      <c r="D918" t="s">
        <v>18158</v>
      </c>
      <c r="E918" t="s">
        <v>9231</v>
      </c>
      <c r="F918" t="s">
        <v>17334</v>
      </c>
      <c r="G918" t="s">
        <v>4215</v>
      </c>
      <c r="O918" t="s">
        <v>18158</v>
      </c>
    </row>
    <row r="919" spans="1:15">
      <c r="A919" t="s">
        <v>4187</v>
      </c>
      <c r="B919" t="s">
        <v>17407</v>
      </c>
      <c r="D919" t="s">
        <v>18159</v>
      </c>
      <c r="E919" t="s">
        <v>9231</v>
      </c>
      <c r="F919" t="s">
        <v>17334</v>
      </c>
      <c r="G919" t="s">
        <v>4215</v>
      </c>
      <c r="O919" t="s">
        <v>18159</v>
      </c>
    </row>
    <row r="920" spans="1:15">
      <c r="A920" t="s">
        <v>4187</v>
      </c>
      <c r="B920" t="s">
        <v>17408</v>
      </c>
      <c r="D920" t="s">
        <v>18160</v>
      </c>
      <c r="E920" t="s">
        <v>9231</v>
      </c>
      <c r="F920" t="s">
        <v>17334</v>
      </c>
      <c r="G920" t="s">
        <v>4215</v>
      </c>
      <c r="O920" t="s">
        <v>18160</v>
      </c>
    </row>
    <row r="921" spans="1:15">
      <c r="A921" t="s">
        <v>4187</v>
      </c>
      <c r="B921" t="s">
        <v>17409</v>
      </c>
      <c r="D921" t="s">
        <v>18161</v>
      </c>
      <c r="E921" t="s">
        <v>9231</v>
      </c>
      <c r="F921" t="s">
        <v>17334</v>
      </c>
      <c r="G921" t="s">
        <v>4215</v>
      </c>
      <c r="O921" t="s">
        <v>18161</v>
      </c>
    </row>
    <row r="922" spans="1:15">
      <c r="A922" t="s">
        <v>4187</v>
      </c>
      <c r="B922" t="s">
        <v>17410</v>
      </c>
      <c r="D922" t="s">
        <v>18162</v>
      </c>
      <c r="E922" t="s">
        <v>9231</v>
      </c>
      <c r="F922" t="s">
        <v>17334</v>
      </c>
      <c r="G922" t="s">
        <v>4215</v>
      </c>
      <c r="O922" t="s">
        <v>18162</v>
      </c>
    </row>
    <row r="923" spans="1:15">
      <c r="A923" t="s">
        <v>4187</v>
      </c>
      <c r="B923" t="s">
        <v>9682</v>
      </c>
      <c r="D923" t="s">
        <v>18165</v>
      </c>
      <c r="E923" t="s">
        <v>9215</v>
      </c>
      <c r="F923" t="s">
        <v>17334</v>
      </c>
      <c r="G923" t="s">
        <v>4215</v>
      </c>
      <c r="O923" t="s">
        <v>18165</v>
      </c>
    </row>
    <row r="924" spans="1:15">
      <c r="A924" t="s">
        <v>4187</v>
      </c>
      <c r="B924" t="s">
        <v>9683</v>
      </c>
      <c r="D924" t="s">
        <v>18166</v>
      </c>
      <c r="E924" t="s">
        <v>9215</v>
      </c>
      <c r="F924" t="s">
        <v>17334</v>
      </c>
      <c r="G924" t="s">
        <v>4215</v>
      </c>
      <c r="O924" t="s">
        <v>18166</v>
      </c>
    </row>
    <row r="925" spans="1:15">
      <c r="A925" t="s">
        <v>4187</v>
      </c>
      <c r="B925" t="s">
        <v>9684</v>
      </c>
      <c r="D925" t="s">
        <v>18167</v>
      </c>
      <c r="E925" t="s">
        <v>9215</v>
      </c>
      <c r="F925" t="s">
        <v>17334</v>
      </c>
      <c r="G925" t="s">
        <v>4215</v>
      </c>
      <c r="O925" t="s">
        <v>18167</v>
      </c>
    </row>
    <row r="926" spans="1:15">
      <c r="A926" t="s">
        <v>4187</v>
      </c>
      <c r="B926" t="s">
        <v>9685</v>
      </c>
      <c r="D926" t="s">
        <v>18168</v>
      </c>
      <c r="E926" t="s">
        <v>9215</v>
      </c>
      <c r="F926" t="s">
        <v>17334</v>
      </c>
      <c r="G926" t="s">
        <v>4215</v>
      </c>
      <c r="O926" t="s">
        <v>18168</v>
      </c>
    </row>
    <row r="927" spans="1:15">
      <c r="A927" t="s">
        <v>4187</v>
      </c>
      <c r="B927" t="s">
        <v>9686</v>
      </c>
      <c r="D927" t="s">
        <v>18169</v>
      </c>
      <c r="E927" t="s">
        <v>9215</v>
      </c>
      <c r="F927" t="s">
        <v>17334</v>
      </c>
      <c r="G927" t="s">
        <v>4215</v>
      </c>
      <c r="O927" t="s">
        <v>18169</v>
      </c>
    </row>
    <row r="928" spans="1:15">
      <c r="A928" t="s">
        <v>4187</v>
      </c>
      <c r="B928" t="s">
        <v>17413</v>
      </c>
      <c r="D928" t="s">
        <v>18170</v>
      </c>
      <c r="E928" t="s">
        <v>9215</v>
      </c>
      <c r="F928" t="s">
        <v>17334</v>
      </c>
      <c r="G928" t="s">
        <v>4215</v>
      </c>
      <c r="O928" t="s">
        <v>18170</v>
      </c>
    </row>
    <row r="929" spans="1:15">
      <c r="A929" t="s">
        <v>4187</v>
      </c>
      <c r="B929" t="s">
        <v>17414</v>
      </c>
      <c r="D929" t="s">
        <v>18171</v>
      </c>
      <c r="E929" t="s">
        <v>9215</v>
      </c>
      <c r="F929" t="s">
        <v>17334</v>
      </c>
      <c r="G929" t="s">
        <v>4215</v>
      </c>
      <c r="O929" t="s">
        <v>18171</v>
      </c>
    </row>
    <row r="930" spans="1:15">
      <c r="A930" t="s">
        <v>4187</v>
      </c>
      <c r="B930" t="s">
        <v>17415</v>
      </c>
      <c r="D930" t="s">
        <v>18172</v>
      </c>
      <c r="E930" t="s">
        <v>9215</v>
      </c>
      <c r="F930" t="s">
        <v>17334</v>
      </c>
      <c r="G930" t="s">
        <v>4215</v>
      </c>
      <c r="O930" t="s">
        <v>18172</v>
      </c>
    </row>
    <row r="931" spans="1:15">
      <c r="A931" t="s">
        <v>4187</v>
      </c>
      <c r="B931" t="s">
        <v>17416</v>
      </c>
      <c r="D931" t="s">
        <v>18173</v>
      </c>
      <c r="E931" t="s">
        <v>9215</v>
      </c>
      <c r="F931" t="s">
        <v>17334</v>
      </c>
      <c r="G931" t="s">
        <v>4215</v>
      </c>
      <c r="O931" t="s">
        <v>18173</v>
      </c>
    </row>
    <row r="932" spans="1:15">
      <c r="A932" t="s">
        <v>4187</v>
      </c>
      <c r="B932" t="s">
        <v>9689</v>
      </c>
      <c r="D932" t="s">
        <v>18165</v>
      </c>
      <c r="E932" t="s">
        <v>9223</v>
      </c>
      <c r="F932" t="s">
        <v>17334</v>
      </c>
      <c r="G932" t="s">
        <v>4215</v>
      </c>
      <c r="O932" t="s">
        <v>18165</v>
      </c>
    </row>
    <row r="933" spans="1:15">
      <c r="A933" t="s">
        <v>4187</v>
      </c>
      <c r="B933" t="s">
        <v>9690</v>
      </c>
      <c r="D933" t="s">
        <v>18166</v>
      </c>
      <c r="E933" t="s">
        <v>9223</v>
      </c>
      <c r="F933" t="s">
        <v>17334</v>
      </c>
      <c r="G933" t="s">
        <v>4215</v>
      </c>
      <c r="O933" t="s">
        <v>18166</v>
      </c>
    </row>
    <row r="934" spans="1:15">
      <c r="A934" t="s">
        <v>4187</v>
      </c>
      <c r="B934" t="s">
        <v>9691</v>
      </c>
      <c r="D934" t="s">
        <v>18167</v>
      </c>
      <c r="E934" t="s">
        <v>9223</v>
      </c>
      <c r="F934" t="s">
        <v>17334</v>
      </c>
      <c r="G934" t="s">
        <v>4215</v>
      </c>
      <c r="O934" t="s">
        <v>18167</v>
      </c>
    </row>
    <row r="935" spans="1:15">
      <c r="A935" t="s">
        <v>4187</v>
      </c>
      <c r="B935" t="s">
        <v>9692</v>
      </c>
      <c r="D935" t="s">
        <v>18168</v>
      </c>
      <c r="E935" t="s">
        <v>9223</v>
      </c>
      <c r="F935" t="s">
        <v>17334</v>
      </c>
      <c r="G935" t="s">
        <v>4215</v>
      </c>
      <c r="O935" t="s">
        <v>18168</v>
      </c>
    </row>
    <row r="936" spans="1:15">
      <c r="A936" t="s">
        <v>4187</v>
      </c>
      <c r="B936" t="s">
        <v>9693</v>
      </c>
      <c r="D936" t="s">
        <v>18169</v>
      </c>
      <c r="E936" t="s">
        <v>9223</v>
      </c>
      <c r="F936" t="s">
        <v>17334</v>
      </c>
      <c r="G936" t="s">
        <v>4215</v>
      </c>
      <c r="O936" t="s">
        <v>18169</v>
      </c>
    </row>
    <row r="937" spans="1:15">
      <c r="A937" t="s">
        <v>4187</v>
      </c>
      <c r="B937" t="s">
        <v>17419</v>
      </c>
      <c r="D937" t="s">
        <v>18170</v>
      </c>
      <c r="E937" t="s">
        <v>9223</v>
      </c>
      <c r="F937" t="s">
        <v>17334</v>
      </c>
      <c r="G937" t="s">
        <v>4215</v>
      </c>
      <c r="O937" t="s">
        <v>18170</v>
      </c>
    </row>
    <row r="938" spans="1:15">
      <c r="A938" t="s">
        <v>4187</v>
      </c>
      <c r="B938" t="s">
        <v>17420</v>
      </c>
      <c r="D938" t="s">
        <v>18171</v>
      </c>
      <c r="E938" t="s">
        <v>9223</v>
      </c>
      <c r="F938" t="s">
        <v>17334</v>
      </c>
      <c r="G938" t="s">
        <v>4215</v>
      </c>
      <c r="O938" t="s">
        <v>18171</v>
      </c>
    </row>
    <row r="939" spans="1:15">
      <c r="A939" t="s">
        <v>4187</v>
      </c>
      <c r="B939" t="s">
        <v>17421</v>
      </c>
      <c r="D939" t="s">
        <v>18172</v>
      </c>
      <c r="E939" t="s">
        <v>9223</v>
      </c>
      <c r="F939" t="s">
        <v>17334</v>
      </c>
      <c r="G939" t="s">
        <v>4215</v>
      </c>
      <c r="O939" t="s">
        <v>18172</v>
      </c>
    </row>
    <row r="940" spans="1:15">
      <c r="A940" t="s">
        <v>4187</v>
      </c>
      <c r="B940" t="s">
        <v>17422</v>
      </c>
      <c r="D940" t="s">
        <v>18173</v>
      </c>
      <c r="E940" t="s">
        <v>9223</v>
      </c>
      <c r="F940" t="s">
        <v>17334</v>
      </c>
      <c r="G940" t="s">
        <v>4215</v>
      </c>
      <c r="O940" t="s">
        <v>18173</v>
      </c>
    </row>
    <row r="941" spans="1:15">
      <c r="A941" t="s">
        <v>4187</v>
      </c>
      <c r="B941" t="s">
        <v>9696</v>
      </c>
      <c r="D941" t="s">
        <v>18165</v>
      </c>
      <c r="E941" t="s">
        <v>9231</v>
      </c>
      <c r="F941" t="s">
        <v>17334</v>
      </c>
      <c r="G941" t="s">
        <v>4215</v>
      </c>
      <c r="O941" t="s">
        <v>18165</v>
      </c>
    </row>
    <row r="942" spans="1:15">
      <c r="A942" t="s">
        <v>4187</v>
      </c>
      <c r="B942" t="s">
        <v>9697</v>
      </c>
      <c r="D942" t="s">
        <v>18166</v>
      </c>
      <c r="E942" t="s">
        <v>9231</v>
      </c>
      <c r="F942" t="s">
        <v>17334</v>
      </c>
      <c r="G942" t="s">
        <v>4215</v>
      </c>
      <c r="O942" t="s">
        <v>18166</v>
      </c>
    </row>
    <row r="943" spans="1:15">
      <c r="A943" t="s">
        <v>4187</v>
      </c>
      <c r="B943" t="s">
        <v>9698</v>
      </c>
      <c r="D943" t="s">
        <v>18167</v>
      </c>
      <c r="E943" t="s">
        <v>9231</v>
      </c>
      <c r="F943" t="s">
        <v>17334</v>
      </c>
      <c r="G943" t="s">
        <v>4215</v>
      </c>
      <c r="O943" t="s">
        <v>18167</v>
      </c>
    </row>
    <row r="944" spans="1:15">
      <c r="A944" t="s">
        <v>4187</v>
      </c>
      <c r="B944" t="s">
        <v>9699</v>
      </c>
      <c r="D944" t="s">
        <v>18168</v>
      </c>
      <c r="E944" t="s">
        <v>9231</v>
      </c>
      <c r="F944" t="s">
        <v>17334</v>
      </c>
      <c r="G944" t="s">
        <v>4215</v>
      </c>
      <c r="O944" t="s">
        <v>18168</v>
      </c>
    </row>
    <row r="945" spans="1:15">
      <c r="A945" t="s">
        <v>4187</v>
      </c>
      <c r="B945" t="s">
        <v>9700</v>
      </c>
      <c r="D945" t="s">
        <v>18169</v>
      </c>
      <c r="E945" t="s">
        <v>9231</v>
      </c>
      <c r="F945" t="s">
        <v>17334</v>
      </c>
      <c r="G945" t="s">
        <v>4215</v>
      </c>
      <c r="O945" t="s">
        <v>18169</v>
      </c>
    </row>
    <row r="946" spans="1:15">
      <c r="A946" t="s">
        <v>4187</v>
      </c>
      <c r="B946" t="s">
        <v>17425</v>
      </c>
      <c r="D946" t="s">
        <v>18170</v>
      </c>
      <c r="E946" t="s">
        <v>9231</v>
      </c>
      <c r="F946" t="s">
        <v>17334</v>
      </c>
      <c r="G946" t="s">
        <v>4215</v>
      </c>
      <c r="O946" t="s">
        <v>18170</v>
      </c>
    </row>
    <row r="947" spans="1:15">
      <c r="A947" t="s">
        <v>4187</v>
      </c>
      <c r="B947" t="s">
        <v>17426</v>
      </c>
      <c r="D947" t="s">
        <v>18171</v>
      </c>
      <c r="E947" t="s">
        <v>9231</v>
      </c>
      <c r="F947" t="s">
        <v>17334</v>
      </c>
      <c r="G947" t="s">
        <v>4215</v>
      </c>
      <c r="O947" t="s">
        <v>18171</v>
      </c>
    </row>
    <row r="948" spans="1:15">
      <c r="A948" t="s">
        <v>4187</v>
      </c>
      <c r="B948" t="s">
        <v>17427</v>
      </c>
      <c r="D948" t="s">
        <v>18172</v>
      </c>
      <c r="E948" t="s">
        <v>9231</v>
      </c>
      <c r="F948" t="s">
        <v>17334</v>
      </c>
      <c r="G948" t="s">
        <v>4215</v>
      </c>
      <c r="O948" t="s">
        <v>18172</v>
      </c>
    </row>
    <row r="949" spans="1:15">
      <c r="A949" t="s">
        <v>4187</v>
      </c>
      <c r="B949" t="s">
        <v>17428</v>
      </c>
      <c r="D949" t="s">
        <v>18173</v>
      </c>
      <c r="E949" t="s">
        <v>9231</v>
      </c>
      <c r="F949" t="s">
        <v>17334</v>
      </c>
      <c r="G949" t="s">
        <v>4215</v>
      </c>
      <c r="O949" t="s">
        <v>18173</v>
      </c>
    </row>
    <row r="950" spans="1:15">
      <c r="A950" t="s">
        <v>4187</v>
      </c>
      <c r="B950" t="s">
        <v>17429</v>
      </c>
      <c r="D950" t="s">
        <v>18174</v>
      </c>
      <c r="E950" t="s">
        <v>9231</v>
      </c>
      <c r="F950" t="s">
        <v>17334</v>
      </c>
      <c r="G950" t="s">
        <v>4215</v>
      </c>
      <c r="O950" t="s">
        <v>18174</v>
      </c>
    </row>
    <row r="951" spans="1:15">
      <c r="A951" t="s">
        <v>4187</v>
      </c>
      <c r="B951" t="s">
        <v>17430</v>
      </c>
      <c r="D951" t="s">
        <v>18175</v>
      </c>
      <c r="E951" t="s">
        <v>9231</v>
      </c>
      <c r="F951" t="s">
        <v>17334</v>
      </c>
      <c r="G951" t="s">
        <v>4215</v>
      </c>
      <c r="O951" t="s">
        <v>18175</v>
      </c>
    </row>
    <row r="952" spans="1:15">
      <c r="A952" t="s">
        <v>4187</v>
      </c>
      <c r="B952" t="s">
        <v>17431</v>
      </c>
      <c r="D952" t="s">
        <v>18176</v>
      </c>
      <c r="E952" t="s">
        <v>9215</v>
      </c>
      <c r="F952" t="s">
        <v>17334</v>
      </c>
      <c r="G952" t="s">
        <v>4215</v>
      </c>
      <c r="O952" t="s">
        <v>18176</v>
      </c>
    </row>
    <row r="953" spans="1:15">
      <c r="A953" t="s">
        <v>4187</v>
      </c>
      <c r="B953" t="s">
        <v>17432</v>
      </c>
      <c r="D953" t="s">
        <v>18177</v>
      </c>
      <c r="E953" t="s">
        <v>9215</v>
      </c>
      <c r="F953" t="s">
        <v>17334</v>
      </c>
      <c r="G953" t="s">
        <v>4215</v>
      </c>
      <c r="O953" t="s">
        <v>18177</v>
      </c>
    </row>
    <row r="954" spans="1:15">
      <c r="A954" t="s">
        <v>4187</v>
      </c>
      <c r="B954" t="s">
        <v>17433</v>
      </c>
      <c r="D954" t="s">
        <v>18178</v>
      </c>
      <c r="E954" t="s">
        <v>9215</v>
      </c>
      <c r="F954" t="s">
        <v>17334</v>
      </c>
      <c r="G954" t="s">
        <v>4215</v>
      </c>
      <c r="O954" t="s">
        <v>18178</v>
      </c>
    </row>
    <row r="955" spans="1:15">
      <c r="A955" t="s">
        <v>4187</v>
      </c>
      <c r="B955" t="s">
        <v>17434</v>
      </c>
      <c r="D955" t="s">
        <v>18179</v>
      </c>
      <c r="E955" t="s">
        <v>9215</v>
      </c>
      <c r="F955" t="s">
        <v>17334</v>
      </c>
      <c r="G955" t="s">
        <v>4215</v>
      </c>
      <c r="O955" t="s">
        <v>18179</v>
      </c>
    </row>
    <row r="956" spans="1:15">
      <c r="A956" t="s">
        <v>4187</v>
      </c>
      <c r="B956" t="s">
        <v>17435</v>
      </c>
      <c r="D956" t="s">
        <v>18180</v>
      </c>
      <c r="E956" t="s">
        <v>9215</v>
      </c>
      <c r="F956" t="s">
        <v>17334</v>
      </c>
      <c r="G956" t="s">
        <v>4215</v>
      </c>
      <c r="O956" t="s">
        <v>18180</v>
      </c>
    </row>
    <row r="957" spans="1:15">
      <c r="A957" t="s">
        <v>4187</v>
      </c>
      <c r="B957" t="s">
        <v>17436</v>
      </c>
      <c r="D957" t="s">
        <v>18181</v>
      </c>
      <c r="E957" t="s">
        <v>9215</v>
      </c>
      <c r="F957" t="s">
        <v>17334</v>
      </c>
      <c r="G957" t="s">
        <v>4215</v>
      </c>
      <c r="O957" t="s">
        <v>18181</v>
      </c>
    </row>
    <row r="958" spans="1:15">
      <c r="A958" t="s">
        <v>4187</v>
      </c>
      <c r="B958" t="s">
        <v>17437</v>
      </c>
      <c r="D958" t="s">
        <v>18176</v>
      </c>
      <c r="E958" t="s">
        <v>9223</v>
      </c>
      <c r="F958" t="s">
        <v>17334</v>
      </c>
      <c r="G958" t="s">
        <v>4215</v>
      </c>
      <c r="O958" t="s">
        <v>18176</v>
      </c>
    </row>
    <row r="959" spans="1:15">
      <c r="A959" t="s">
        <v>4187</v>
      </c>
      <c r="B959" t="s">
        <v>17438</v>
      </c>
      <c r="D959" t="s">
        <v>18177</v>
      </c>
      <c r="E959" t="s">
        <v>9223</v>
      </c>
      <c r="F959" t="s">
        <v>17334</v>
      </c>
      <c r="G959" t="s">
        <v>4215</v>
      </c>
      <c r="O959" t="s">
        <v>18177</v>
      </c>
    </row>
    <row r="960" spans="1:15">
      <c r="A960" t="s">
        <v>4187</v>
      </c>
      <c r="B960" t="s">
        <v>17439</v>
      </c>
      <c r="D960" t="s">
        <v>18178</v>
      </c>
      <c r="E960" t="s">
        <v>9223</v>
      </c>
      <c r="F960" t="s">
        <v>17334</v>
      </c>
      <c r="G960" t="s">
        <v>4215</v>
      </c>
      <c r="O960" t="s">
        <v>18178</v>
      </c>
    </row>
    <row r="961" spans="1:15">
      <c r="A961" t="s">
        <v>4187</v>
      </c>
      <c r="B961" t="s">
        <v>17440</v>
      </c>
      <c r="D961" t="s">
        <v>18179</v>
      </c>
      <c r="E961" t="s">
        <v>9223</v>
      </c>
      <c r="F961" t="s">
        <v>17334</v>
      </c>
      <c r="G961" t="s">
        <v>4215</v>
      </c>
      <c r="O961" t="s">
        <v>18179</v>
      </c>
    </row>
    <row r="962" spans="1:15">
      <c r="A962" t="s">
        <v>4187</v>
      </c>
      <c r="B962" t="s">
        <v>17441</v>
      </c>
      <c r="D962" t="s">
        <v>18180</v>
      </c>
      <c r="E962" t="s">
        <v>9223</v>
      </c>
      <c r="F962" t="s">
        <v>17334</v>
      </c>
      <c r="G962" t="s">
        <v>4215</v>
      </c>
      <c r="O962" t="s">
        <v>18180</v>
      </c>
    </row>
    <row r="963" spans="1:15">
      <c r="A963" t="s">
        <v>4187</v>
      </c>
      <c r="B963" t="s">
        <v>17442</v>
      </c>
      <c r="D963" t="s">
        <v>18181</v>
      </c>
      <c r="E963" t="s">
        <v>9223</v>
      </c>
      <c r="F963" t="s">
        <v>17334</v>
      </c>
      <c r="G963" t="s">
        <v>4215</v>
      </c>
      <c r="O963" t="s">
        <v>18181</v>
      </c>
    </row>
    <row r="964" spans="1:15">
      <c r="A964" t="s">
        <v>4187</v>
      </c>
      <c r="B964" t="s">
        <v>17443</v>
      </c>
      <c r="D964" t="s">
        <v>18176</v>
      </c>
      <c r="E964" t="s">
        <v>9231</v>
      </c>
      <c r="F964" t="s">
        <v>17334</v>
      </c>
      <c r="G964" t="s">
        <v>4215</v>
      </c>
      <c r="O964" t="s">
        <v>18176</v>
      </c>
    </row>
    <row r="965" spans="1:15">
      <c r="A965" t="s">
        <v>4187</v>
      </c>
      <c r="B965" t="s">
        <v>17444</v>
      </c>
      <c r="D965" t="s">
        <v>18177</v>
      </c>
      <c r="E965" t="s">
        <v>9231</v>
      </c>
      <c r="F965" t="s">
        <v>17334</v>
      </c>
      <c r="G965" t="s">
        <v>4215</v>
      </c>
      <c r="O965" t="s">
        <v>18177</v>
      </c>
    </row>
    <row r="966" spans="1:15">
      <c r="A966" t="s">
        <v>4187</v>
      </c>
      <c r="B966" t="s">
        <v>17445</v>
      </c>
      <c r="D966" t="s">
        <v>18178</v>
      </c>
      <c r="E966" t="s">
        <v>9231</v>
      </c>
      <c r="F966" t="s">
        <v>17334</v>
      </c>
      <c r="G966" t="s">
        <v>4215</v>
      </c>
      <c r="O966" t="s">
        <v>18178</v>
      </c>
    </row>
    <row r="967" spans="1:15">
      <c r="A967" t="s">
        <v>4187</v>
      </c>
      <c r="B967" t="s">
        <v>17446</v>
      </c>
      <c r="D967" t="s">
        <v>18179</v>
      </c>
      <c r="E967" t="s">
        <v>9231</v>
      </c>
      <c r="F967" t="s">
        <v>17334</v>
      </c>
      <c r="G967" t="s">
        <v>4215</v>
      </c>
      <c r="O967" t="s">
        <v>18179</v>
      </c>
    </row>
    <row r="968" spans="1:15">
      <c r="A968" t="s">
        <v>4187</v>
      </c>
      <c r="B968" t="s">
        <v>17447</v>
      </c>
      <c r="D968" t="s">
        <v>18180</v>
      </c>
      <c r="E968" t="s">
        <v>9231</v>
      </c>
      <c r="F968" t="s">
        <v>17334</v>
      </c>
      <c r="G968" t="s">
        <v>4215</v>
      </c>
      <c r="O968" t="s">
        <v>18180</v>
      </c>
    </row>
    <row r="969" spans="1:15">
      <c r="A969" t="s">
        <v>4187</v>
      </c>
      <c r="B969" t="s">
        <v>17448</v>
      </c>
      <c r="D969" t="s">
        <v>18181</v>
      </c>
      <c r="E969" t="s">
        <v>9231</v>
      </c>
      <c r="F969" t="s">
        <v>17334</v>
      </c>
      <c r="G969" t="s">
        <v>4215</v>
      </c>
      <c r="O969" t="s">
        <v>18181</v>
      </c>
    </row>
    <row r="970" spans="1:15">
      <c r="A970" t="s">
        <v>4187</v>
      </c>
      <c r="B970" t="s">
        <v>9776</v>
      </c>
      <c r="D970" t="s">
        <v>18182</v>
      </c>
      <c r="E970" t="s">
        <v>9215</v>
      </c>
      <c r="F970" t="s">
        <v>17334</v>
      </c>
      <c r="G970" t="s">
        <v>4215</v>
      </c>
      <c r="O970" t="s">
        <v>18182</v>
      </c>
    </row>
    <row r="971" spans="1:15">
      <c r="A971" t="s">
        <v>4187</v>
      </c>
      <c r="B971" t="s">
        <v>9777</v>
      </c>
      <c r="D971" t="s">
        <v>18183</v>
      </c>
      <c r="E971" t="s">
        <v>9215</v>
      </c>
      <c r="F971" t="s">
        <v>17334</v>
      </c>
      <c r="G971" t="s">
        <v>4215</v>
      </c>
      <c r="O971" t="s">
        <v>18183</v>
      </c>
    </row>
    <row r="972" spans="1:15">
      <c r="A972" t="s">
        <v>4187</v>
      </c>
      <c r="B972" t="s">
        <v>9778</v>
      </c>
      <c r="D972" t="s">
        <v>18184</v>
      </c>
      <c r="E972" t="s">
        <v>9215</v>
      </c>
      <c r="F972" t="s">
        <v>17334</v>
      </c>
      <c r="G972" t="s">
        <v>4215</v>
      </c>
      <c r="O972" t="s">
        <v>18184</v>
      </c>
    </row>
    <row r="973" spans="1:15">
      <c r="A973" t="s">
        <v>4187</v>
      </c>
      <c r="B973" t="s">
        <v>9779</v>
      </c>
      <c r="D973" t="s">
        <v>18185</v>
      </c>
      <c r="E973" t="s">
        <v>9215</v>
      </c>
      <c r="F973" t="s">
        <v>17334</v>
      </c>
      <c r="G973" t="s">
        <v>4215</v>
      </c>
      <c r="O973" t="s">
        <v>18185</v>
      </c>
    </row>
    <row r="974" spans="1:15">
      <c r="A974" t="s">
        <v>4187</v>
      </c>
      <c r="B974" t="s">
        <v>9780</v>
      </c>
      <c r="D974" t="s">
        <v>18186</v>
      </c>
      <c r="E974" t="s">
        <v>9215</v>
      </c>
      <c r="F974" t="s">
        <v>17334</v>
      </c>
      <c r="G974" t="s">
        <v>4215</v>
      </c>
      <c r="O974" t="s">
        <v>18186</v>
      </c>
    </row>
    <row r="975" spans="1:15">
      <c r="A975" t="s">
        <v>4187</v>
      </c>
      <c r="B975" t="s">
        <v>9783</v>
      </c>
      <c r="D975" t="s">
        <v>18182</v>
      </c>
      <c r="E975" t="s">
        <v>9223</v>
      </c>
      <c r="F975" t="s">
        <v>17334</v>
      </c>
      <c r="G975" t="s">
        <v>4215</v>
      </c>
      <c r="O975" t="s">
        <v>18182</v>
      </c>
    </row>
    <row r="976" spans="1:15">
      <c r="A976" t="s">
        <v>4187</v>
      </c>
      <c r="B976" t="s">
        <v>9784</v>
      </c>
      <c r="D976" t="s">
        <v>18183</v>
      </c>
      <c r="E976" t="s">
        <v>9223</v>
      </c>
      <c r="F976" t="s">
        <v>17334</v>
      </c>
      <c r="G976" t="s">
        <v>4215</v>
      </c>
      <c r="O976" t="s">
        <v>18183</v>
      </c>
    </row>
    <row r="977" spans="1:15">
      <c r="A977" t="s">
        <v>4187</v>
      </c>
      <c r="B977" t="s">
        <v>9785</v>
      </c>
      <c r="D977" t="s">
        <v>18184</v>
      </c>
      <c r="E977" t="s">
        <v>9223</v>
      </c>
      <c r="F977" t="s">
        <v>17334</v>
      </c>
      <c r="G977" t="s">
        <v>4215</v>
      </c>
      <c r="O977" t="s">
        <v>18184</v>
      </c>
    </row>
    <row r="978" spans="1:15">
      <c r="A978" t="s">
        <v>4187</v>
      </c>
      <c r="B978" t="s">
        <v>9786</v>
      </c>
      <c r="D978" t="s">
        <v>18185</v>
      </c>
      <c r="E978" t="s">
        <v>9223</v>
      </c>
      <c r="F978" t="s">
        <v>17334</v>
      </c>
      <c r="G978" t="s">
        <v>4215</v>
      </c>
      <c r="O978" t="s">
        <v>18185</v>
      </c>
    </row>
    <row r="979" spans="1:15">
      <c r="A979" t="s">
        <v>4187</v>
      </c>
      <c r="B979" t="s">
        <v>9787</v>
      </c>
      <c r="D979" t="s">
        <v>18186</v>
      </c>
      <c r="E979" t="s">
        <v>9223</v>
      </c>
      <c r="F979" t="s">
        <v>17334</v>
      </c>
      <c r="G979" t="s">
        <v>4215</v>
      </c>
      <c r="O979" t="s">
        <v>18186</v>
      </c>
    </row>
    <row r="980" spans="1:15">
      <c r="A980" t="s">
        <v>4187</v>
      </c>
      <c r="B980" t="s">
        <v>9790</v>
      </c>
      <c r="D980" t="s">
        <v>18182</v>
      </c>
      <c r="E980" t="s">
        <v>9231</v>
      </c>
      <c r="F980" t="s">
        <v>17334</v>
      </c>
      <c r="G980" t="s">
        <v>4215</v>
      </c>
      <c r="O980" t="s">
        <v>18182</v>
      </c>
    </row>
    <row r="981" spans="1:15">
      <c r="A981" t="s">
        <v>4187</v>
      </c>
      <c r="B981" t="s">
        <v>9791</v>
      </c>
      <c r="D981" t="s">
        <v>18183</v>
      </c>
      <c r="E981" t="s">
        <v>9231</v>
      </c>
      <c r="F981" t="s">
        <v>17334</v>
      </c>
      <c r="G981" t="s">
        <v>4215</v>
      </c>
      <c r="O981" t="s">
        <v>18183</v>
      </c>
    </row>
    <row r="982" spans="1:15">
      <c r="A982" t="s">
        <v>4187</v>
      </c>
      <c r="B982" t="s">
        <v>9792</v>
      </c>
      <c r="D982" t="s">
        <v>18184</v>
      </c>
      <c r="E982" t="s">
        <v>9231</v>
      </c>
      <c r="F982" t="s">
        <v>17334</v>
      </c>
      <c r="G982" t="s">
        <v>4215</v>
      </c>
      <c r="O982" t="s">
        <v>18184</v>
      </c>
    </row>
    <row r="983" spans="1:15">
      <c r="A983" t="s">
        <v>4187</v>
      </c>
      <c r="B983" t="s">
        <v>9793</v>
      </c>
      <c r="D983" t="s">
        <v>18185</v>
      </c>
      <c r="E983" t="s">
        <v>9231</v>
      </c>
      <c r="F983" t="s">
        <v>17334</v>
      </c>
      <c r="G983" t="s">
        <v>4215</v>
      </c>
      <c r="O983" t="s">
        <v>18185</v>
      </c>
    </row>
    <row r="984" spans="1:15">
      <c r="A984" t="s">
        <v>4187</v>
      </c>
      <c r="B984" t="s">
        <v>9794</v>
      </c>
      <c r="D984" t="s">
        <v>18186</v>
      </c>
      <c r="E984" t="s">
        <v>9231</v>
      </c>
      <c r="F984" t="s">
        <v>17334</v>
      </c>
      <c r="G984" t="s">
        <v>4215</v>
      </c>
      <c r="O984" t="s">
        <v>18186</v>
      </c>
    </row>
    <row r="985" spans="1:15">
      <c r="A985" t="s">
        <v>4187</v>
      </c>
      <c r="B985" t="s">
        <v>17386</v>
      </c>
      <c r="D985" t="s">
        <v>18187</v>
      </c>
      <c r="E985" t="s">
        <v>9231</v>
      </c>
      <c r="F985" t="s">
        <v>17334</v>
      </c>
      <c r="G985" t="s">
        <v>4215</v>
      </c>
      <c r="O985" t="s">
        <v>18187</v>
      </c>
    </row>
    <row r="986" spans="1:15">
      <c r="A986" t="s">
        <v>4187</v>
      </c>
      <c r="B986" t="s">
        <v>17387</v>
      </c>
      <c r="D986" t="s">
        <v>18188</v>
      </c>
      <c r="E986" t="s">
        <v>9231</v>
      </c>
      <c r="F986" t="s">
        <v>17334</v>
      </c>
      <c r="G986" t="s">
        <v>4215</v>
      </c>
      <c r="O986" t="s">
        <v>18188</v>
      </c>
    </row>
    <row r="987" spans="1:15">
      <c r="A987" t="s">
        <v>4187</v>
      </c>
      <c r="B987" t="s">
        <v>17388</v>
      </c>
      <c r="D987" t="s">
        <v>18189</v>
      </c>
      <c r="E987" t="s">
        <v>9231</v>
      </c>
      <c r="F987" t="s">
        <v>17334</v>
      </c>
      <c r="G987" t="s">
        <v>4215</v>
      </c>
      <c r="O987" t="s">
        <v>18189</v>
      </c>
    </row>
    <row r="988" spans="1:15">
      <c r="A988" t="s">
        <v>4187</v>
      </c>
      <c r="B988" t="s">
        <v>9798</v>
      </c>
      <c r="D988" t="s">
        <v>18190</v>
      </c>
      <c r="E988" t="s">
        <v>9215</v>
      </c>
      <c r="F988" t="s">
        <v>17334</v>
      </c>
      <c r="G988" t="s">
        <v>4215</v>
      </c>
      <c r="O988" t="s">
        <v>18190</v>
      </c>
    </row>
    <row r="989" spans="1:15">
      <c r="A989" t="s">
        <v>4187</v>
      </c>
      <c r="B989" t="s">
        <v>9799</v>
      </c>
      <c r="D989" t="s">
        <v>18191</v>
      </c>
      <c r="E989" t="s">
        <v>9215</v>
      </c>
      <c r="F989" t="s">
        <v>17334</v>
      </c>
      <c r="G989" t="s">
        <v>4215</v>
      </c>
      <c r="O989" t="s">
        <v>18191</v>
      </c>
    </row>
    <row r="990" spans="1:15">
      <c r="A990" t="s">
        <v>4187</v>
      </c>
      <c r="B990" t="s">
        <v>9800</v>
      </c>
      <c r="D990" t="s">
        <v>18192</v>
      </c>
      <c r="E990" t="s">
        <v>9215</v>
      </c>
      <c r="F990" t="s">
        <v>17334</v>
      </c>
      <c r="G990" t="s">
        <v>4215</v>
      </c>
      <c r="O990" t="s">
        <v>18192</v>
      </c>
    </row>
    <row r="991" spans="1:15">
      <c r="A991" t="s">
        <v>4187</v>
      </c>
      <c r="B991" t="s">
        <v>9801</v>
      </c>
      <c r="D991" t="s">
        <v>18193</v>
      </c>
      <c r="E991" t="s">
        <v>9215</v>
      </c>
      <c r="F991" t="s">
        <v>17334</v>
      </c>
      <c r="G991" t="s">
        <v>4215</v>
      </c>
      <c r="O991" t="s">
        <v>18193</v>
      </c>
    </row>
    <row r="992" spans="1:15">
      <c r="A992" t="s">
        <v>4187</v>
      </c>
      <c r="B992" t="s">
        <v>9802</v>
      </c>
      <c r="D992" t="s">
        <v>18194</v>
      </c>
      <c r="E992" t="s">
        <v>9215</v>
      </c>
      <c r="F992" t="s">
        <v>17334</v>
      </c>
      <c r="G992" t="s">
        <v>4215</v>
      </c>
      <c r="O992" t="s">
        <v>18194</v>
      </c>
    </row>
    <row r="993" spans="1:15">
      <c r="A993" t="s">
        <v>4187</v>
      </c>
      <c r="B993" t="s">
        <v>9805</v>
      </c>
      <c r="D993" t="s">
        <v>18190</v>
      </c>
      <c r="E993" t="s">
        <v>9223</v>
      </c>
      <c r="F993" t="s">
        <v>17334</v>
      </c>
      <c r="G993" t="s">
        <v>4215</v>
      </c>
      <c r="O993" t="s">
        <v>18190</v>
      </c>
    </row>
    <row r="994" spans="1:15">
      <c r="A994" t="s">
        <v>4187</v>
      </c>
      <c r="B994" t="s">
        <v>9806</v>
      </c>
      <c r="D994" t="s">
        <v>18191</v>
      </c>
      <c r="E994" t="s">
        <v>9223</v>
      </c>
      <c r="F994" t="s">
        <v>17334</v>
      </c>
      <c r="G994" t="s">
        <v>4215</v>
      </c>
      <c r="O994" t="s">
        <v>18191</v>
      </c>
    </row>
    <row r="995" spans="1:15">
      <c r="A995" t="s">
        <v>4187</v>
      </c>
      <c r="B995" t="s">
        <v>9807</v>
      </c>
      <c r="D995" t="s">
        <v>18192</v>
      </c>
      <c r="E995" t="s">
        <v>9223</v>
      </c>
      <c r="F995" t="s">
        <v>17334</v>
      </c>
      <c r="G995" t="s">
        <v>4215</v>
      </c>
      <c r="O995" t="s">
        <v>18192</v>
      </c>
    </row>
    <row r="996" spans="1:15">
      <c r="A996" t="s">
        <v>4187</v>
      </c>
      <c r="B996" t="s">
        <v>9808</v>
      </c>
      <c r="D996" t="s">
        <v>18193</v>
      </c>
      <c r="E996" t="s">
        <v>9223</v>
      </c>
      <c r="F996" t="s">
        <v>17334</v>
      </c>
      <c r="G996" t="s">
        <v>4215</v>
      </c>
      <c r="O996" t="s">
        <v>18193</v>
      </c>
    </row>
    <row r="997" spans="1:15">
      <c r="A997" t="s">
        <v>4187</v>
      </c>
      <c r="B997" t="s">
        <v>9809</v>
      </c>
      <c r="D997" t="s">
        <v>18194</v>
      </c>
      <c r="E997" t="s">
        <v>9223</v>
      </c>
      <c r="F997" t="s">
        <v>17334</v>
      </c>
      <c r="G997" t="s">
        <v>4215</v>
      </c>
      <c r="O997" t="s">
        <v>18194</v>
      </c>
    </row>
    <row r="998" spans="1:15">
      <c r="A998" t="s">
        <v>4187</v>
      </c>
      <c r="B998" t="s">
        <v>9812</v>
      </c>
      <c r="D998" t="s">
        <v>18190</v>
      </c>
      <c r="E998" t="s">
        <v>9231</v>
      </c>
      <c r="F998" t="s">
        <v>17334</v>
      </c>
      <c r="G998" t="s">
        <v>4215</v>
      </c>
      <c r="O998" t="s">
        <v>18190</v>
      </c>
    </row>
    <row r="999" spans="1:15">
      <c r="A999" t="s">
        <v>4187</v>
      </c>
      <c r="B999" t="s">
        <v>9813</v>
      </c>
      <c r="D999" t="s">
        <v>18191</v>
      </c>
      <c r="E999" t="s">
        <v>9231</v>
      </c>
      <c r="F999" t="s">
        <v>17334</v>
      </c>
      <c r="G999" t="s">
        <v>4215</v>
      </c>
      <c r="O999" t="s">
        <v>18191</v>
      </c>
    </row>
    <row r="1000" spans="1:15">
      <c r="A1000" t="s">
        <v>4187</v>
      </c>
      <c r="B1000" t="s">
        <v>9814</v>
      </c>
      <c r="D1000" t="s">
        <v>18192</v>
      </c>
      <c r="E1000" t="s">
        <v>9231</v>
      </c>
      <c r="F1000" t="s">
        <v>17334</v>
      </c>
      <c r="G1000" t="s">
        <v>4215</v>
      </c>
      <c r="O1000" t="s">
        <v>18192</v>
      </c>
    </row>
    <row r="1001" spans="1:15">
      <c r="A1001" t="s">
        <v>4187</v>
      </c>
      <c r="B1001" t="s">
        <v>9815</v>
      </c>
      <c r="D1001" t="s">
        <v>18193</v>
      </c>
      <c r="E1001" t="s">
        <v>9231</v>
      </c>
      <c r="F1001" t="s">
        <v>17334</v>
      </c>
      <c r="G1001" t="s">
        <v>4215</v>
      </c>
      <c r="O1001" t="s">
        <v>18193</v>
      </c>
    </row>
    <row r="1002" spans="1:15">
      <c r="A1002" t="s">
        <v>4187</v>
      </c>
      <c r="B1002" t="s">
        <v>9816</v>
      </c>
      <c r="D1002" t="s">
        <v>18194</v>
      </c>
      <c r="E1002" t="s">
        <v>9231</v>
      </c>
      <c r="F1002" t="s">
        <v>17334</v>
      </c>
      <c r="G1002" t="s">
        <v>4215</v>
      </c>
      <c r="O1002" t="s">
        <v>18194</v>
      </c>
    </row>
    <row r="1003" spans="1:15">
      <c r="A1003" t="s">
        <v>4187</v>
      </c>
      <c r="B1003" t="s">
        <v>17389</v>
      </c>
      <c r="D1003" t="s">
        <v>18195</v>
      </c>
      <c r="E1003" t="s">
        <v>9231</v>
      </c>
      <c r="F1003" t="s">
        <v>17334</v>
      </c>
      <c r="G1003" t="s">
        <v>4215</v>
      </c>
      <c r="O1003" t="s">
        <v>18195</v>
      </c>
    </row>
    <row r="1004" spans="1:15">
      <c r="A1004" t="s">
        <v>4187</v>
      </c>
      <c r="B1004" t="s">
        <v>17390</v>
      </c>
      <c r="D1004" t="s">
        <v>18196</v>
      </c>
      <c r="E1004" t="s">
        <v>9231</v>
      </c>
      <c r="F1004" t="s">
        <v>17334</v>
      </c>
      <c r="G1004" t="s">
        <v>4215</v>
      </c>
      <c r="O1004" t="s">
        <v>18196</v>
      </c>
    </row>
    <row r="1005" spans="1:15">
      <c r="A1005" t="s">
        <v>4187</v>
      </c>
      <c r="B1005" t="s">
        <v>17391</v>
      </c>
      <c r="D1005" t="s">
        <v>18197</v>
      </c>
      <c r="E1005" t="s">
        <v>9231</v>
      </c>
      <c r="F1005" t="s">
        <v>17334</v>
      </c>
      <c r="G1005" t="s">
        <v>4215</v>
      </c>
      <c r="O1005" t="s">
        <v>18197</v>
      </c>
    </row>
    <row r="1006" spans="1:15">
      <c r="A1006" t="s">
        <v>4187</v>
      </c>
      <c r="B1006" t="s">
        <v>9820</v>
      </c>
      <c r="D1006" t="s">
        <v>18198</v>
      </c>
      <c r="E1006" t="s">
        <v>9215</v>
      </c>
      <c r="F1006" t="s">
        <v>17334</v>
      </c>
      <c r="G1006" t="s">
        <v>4215</v>
      </c>
      <c r="O1006" t="s">
        <v>18198</v>
      </c>
    </row>
    <row r="1007" spans="1:15">
      <c r="A1007" t="s">
        <v>4187</v>
      </c>
      <c r="B1007" t="s">
        <v>9821</v>
      </c>
      <c r="D1007" t="s">
        <v>18199</v>
      </c>
      <c r="E1007" t="s">
        <v>9215</v>
      </c>
      <c r="F1007" t="s">
        <v>17334</v>
      </c>
      <c r="G1007" t="s">
        <v>4215</v>
      </c>
      <c r="O1007" t="s">
        <v>18199</v>
      </c>
    </row>
    <row r="1008" spans="1:15">
      <c r="A1008" t="s">
        <v>4187</v>
      </c>
      <c r="B1008" t="s">
        <v>9822</v>
      </c>
      <c r="D1008" t="s">
        <v>18200</v>
      </c>
      <c r="E1008" t="s">
        <v>9215</v>
      </c>
      <c r="F1008" t="s">
        <v>17334</v>
      </c>
      <c r="G1008" t="s">
        <v>4215</v>
      </c>
      <c r="O1008" t="s">
        <v>18200</v>
      </c>
    </row>
    <row r="1009" spans="1:15">
      <c r="A1009" t="s">
        <v>4187</v>
      </c>
      <c r="B1009" t="s">
        <v>9823</v>
      </c>
      <c r="D1009" t="s">
        <v>18201</v>
      </c>
      <c r="E1009" t="s">
        <v>9215</v>
      </c>
      <c r="F1009" t="s">
        <v>17334</v>
      </c>
      <c r="G1009" t="s">
        <v>4215</v>
      </c>
      <c r="O1009" t="s">
        <v>18201</v>
      </c>
    </row>
    <row r="1010" spans="1:15">
      <c r="A1010" t="s">
        <v>4187</v>
      </c>
      <c r="B1010" t="s">
        <v>9824</v>
      </c>
      <c r="D1010" t="s">
        <v>18202</v>
      </c>
      <c r="E1010" t="s">
        <v>9215</v>
      </c>
      <c r="F1010" t="s">
        <v>17334</v>
      </c>
      <c r="G1010" t="s">
        <v>4215</v>
      </c>
      <c r="O1010" t="s">
        <v>18202</v>
      </c>
    </row>
    <row r="1011" spans="1:15">
      <c r="A1011" t="s">
        <v>4187</v>
      </c>
      <c r="B1011" t="s">
        <v>9827</v>
      </c>
      <c r="D1011" t="s">
        <v>18198</v>
      </c>
      <c r="E1011" t="s">
        <v>9223</v>
      </c>
      <c r="F1011" t="s">
        <v>17334</v>
      </c>
      <c r="G1011" t="s">
        <v>4215</v>
      </c>
      <c r="O1011" t="s">
        <v>18198</v>
      </c>
    </row>
    <row r="1012" spans="1:15">
      <c r="A1012" t="s">
        <v>4187</v>
      </c>
      <c r="B1012" t="s">
        <v>9828</v>
      </c>
      <c r="D1012" t="s">
        <v>18199</v>
      </c>
      <c r="E1012" t="s">
        <v>9223</v>
      </c>
      <c r="F1012" t="s">
        <v>17334</v>
      </c>
      <c r="G1012" t="s">
        <v>4215</v>
      </c>
      <c r="O1012" t="s">
        <v>18199</v>
      </c>
    </row>
    <row r="1013" spans="1:15">
      <c r="A1013" t="s">
        <v>4187</v>
      </c>
      <c r="B1013" t="s">
        <v>9829</v>
      </c>
      <c r="D1013" t="s">
        <v>18200</v>
      </c>
      <c r="E1013" t="s">
        <v>9223</v>
      </c>
      <c r="F1013" t="s">
        <v>17334</v>
      </c>
      <c r="G1013" t="s">
        <v>4215</v>
      </c>
      <c r="O1013" t="s">
        <v>18200</v>
      </c>
    </row>
    <row r="1014" spans="1:15">
      <c r="A1014" t="s">
        <v>4187</v>
      </c>
      <c r="B1014" t="s">
        <v>9830</v>
      </c>
      <c r="D1014" t="s">
        <v>18201</v>
      </c>
      <c r="E1014" t="s">
        <v>9223</v>
      </c>
      <c r="F1014" t="s">
        <v>17334</v>
      </c>
      <c r="G1014" t="s">
        <v>4215</v>
      </c>
      <c r="O1014" t="s">
        <v>18201</v>
      </c>
    </row>
    <row r="1015" spans="1:15">
      <c r="A1015" t="s">
        <v>4187</v>
      </c>
      <c r="B1015" t="s">
        <v>9831</v>
      </c>
      <c r="D1015" t="s">
        <v>18202</v>
      </c>
      <c r="E1015" t="s">
        <v>9223</v>
      </c>
      <c r="F1015" t="s">
        <v>17334</v>
      </c>
      <c r="G1015" t="s">
        <v>4215</v>
      </c>
      <c r="O1015" t="s">
        <v>18202</v>
      </c>
    </row>
    <row r="1016" spans="1:15">
      <c r="A1016" t="s">
        <v>4187</v>
      </c>
      <c r="B1016" t="s">
        <v>9834</v>
      </c>
      <c r="D1016" t="s">
        <v>18198</v>
      </c>
      <c r="E1016" t="s">
        <v>9231</v>
      </c>
      <c r="F1016" t="s">
        <v>17334</v>
      </c>
      <c r="G1016" t="s">
        <v>4215</v>
      </c>
      <c r="O1016" t="s">
        <v>18198</v>
      </c>
    </row>
    <row r="1017" spans="1:15">
      <c r="A1017" t="s">
        <v>4187</v>
      </c>
      <c r="B1017" t="s">
        <v>9835</v>
      </c>
      <c r="D1017" t="s">
        <v>18199</v>
      </c>
      <c r="E1017" t="s">
        <v>9231</v>
      </c>
      <c r="F1017" t="s">
        <v>17334</v>
      </c>
      <c r="G1017" t="s">
        <v>4215</v>
      </c>
      <c r="O1017" t="s">
        <v>18199</v>
      </c>
    </row>
    <row r="1018" spans="1:15">
      <c r="A1018" t="s">
        <v>4187</v>
      </c>
      <c r="B1018" t="s">
        <v>9836</v>
      </c>
      <c r="D1018" t="s">
        <v>18200</v>
      </c>
      <c r="E1018" t="s">
        <v>9231</v>
      </c>
      <c r="F1018" t="s">
        <v>17334</v>
      </c>
      <c r="G1018" t="s">
        <v>4215</v>
      </c>
      <c r="O1018" t="s">
        <v>18200</v>
      </c>
    </row>
    <row r="1019" spans="1:15">
      <c r="A1019" t="s">
        <v>4187</v>
      </c>
      <c r="B1019" t="s">
        <v>9837</v>
      </c>
      <c r="D1019" t="s">
        <v>18201</v>
      </c>
      <c r="E1019" t="s">
        <v>9231</v>
      </c>
      <c r="F1019" t="s">
        <v>17334</v>
      </c>
      <c r="G1019" t="s">
        <v>4215</v>
      </c>
      <c r="O1019" t="s">
        <v>18201</v>
      </c>
    </row>
    <row r="1020" spans="1:15">
      <c r="A1020" t="s">
        <v>4187</v>
      </c>
      <c r="B1020" t="s">
        <v>9838</v>
      </c>
      <c r="D1020" t="s">
        <v>18202</v>
      </c>
      <c r="E1020" t="s">
        <v>9231</v>
      </c>
      <c r="F1020" t="s">
        <v>17334</v>
      </c>
      <c r="G1020" t="s">
        <v>4215</v>
      </c>
      <c r="O1020" t="s">
        <v>18202</v>
      </c>
    </row>
    <row r="1021" spans="1:15">
      <c r="A1021" t="s">
        <v>4187</v>
      </c>
      <c r="B1021" t="s">
        <v>17392</v>
      </c>
      <c r="D1021" t="s">
        <v>18203</v>
      </c>
      <c r="E1021" t="s">
        <v>9231</v>
      </c>
      <c r="F1021" t="s">
        <v>17334</v>
      </c>
      <c r="G1021" t="s">
        <v>4215</v>
      </c>
      <c r="O1021" t="s">
        <v>18203</v>
      </c>
    </row>
    <row r="1022" spans="1:15">
      <c r="A1022" t="s">
        <v>4187</v>
      </c>
      <c r="B1022" t="s">
        <v>17393</v>
      </c>
      <c r="D1022" t="s">
        <v>18204</v>
      </c>
      <c r="E1022" t="s">
        <v>9231</v>
      </c>
      <c r="F1022" t="s">
        <v>17334</v>
      </c>
      <c r="G1022" t="s">
        <v>4215</v>
      </c>
      <c r="O1022" t="s">
        <v>18204</v>
      </c>
    </row>
    <row r="1023" spans="1:15">
      <c r="A1023" t="s">
        <v>4187</v>
      </c>
      <c r="B1023" t="s">
        <v>17394</v>
      </c>
      <c r="D1023" t="s">
        <v>18205</v>
      </c>
      <c r="E1023" t="s">
        <v>9231</v>
      </c>
      <c r="F1023" t="s">
        <v>17334</v>
      </c>
      <c r="G1023" t="s">
        <v>4215</v>
      </c>
      <c r="O1023" t="s">
        <v>18205</v>
      </c>
    </row>
    <row r="1024" spans="1:15">
      <c r="A1024" t="s">
        <v>4189</v>
      </c>
      <c r="B1024" t="s">
        <v>17468</v>
      </c>
      <c r="D1024" t="s">
        <v>18206</v>
      </c>
      <c r="E1024" t="s">
        <v>9215</v>
      </c>
      <c r="F1024" t="s">
        <v>17334</v>
      </c>
      <c r="G1024" t="s">
        <v>4215</v>
      </c>
      <c r="O1024" t="s">
        <v>18206</v>
      </c>
    </row>
    <row r="1025" spans="1:15">
      <c r="A1025" t="s">
        <v>4189</v>
      </c>
      <c r="B1025" t="s">
        <v>17469</v>
      </c>
      <c r="D1025" t="s">
        <v>18207</v>
      </c>
      <c r="E1025" t="s">
        <v>9215</v>
      </c>
      <c r="F1025" t="s">
        <v>17334</v>
      </c>
      <c r="G1025" t="s">
        <v>4215</v>
      </c>
      <c r="O1025" t="s">
        <v>18207</v>
      </c>
    </row>
    <row r="1026" spans="1:15">
      <c r="A1026" t="s">
        <v>4189</v>
      </c>
      <c r="B1026" t="s">
        <v>17470</v>
      </c>
      <c r="D1026" t="s">
        <v>18208</v>
      </c>
      <c r="E1026" t="s">
        <v>9215</v>
      </c>
      <c r="F1026" t="s">
        <v>17334</v>
      </c>
      <c r="G1026" t="s">
        <v>4215</v>
      </c>
      <c r="O1026" t="s">
        <v>18208</v>
      </c>
    </row>
    <row r="1027" spans="1:15">
      <c r="A1027" t="s">
        <v>4189</v>
      </c>
      <c r="B1027" t="s">
        <v>17471</v>
      </c>
      <c r="D1027" t="s">
        <v>18209</v>
      </c>
      <c r="E1027" t="s">
        <v>9215</v>
      </c>
      <c r="F1027" t="s">
        <v>17334</v>
      </c>
      <c r="G1027" t="s">
        <v>4215</v>
      </c>
      <c r="O1027" t="s">
        <v>18209</v>
      </c>
    </row>
    <row r="1028" spans="1:15">
      <c r="A1028" t="s">
        <v>4189</v>
      </c>
      <c r="B1028" t="s">
        <v>17472</v>
      </c>
      <c r="D1028" t="s">
        <v>18210</v>
      </c>
      <c r="E1028" t="s">
        <v>9215</v>
      </c>
      <c r="F1028" t="s">
        <v>17334</v>
      </c>
      <c r="G1028" t="s">
        <v>4215</v>
      </c>
      <c r="O1028" t="s">
        <v>18210</v>
      </c>
    </row>
    <row r="1029" spans="1:15">
      <c r="A1029" t="s">
        <v>4189</v>
      </c>
      <c r="B1029" t="s">
        <v>17473</v>
      </c>
      <c r="D1029" t="s">
        <v>18211</v>
      </c>
      <c r="E1029" t="s">
        <v>9215</v>
      </c>
      <c r="F1029" t="s">
        <v>17334</v>
      </c>
      <c r="G1029" t="s">
        <v>4215</v>
      </c>
      <c r="O1029" t="s">
        <v>18211</v>
      </c>
    </row>
    <row r="1030" spans="1:15">
      <c r="A1030" t="s">
        <v>4189</v>
      </c>
      <c r="B1030" t="s">
        <v>17474</v>
      </c>
      <c r="D1030" t="s">
        <v>18212</v>
      </c>
      <c r="E1030" t="s">
        <v>9215</v>
      </c>
      <c r="F1030" t="s">
        <v>17334</v>
      </c>
      <c r="G1030" t="s">
        <v>4215</v>
      </c>
      <c r="O1030" t="s">
        <v>18212</v>
      </c>
    </row>
    <row r="1031" spans="1:15">
      <c r="A1031" t="s">
        <v>4189</v>
      </c>
      <c r="B1031" t="s">
        <v>17475</v>
      </c>
      <c r="D1031" t="s">
        <v>18213</v>
      </c>
      <c r="E1031" t="s">
        <v>9215</v>
      </c>
      <c r="F1031" t="s">
        <v>17334</v>
      </c>
      <c r="G1031" t="s">
        <v>4215</v>
      </c>
      <c r="O1031" t="s">
        <v>18213</v>
      </c>
    </row>
    <row r="1032" spans="1:15">
      <c r="A1032" t="s">
        <v>4189</v>
      </c>
      <c r="B1032" t="s">
        <v>17476</v>
      </c>
      <c r="D1032" t="s">
        <v>18214</v>
      </c>
      <c r="E1032" t="s">
        <v>9215</v>
      </c>
      <c r="F1032" t="s">
        <v>17334</v>
      </c>
      <c r="G1032" t="s">
        <v>4215</v>
      </c>
      <c r="O1032" t="s">
        <v>18214</v>
      </c>
    </row>
    <row r="1033" spans="1:15">
      <c r="A1033" t="s">
        <v>4189</v>
      </c>
      <c r="B1033" t="s">
        <v>17477</v>
      </c>
      <c r="D1033" t="s">
        <v>18215</v>
      </c>
      <c r="E1033" t="s">
        <v>9215</v>
      </c>
      <c r="F1033" t="s">
        <v>17334</v>
      </c>
      <c r="G1033" t="s">
        <v>4215</v>
      </c>
      <c r="O1033" t="s">
        <v>18215</v>
      </c>
    </row>
    <row r="1034" spans="1:15">
      <c r="A1034" t="s">
        <v>4189</v>
      </c>
      <c r="B1034" t="s">
        <v>17478</v>
      </c>
      <c r="D1034" t="s">
        <v>18216</v>
      </c>
      <c r="E1034" t="s">
        <v>9215</v>
      </c>
      <c r="F1034" t="s">
        <v>17334</v>
      </c>
      <c r="G1034" t="s">
        <v>4215</v>
      </c>
      <c r="O1034" t="s">
        <v>18216</v>
      </c>
    </row>
    <row r="1035" spans="1:15">
      <c r="A1035" t="s">
        <v>4189</v>
      </c>
      <c r="B1035" t="s">
        <v>17479</v>
      </c>
      <c r="D1035" t="s">
        <v>18217</v>
      </c>
      <c r="E1035" t="s">
        <v>9215</v>
      </c>
      <c r="F1035" t="s">
        <v>17334</v>
      </c>
      <c r="G1035" t="s">
        <v>4215</v>
      </c>
      <c r="O1035" t="s">
        <v>18217</v>
      </c>
    </row>
    <row r="1036" spans="1:15">
      <c r="A1036" t="s">
        <v>4189</v>
      </c>
      <c r="B1036" t="s">
        <v>17480</v>
      </c>
      <c r="D1036" t="s">
        <v>18218</v>
      </c>
      <c r="E1036" t="s">
        <v>9215</v>
      </c>
      <c r="F1036" t="s">
        <v>17334</v>
      </c>
      <c r="G1036" t="s">
        <v>4215</v>
      </c>
      <c r="O1036" t="s">
        <v>18218</v>
      </c>
    </row>
    <row r="1037" spans="1:15">
      <c r="A1037" t="s">
        <v>4189</v>
      </c>
      <c r="B1037" t="s">
        <v>17481</v>
      </c>
      <c r="D1037" t="s">
        <v>18219</v>
      </c>
      <c r="E1037" t="s">
        <v>9215</v>
      </c>
      <c r="F1037" t="s">
        <v>17334</v>
      </c>
      <c r="G1037" t="s">
        <v>4215</v>
      </c>
      <c r="O1037" t="s">
        <v>18219</v>
      </c>
    </row>
    <row r="1038" spans="1:15">
      <c r="A1038" t="s">
        <v>4189</v>
      </c>
      <c r="B1038" t="s">
        <v>17482</v>
      </c>
      <c r="D1038" t="s">
        <v>18220</v>
      </c>
      <c r="E1038" t="s">
        <v>9215</v>
      </c>
      <c r="F1038" t="s">
        <v>17334</v>
      </c>
      <c r="G1038" t="s">
        <v>4215</v>
      </c>
      <c r="O1038" t="s">
        <v>18220</v>
      </c>
    </row>
    <row r="1039" spans="1:15">
      <c r="A1039" t="s">
        <v>4189</v>
      </c>
      <c r="B1039" t="s">
        <v>17483</v>
      </c>
      <c r="D1039" t="s">
        <v>18221</v>
      </c>
      <c r="E1039" t="s">
        <v>9215</v>
      </c>
      <c r="F1039" t="s">
        <v>17334</v>
      </c>
      <c r="G1039" t="s">
        <v>4215</v>
      </c>
      <c r="O1039" t="s">
        <v>18221</v>
      </c>
    </row>
    <row r="1040" spans="1:15">
      <c r="A1040" t="s">
        <v>4189</v>
      </c>
      <c r="B1040" t="s">
        <v>17484</v>
      </c>
      <c r="D1040" t="s">
        <v>18222</v>
      </c>
      <c r="E1040" t="s">
        <v>9215</v>
      </c>
      <c r="F1040" t="s">
        <v>17334</v>
      </c>
      <c r="G1040" t="s">
        <v>4215</v>
      </c>
      <c r="O1040" t="s">
        <v>18222</v>
      </c>
    </row>
    <row r="1041" spans="1:15">
      <c r="A1041" t="s">
        <v>4189</v>
      </c>
      <c r="B1041" t="s">
        <v>17485</v>
      </c>
      <c r="D1041" t="s">
        <v>18223</v>
      </c>
      <c r="E1041" t="s">
        <v>9215</v>
      </c>
      <c r="F1041" t="s">
        <v>17334</v>
      </c>
      <c r="G1041" t="s">
        <v>4215</v>
      </c>
      <c r="O1041" t="s">
        <v>18223</v>
      </c>
    </row>
    <row r="1042" spans="1:15">
      <c r="A1042" t="s">
        <v>4189</v>
      </c>
      <c r="B1042" t="s">
        <v>17486</v>
      </c>
      <c r="D1042" t="s">
        <v>18206</v>
      </c>
      <c r="E1042" t="s">
        <v>9223</v>
      </c>
      <c r="F1042" t="s">
        <v>17334</v>
      </c>
      <c r="G1042" t="s">
        <v>4215</v>
      </c>
      <c r="O1042" t="s">
        <v>18206</v>
      </c>
    </row>
    <row r="1043" spans="1:15">
      <c r="A1043" t="s">
        <v>4189</v>
      </c>
      <c r="B1043" t="s">
        <v>17487</v>
      </c>
      <c r="D1043" t="s">
        <v>18207</v>
      </c>
      <c r="E1043" t="s">
        <v>9223</v>
      </c>
      <c r="F1043" t="s">
        <v>17334</v>
      </c>
      <c r="G1043" t="s">
        <v>4215</v>
      </c>
      <c r="O1043" t="s">
        <v>18207</v>
      </c>
    </row>
    <row r="1044" spans="1:15">
      <c r="A1044" t="s">
        <v>4189</v>
      </c>
      <c r="B1044" t="s">
        <v>17488</v>
      </c>
      <c r="D1044" t="s">
        <v>18208</v>
      </c>
      <c r="E1044" t="s">
        <v>9223</v>
      </c>
      <c r="F1044" t="s">
        <v>17334</v>
      </c>
      <c r="G1044" t="s">
        <v>4215</v>
      </c>
      <c r="O1044" t="s">
        <v>18208</v>
      </c>
    </row>
    <row r="1045" spans="1:15">
      <c r="A1045" t="s">
        <v>4189</v>
      </c>
      <c r="B1045" t="s">
        <v>17489</v>
      </c>
      <c r="D1045" t="s">
        <v>18209</v>
      </c>
      <c r="E1045" t="s">
        <v>9223</v>
      </c>
      <c r="F1045" t="s">
        <v>17334</v>
      </c>
      <c r="G1045" t="s">
        <v>4215</v>
      </c>
      <c r="O1045" t="s">
        <v>18209</v>
      </c>
    </row>
    <row r="1046" spans="1:15">
      <c r="A1046" t="s">
        <v>4189</v>
      </c>
      <c r="B1046" t="s">
        <v>17490</v>
      </c>
      <c r="D1046" t="s">
        <v>18210</v>
      </c>
      <c r="E1046" t="s">
        <v>9223</v>
      </c>
      <c r="F1046" t="s">
        <v>17334</v>
      </c>
      <c r="G1046" t="s">
        <v>4215</v>
      </c>
      <c r="O1046" t="s">
        <v>18210</v>
      </c>
    </row>
    <row r="1047" spans="1:15">
      <c r="A1047" t="s">
        <v>4189</v>
      </c>
      <c r="B1047" t="s">
        <v>17491</v>
      </c>
      <c r="D1047" t="s">
        <v>18211</v>
      </c>
      <c r="E1047" t="s">
        <v>9223</v>
      </c>
      <c r="F1047" t="s">
        <v>17334</v>
      </c>
      <c r="G1047" t="s">
        <v>4215</v>
      </c>
      <c r="O1047" t="s">
        <v>18211</v>
      </c>
    </row>
    <row r="1048" spans="1:15">
      <c r="A1048" t="s">
        <v>4189</v>
      </c>
      <c r="B1048" t="s">
        <v>17492</v>
      </c>
      <c r="D1048" t="s">
        <v>18212</v>
      </c>
      <c r="E1048" t="s">
        <v>9223</v>
      </c>
      <c r="F1048" t="s">
        <v>17334</v>
      </c>
      <c r="G1048" t="s">
        <v>4215</v>
      </c>
      <c r="O1048" t="s">
        <v>18212</v>
      </c>
    </row>
    <row r="1049" spans="1:15">
      <c r="A1049" t="s">
        <v>4189</v>
      </c>
      <c r="B1049" t="s">
        <v>17493</v>
      </c>
      <c r="D1049" t="s">
        <v>18213</v>
      </c>
      <c r="E1049" t="s">
        <v>9223</v>
      </c>
      <c r="F1049" t="s">
        <v>17334</v>
      </c>
      <c r="G1049" t="s">
        <v>4215</v>
      </c>
      <c r="O1049" t="s">
        <v>18213</v>
      </c>
    </row>
    <row r="1050" spans="1:15">
      <c r="A1050" t="s">
        <v>4189</v>
      </c>
      <c r="B1050" t="s">
        <v>17494</v>
      </c>
      <c r="D1050" t="s">
        <v>18214</v>
      </c>
      <c r="E1050" t="s">
        <v>9223</v>
      </c>
      <c r="F1050" t="s">
        <v>17334</v>
      </c>
      <c r="G1050" t="s">
        <v>4215</v>
      </c>
      <c r="O1050" t="s">
        <v>18214</v>
      </c>
    </row>
    <row r="1051" spans="1:15">
      <c r="A1051" t="s">
        <v>4189</v>
      </c>
      <c r="B1051" t="s">
        <v>17495</v>
      </c>
      <c r="D1051" t="s">
        <v>18215</v>
      </c>
      <c r="E1051" t="s">
        <v>9223</v>
      </c>
      <c r="F1051" t="s">
        <v>17334</v>
      </c>
      <c r="G1051" t="s">
        <v>4215</v>
      </c>
      <c r="O1051" t="s">
        <v>18215</v>
      </c>
    </row>
    <row r="1052" spans="1:15">
      <c r="A1052" t="s">
        <v>4189</v>
      </c>
      <c r="B1052" t="s">
        <v>17496</v>
      </c>
      <c r="D1052" t="s">
        <v>18216</v>
      </c>
      <c r="E1052" t="s">
        <v>9223</v>
      </c>
      <c r="F1052" t="s">
        <v>17334</v>
      </c>
      <c r="G1052" t="s">
        <v>4215</v>
      </c>
      <c r="O1052" t="s">
        <v>18216</v>
      </c>
    </row>
    <row r="1053" spans="1:15">
      <c r="A1053" t="s">
        <v>4189</v>
      </c>
      <c r="B1053" t="s">
        <v>17497</v>
      </c>
      <c r="D1053" t="s">
        <v>18217</v>
      </c>
      <c r="E1053" t="s">
        <v>9223</v>
      </c>
      <c r="F1053" t="s">
        <v>17334</v>
      </c>
      <c r="G1053" t="s">
        <v>4215</v>
      </c>
      <c r="O1053" t="s">
        <v>18217</v>
      </c>
    </row>
    <row r="1054" spans="1:15">
      <c r="A1054" t="s">
        <v>4189</v>
      </c>
      <c r="B1054" t="s">
        <v>17498</v>
      </c>
      <c r="D1054" t="s">
        <v>18218</v>
      </c>
      <c r="E1054" t="s">
        <v>9223</v>
      </c>
      <c r="F1054" t="s">
        <v>17334</v>
      </c>
      <c r="G1054" t="s">
        <v>4215</v>
      </c>
      <c r="O1054" t="s">
        <v>18218</v>
      </c>
    </row>
    <row r="1055" spans="1:15">
      <c r="A1055" t="s">
        <v>4189</v>
      </c>
      <c r="B1055" t="s">
        <v>17499</v>
      </c>
      <c r="D1055" t="s">
        <v>18219</v>
      </c>
      <c r="E1055" t="s">
        <v>9223</v>
      </c>
      <c r="F1055" t="s">
        <v>17334</v>
      </c>
      <c r="G1055" t="s">
        <v>4215</v>
      </c>
      <c r="O1055" t="s">
        <v>18219</v>
      </c>
    </row>
    <row r="1056" spans="1:15">
      <c r="A1056" t="s">
        <v>4189</v>
      </c>
      <c r="B1056" t="s">
        <v>17500</v>
      </c>
      <c r="D1056" t="s">
        <v>18220</v>
      </c>
      <c r="E1056" t="s">
        <v>9223</v>
      </c>
      <c r="F1056" t="s">
        <v>17334</v>
      </c>
      <c r="G1056" t="s">
        <v>4215</v>
      </c>
      <c r="O1056" t="s">
        <v>18220</v>
      </c>
    </row>
    <row r="1057" spans="1:15">
      <c r="A1057" t="s">
        <v>4189</v>
      </c>
      <c r="B1057" t="s">
        <v>17501</v>
      </c>
      <c r="D1057" t="s">
        <v>18221</v>
      </c>
      <c r="E1057" t="s">
        <v>9223</v>
      </c>
      <c r="F1057" t="s">
        <v>17334</v>
      </c>
      <c r="G1057" t="s">
        <v>4215</v>
      </c>
      <c r="O1057" t="s">
        <v>18221</v>
      </c>
    </row>
    <row r="1058" spans="1:15">
      <c r="A1058" t="s">
        <v>4189</v>
      </c>
      <c r="B1058" t="s">
        <v>17502</v>
      </c>
      <c r="D1058" t="s">
        <v>18222</v>
      </c>
      <c r="E1058" t="s">
        <v>9223</v>
      </c>
      <c r="F1058" t="s">
        <v>17334</v>
      </c>
      <c r="G1058" t="s">
        <v>4215</v>
      </c>
      <c r="O1058" t="s">
        <v>18222</v>
      </c>
    </row>
    <row r="1059" spans="1:15">
      <c r="A1059" t="s">
        <v>4189</v>
      </c>
      <c r="B1059" t="s">
        <v>17503</v>
      </c>
      <c r="D1059" t="s">
        <v>18223</v>
      </c>
      <c r="E1059" t="s">
        <v>9223</v>
      </c>
      <c r="F1059" t="s">
        <v>17334</v>
      </c>
      <c r="G1059" t="s">
        <v>4215</v>
      </c>
      <c r="O1059" t="s">
        <v>18223</v>
      </c>
    </row>
    <row r="1060" spans="1:15">
      <c r="A1060" t="s">
        <v>4189</v>
      </c>
      <c r="B1060" t="s">
        <v>17504</v>
      </c>
      <c r="D1060" t="s">
        <v>18206</v>
      </c>
      <c r="E1060" t="s">
        <v>9231</v>
      </c>
      <c r="F1060" t="s">
        <v>17334</v>
      </c>
      <c r="G1060" t="s">
        <v>4215</v>
      </c>
      <c r="O1060" t="s">
        <v>18206</v>
      </c>
    </row>
    <row r="1061" spans="1:15">
      <c r="A1061" t="s">
        <v>4189</v>
      </c>
      <c r="B1061" t="s">
        <v>17505</v>
      </c>
      <c r="D1061" t="s">
        <v>18207</v>
      </c>
      <c r="E1061" t="s">
        <v>9231</v>
      </c>
      <c r="F1061" t="s">
        <v>17334</v>
      </c>
      <c r="G1061" t="s">
        <v>4215</v>
      </c>
      <c r="O1061" t="s">
        <v>18207</v>
      </c>
    </row>
    <row r="1062" spans="1:15">
      <c r="A1062" t="s">
        <v>4189</v>
      </c>
      <c r="B1062" t="s">
        <v>17506</v>
      </c>
      <c r="D1062" t="s">
        <v>18208</v>
      </c>
      <c r="E1062" t="s">
        <v>9231</v>
      </c>
      <c r="F1062" t="s">
        <v>17334</v>
      </c>
      <c r="G1062" t="s">
        <v>4215</v>
      </c>
      <c r="O1062" t="s">
        <v>18208</v>
      </c>
    </row>
    <row r="1063" spans="1:15">
      <c r="A1063" t="s">
        <v>4189</v>
      </c>
      <c r="B1063" t="s">
        <v>17507</v>
      </c>
      <c r="D1063" t="s">
        <v>18209</v>
      </c>
      <c r="E1063" t="s">
        <v>9231</v>
      </c>
      <c r="F1063" t="s">
        <v>17334</v>
      </c>
      <c r="G1063" t="s">
        <v>4215</v>
      </c>
      <c r="O1063" t="s">
        <v>18209</v>
      </c>
    </row>
    <row r="1064" spans="1:15">
      <c r="A1064" t="s">
        <v>4189</v>
      </c>
      <c r="B1064" t="s">
        <v>17508</v>
      </c>
      <c r="D1064" t="s">
        <v>18210</v>
      </c>
      <c r="E1064" t="s">
        <v>9231</v>
      </c>
      <c r="F1064" t="s">
        <v>17334</v>
      </c>
      <c r="G1064" t="s">
        <v>4215</v>
      </c>
      <c r="O1064" t="s">
        <v>18210</v>
      </c>
    </row>
    <row r="1065" spans="1:15">
      <c r="A1065" t="s">
        <v>4189</v>
      </c>
      <c r="B1065" t="s">
        <v>17509</v>
      </c>
      <c r="D1065" t="s">
        <v>18211</v>
      </c>
      <c r="E1065" t="s">
        <v>9231</v>
      </c>
      <c r="F1065" t="s">
        <v>17334</v>
      </c>
      <c r="G1065" t="s">
        <v>4215</v>
      </c>
      <c r="O1065" t="s">
        <v>18211</v>
      </c>
    </row>
    <row r="1066" spans="1:15">
      <c r="A1066" t="s">
        <v>4189</v>
      </c>
      <c r="B1066" t="s">
        <v>17510</v>
      </c>
      <c r="D1066" t="s">
        <v>18212</v>
      </c>
      <c r="E1066" t="s">
        <v>9231</v>
      </c>
      <c r="F1066" t="s">
        <v>17334</v>
      </c>
      <c r="G1066" t="s">
        <v>4215</v>
      </c>
      <c r="O1066" t="s">
        <v>18212</v>
      </c>
    </row>
    <row r="1067" spans="1:15">
      <c r="A1067" t="s">
        <v>4189</v>
      </c>
      <c r="B1067" t="s">
        <v>17511</v>
      </c>
      <c r="D1067" t="s">
        <v>18213</v>
      </c>
      <c r="E1067" t="s">
        <v>9231</v>
      </c>
      <c r="F1067" t="s">
        <v>17334</v>
      </c>
      <c r="G1067" t="s">
        <v>4215</v>
      </c>
      <c r="O1067" t="s">
        <v>18213</v>
      </c>
    </row>
    <row r="1068" spans="1:15">
      <c r="A1068" t="s">
        <v>4189</v>
      </c>
      <c r="B1068" t="s">
        <v>17512</v>
      </c>
      <c r="D1068" t="s">
        <v>18214</v>
      </c>
      <c r="E1068" t="s">
        <v>9231</v>
      </c>
      <c r="F1068" t="s">
        <v>17334</v>
      </c>
      <c r="G1068" t="s">
        <v>4215</v>
      </c>
      <c r="O1068" t="s">
        <v>18214</v>
      </c>
    </row>
    <row r="1069" spans="1:15">
      <c r="A1069" t="s">
        <v>4189</v>
      </c>
      <c r="B1069" t="s">
        <v>17513</v>
      </c>
      <c r="D1069" t="s">
        <v>18215</v>
      </c>
      <c r="E1069" t="s">
        <v>9231</v>
      </c>
      <c r="F1069" t="s">
        <v>17334</v>
      </c>
      <c r="G1069" t="s">
        <v>4215</v>
      </c>
      <c r="O1069" t="s">
        <v>18215</v>
      </c>
    </row>
    <row r="1070" spans="1:15">
      <c r="A1070" t="s">
        <v>4189</v>
      </c>
      <c r="B1070" t="s">
        <v>17514</v>
      </c>
      <c r="D1070" t="s">
        <v>18216</v>
      </c>
      <c r="E1070" t="s">
        <v>9231</v>
      </c>
      <c r="F1070" t="s">
        <v>17334</v>
      </c>
      <c r="G1070" t="s">
        <v>4215</v>
      </c>
      <c r="O1070" t="s">
        <v>18216</v>
      </c>
    </row>
    <row r="1071" spans="1:15">
      <c r="A1071" t="s">
        <v>4189</v>
      </c>
      <c r="B1071" t="s">
        <v>17515</v>
      </c>
      <c r="D1071" t="s">
        <v>18217</v>
      </c>
      <c r="E1071" t="s">
        <v>9231</v>
      </c>
      <c r="F1071" t="s">
        <v>17334</v>
      </c>
      <c r="G1071" t="s">
        <v>4215</v>
      </c>
      <c r="O1071" t="s">
        <v>18217</v>
      </c>
    </row>
    <row r="1072" spans="1:15">
      <c r="A1072" t="s">
        <v>4189</v>
      </c>
      <c r="B1072" t="s">
        <v>17516</v>
      </c>
      <c r="D1072" t="s">
        <v>18218</v>
      </c>
      <c r="E1072" t="s">
        <v>9231</v>
      </c>
      <c r="F1072" t="s">
        <v>17334</v>
      </c>
      <c r="G1072" t="s">
        <v>4215</v>
      </c>
      <c r="O1072" t="s">
        <v>18218</v>
      </c>
    </row>
    <row r="1073" spans="1:15">
      <c r="A1073" t="s">
        <v>4189</v>
      </c>
      <c r="B1073" t="s">
        <v>17517</v>
      </c>
      <c r="D1073" t="s">
        <v>18219</v>
      </c>
      <c r="E1073" t="s">
        <v>9231</v>
      </c>
      <c r="F1073" t="s">
        <v>17334</v>
      </c>
      <c r="G1073" t="s">
        <v>4215</v>
      </c>
      <c r="O1073" t="s">
        <v>18219</v>
      </c>
    </row>
    <row r="1074" spans="1:15">
      <c r="A1074" t="s">
        <v>4189</v>
      </c>
      <c r="B1074" t="s">
        <v>17518</v>
      </c>
      <c r="D1074" t="s">
        <v>18220</v>
      </c>
      <c r="E1074" t="s">
        <v>9231</v>
      </c>
      <c r="F1074" t="s">
        <v>17334</v>
      </c>
      <c r="G1074" t="s">
        <v>4215</v>
      </c>
      <c r="O1074" t="s">
        <v>18220</v>
      </c>
    </row>
    <row r="1075" spans="1:15">
      <c r="A1075" t="s">
        <v>4189</v>
      </c>
      <c r="B1075" t="s">
        <v>17519</v>
      </c>
      <c r="D1075" t="s">
        <v>18221</v>
      </c>
      <c r="E1075" t="s">
        <v>9231</v>
      </c>
      <c r="F1075" t="s">
        <v>17334</v>
      </c>
      <c r="G1075" t="s">
        <v>4215</v>
      </c>
      <c r="O1075" t="s">
        <v>18221</v>
      </c>
    </row>
    <row r="1076" spans="1:15">
      <c r="A1076" t="s">
        <v>4189</v>
      </c>
      <c r="B1076" t="s">
        <v>17520</v>
      </c>
      <c r="D1076" t="s">
        <v>18222</v>
      </c>
      <c r="E1076" t="s">
        <v>9231</v>
      </c>
      <c r="F1076" t="s">
        <v>17334</v>
      </c>
      <c r="G1076" t="s">
        <v>4215</v>
      </c>
      <c r="O1076" t="s">
        <v>18222</v>
      </c>
    </row>
    <row r="1077" spans="1:15">
      <c r="A1077" t="s">
        <v>4189</v>
      </c>
      <c r="B1077" t="s">
        <v>17521</v>
      </c>
      <c r="D1077" t="s">
        <v>18223</v>
      </c>
      <c r="E1077" t="s">
        <v>9231</v>
      </c>
      <c r="F1077" t="s">
        <v>17334</v>
      </c>
      <c r="G1077" t="s">
        <v>4215</v>
      </c>
      <c r="O1077" t="s">
        <v>18223</v>
      </c>
    </row>
    <row r="1078" spans="1:15">
      <c r="A1078" t="s">
        <v>4189</v>
      </c>
      <c r="B1078" t="s">
        <v>17522</v>
      </c>
      <c r="D1078" t="s">
        <v>18224</v>
      </c>
      <c r="E1078" t="s">
        <v>9215</v>
      </c>
      <c r="F1078" t="s">
        <v>17334</v>
      </c>
      <c r="G1078" t="s">
        <v>4215</v>
      </c>
      <c r="O1078" t="s">
        <v>18224</v>
      </c>
    </row>
    <row r="1079" spans="1:15">
      <c r="A1079" t="s">
        <v>4189</v>
      </c>
      <c r="B1079" t="s">
        <v>17523</v>
      </c>
      <c r="D1079" t="s">
        <v>18225</v>
      </c>
      <c r="E1079" t="s">
        <v>9215</v>
      </c>
      <c r="F1079" t="s">
        <v>17334</v>
      </c>
      <c r="G1079" t="s">
        <v>4215</v>
      </c>
      <c r="O1079" t="s">
        <v>18225</v>
      </c>
    </row>
    <row r="1080" spans="1:15">
      <c r="A1080" t="s">
        <v>4189</v>
      </c>
      <c r="B1080" t="s">
        <v>17524</v>
      </c>
      <c r="D1080" t="s">
        <v>18226</v>
      </c>
      <c r="E1080" t="s">
        <v>9215</v>
      </c>
      <c r="F1080" t="s">
        <v>17334</v>
      </c>
      <c r="G1080" t="s">
        <v>4215</v>
      </c>
      <c r="O1080" t="s">
        <v>18226</v>
      </c>
    </row>
    <row r="1081" spans="1:15">
      <c r="A1081" t="s">
        <v>4189</v>
      </c>
      <c r="B1081" t="s">
        <v>17525</v>
      </c>
      <c r="D1081" t="s">
        <v>18227</v>
      </c>
      <c r="E1081" t="s">
        <v>9215</v>
      </c>
      <c r="F1081" t="s">
        <v>17334</v>
      </c>
      <c r="G1081" t="s">
        <v>4215</v>
      </c>
      <c r="O1081" t="s">
        <v>18227</v>
      </c>
    </row>
    <row r="1082" spans="1:15">
      <c r="A1082" t="s">
        <v>4189</v>
      </c>
      <c r="B1082" t="s">
        <v>17526</v>
      </c>
      <c r="D1082" t="s">
        <v>18228</v>
      </c>
      <c r="E1082" t="s">
        <v>9215</v>
      </c>
      <c r="F1082" t="s">
        <v>17334</v>
      </c>
      <c r="G1082" t="s">
        <v>4215</v>
      </c>
      <c r="O1082" t="s">
        <v>18228</v>
      </c>
    </row>
    <row r="1083" spans="1:15">
      <c r="A1083" t="s">
        <v>4189</v>
      </c>
      <c r="B1083" t="s">
        <v>17527</v>
      </c>
      <c r="D1083" t="s">
        <v>18229</v>
      </c>
      <c r="E1083" t="s">
        <v>9215</v>
      </c>
      <c r="F1083" t="s">
        <v>17334</v>
      </c>
      <c r="G1083" t="s">
        <v>4215</v>
      </c>
      <c r="O1083" t="s">
        <v>18229</v>
      </c>
    </row>
    <row r="1084" spans="1:15">
      <c r="A1084" t="s">
        <v>4189</v>
      </c>
      <c r="B1084" t="s">
        <v>17528</v>
      </c>
      <c r="D1084" t="s">
        <v>18230</v>
      </c>
      <c r="E1084" t="s">
        <v>9215</v>
      </c>
      <c r="F1084" t="s">
        <v>17334</v>
      </c>
      <c r="G1084" t="s">
        <v>4215</v>
      </c>
      <c r="O1084" t="s">
        <v>18230</v>
      </c>
    </row>
    <row r="1085" spans="1:15">
      <c r="A1085" t="s">
        <v>4189</v>
      </c>
      <c r="B1085" t="s">
        <v>17529</v>
      </c>
      <c r="D1085" t="s">
        <v>18231</v>
      </c>
      <c r="E1085" t="s">
        <v>9215</v>
      </c>
      <c r="F1085" t="s">
        <v>17334</v>
      </c>
      <c r="G1085" t="s">
        <v>4215</v>
      </c>
      <c r="O1085" t="s">
        <v>18231</v>
      </c>
    </row>
    <row r="1086" spans="1:15">
      <c r="A1086" t="s">
        <v>4189</v>
      </c>
      <c r="B1086" t="s">
        <v>17530</v>
      </c>
      <c r="D1086" t="s">
        <v>18232</v>
      </c>
      <c r="E1086" t="s">
        <v>9215</v>
      </c>
      <c r="F1086" t="s">
        <v>17334</v>
      </c>
      <c r="G1086" t="s">
        <v>4215</v>
      </c>
      <c r="O1086" t="s">
        <v>18232</v>
      </c>
    </row>
    <row r="1087" spans="1:15">
      <c r="A1087" t="s">
        <v>4189</v>
      </c>
      <c r="B1087" t="s">
        <v>17531</v>
      </c>
      <c r="D1087" t="s">
        <v>18233</v>
      </c>
      <c r="E1087" t="s">
        <v>9215</v>
      </c>
      <c r="F1087" t="s">
        <v>17334</v>
      </c>
      <c r="G1087" t="s">
        <v>4215</v>
      </c>
      <c r="O1087" t="s">
        <v>18233</v>
      </c>
    </row>
    <row r="1088" spans="1:15">
      <c r="A1088" t="s">
        <v>4189</v>
      </c>
      <c r="B1088" t="s">
        <v>17532</v>
      </c>
      <c r="D1088" t="s">
        <v>18234</v>
      </c>
      <c r="E1088" t="s">
        <v>9215</v>
      </c>
      <c r="F1088" t="s">
        <v>17334</v>
      </c>
      <c r="G1088" t="s">
        <v>4215</v>
      </c>
      <c r="O1088" t="s">
        <v>18234</v>
      </c>
    </row>
    <row r="1089" spans="1:15">
      <c r="A1089" t="s">
        <v>4189</v>
      </c>
      <c r="B1089" t="s">
        <v>17533</v>
      </c>
      <c r="D1089" t="s">
        <v>18235</v>
      </c>
      <c r="E1089" t="s">
        <v>9215</v>
      </c>
      <c r="F1089" t="s">
        <v>17334</v>
      </c>
      <c r="G1089" t="s">
        <v>4215</v>
      </c>
      <c r="O1089" t="s">
        <v>18235</v>
      </c>
    </row>
    <row r="1090" spans="1:15">
      <c r="A1090" t="s">
        <v>4189</v>
      </c>
      <c r="B1090" t="s">
        <v>17534</v>
      </c>
      <c r="D1090" t="s">
        <v>18236</v>
      </c>
      <c r="E1090" t="s">
        <v>9215</v>
      </c>
      <c r="F1090" t="s">
        <v>17334</v>
      </c>
      <c r="G1090" t="s">
        <v>4215</v>
      </c>
      <c r="O1090" t="s">
        <v>18236</v>
      </c>
    </row>
    <row r="1091" spans="1:15">
      <c r="A1091" t="s">
        <v>4189</v>
      </c>
      <c r="B1091" t="s">
        <v>17535</v>
      </c>
      <c r="D1091" t="s">
        <v>18237</v>
      </c>
      <c r="E1091" t="s">
        <v>9215</v>
      </c>
      <c r="F1091" t="s">
        <v>17334</v>
      </c>
      <c r="G1091" t="s">
        <v>4215</v>
      </c>
      <c r="O1091" t="s">
        <v>18237</v>
      </c>
    </row>
    <row r="1092" spans="1:15">
      <c r="A1092" t="s">
        <v>4189</v>
      </c>
      <c r="B1092" t="s">
        <v>17536</v>
      </c>
      <c r="D1092" t="s">
        <v>18238</v>
      </c>
      <c r="E1092" t="s">
        <v>9215</v>
      </c>
      <c r="F1092" t="s">
        <v>17334</v>
      </c>
      <c r="G1092" t="s">
        <v>4215</v>
      </c>
      <c r="O1092" t="s">
        <v>18238</v>
      </c>
    </row>
    <row r="1093" spans="1:15">
      <c r="A1093" t="s">
        <v>4189</v>
      </c>
      <c r="B1093" t="s">
        <v>17537</v>
      </c>
      <c r="D1093" t="s">
        <v>18239</v>
      </c>
      <c r="E1093" t="s">
        <v>9215</v>
      </c>
      <c r="F1093" t="s">
        <v>17334</v>
      </c>
      <c r="G1093" t="s">
        <v>4215</v>
      </c>
      <c r="O1093" t="s">
        <v>18239</v>
      </c>
    </row>
    <row r="1094" spans="1:15">
      <c r="A1094" t="s">
        <v>4189</v>
      </c>
      <c r="B1094" t="s">
        <v>17538</v>
      </c>
      <c r="D1094" t="s">
        <v>18240</v>
      </c>
      <c r="E1094" t="s">
        <v>9215</v>
      </c>
      <c r="F1094" t="s">
        <v>17334</v>
      </c>
      <c r="G1094" t="s">
        <v>4215</v>
      </c>
      <c r="O1094" t="s">
        <v>18240</v>
      </c>
    </row>
    <row r="1095" spans="1:15">
      <c r="A1095" t="s">
        <v>4189</v>
      </c>
      <c r="B1095" t="s">
        <v>17539</v>
      </c>
      <c r="D1095" t="s">
        <v>18241</v>
      </c>
      <c r="E1095" t="s">
        <v>9215</v>
      </c>
      <c r="F1095" t="s">
        <v>17334</v>
      </c>
      <c r="G1095" t="s">
        <v>4215</v>
      </c>
      <c r="O1095" t="s">
        <v>18241</v>
      </c>
    </row>
    <row r="1096" spans="1:15">
      <c r="A1096" t="s">
        <v>4189</v>
      </c>
      <c r="B1096" t="s">
        <v>17540</v>
      </c>
      <c r="D1096" t="s">
        <v>18242</v>
      </c>
      <c r="E1096" t="s">
        <v>9215</v>
      </c>
      <c r="F1096" t="s">
        <v>17334</v>
      </c>
      <c r="G1096" t="s">
        <v>4215</v>
      </c>
      <c r="O1096" t="s">
        <v>18242</v>
      </c>
    </row>
    <row r="1097" spans="1:15">
      <c r="A1097" t="s">
        <v>4189</v>
      </c>
      <c r="B1097" t="s">
        <v>17541</v>
      </c>
      <c r="D1097" t="s">
        <v>18243</v>
      </c>
      <c r="E1097" t="s">
        <v>9215</v>
      </c>
      <c r="F1097" t="s">
        <v>17334</v>
      </c>
      <c r="G1097" t="s">
        <v>4215</v>
      </c>
      <c r="O1097" t="s">
        <v>18243</v>
      </c>
    </row>
    <row r="1098" spans="1:15">
      <c r="A1098" t="s">
        <v>4189</v>
      </c>
      <c r="B1098" t="s">
        <v>17542</v>
      </c>
      <c r="D1098" t="s">
        <v>18244</v>
      </c>
      <c r="E1098" t="s">
        <v>9215</v>
      </c>
      <c r="F1098" t="s">
        <v>17334</v>
      </c>
      <c r="G1098" t="s">
        <v>4215</v>
      </c>
      <c r="O1098" t="s">
        <v>18244</v>
      </c>
    </row>
    <row r="1099" spans="1:15">
      <c r="A1099" t="s">
        <v>4189</v>
      </c>
      <c r="B1099" t="s">
        <v>17543</v>
      </c>
      <c r="D1099" t="s">
        <v>18245</v>
      </c>
      <c r="E1099" t="s">
        <v>9215</v>
      </c>
      <c r="F1099" t="s">
        <v>17334</v>
      </c>
      <c r="G1099" t="s">
        <v>4215</v>
      </c>
      <c r="O1099" t="s">
        <v>18245</v>
      </c>
    </row>
    <row r="1100" spans="1:15">
      <c r="A1100" t="s">
        <v>4189</v>
      </c>
      <c r="B1100" t="s">
        <v>17544</v>
      </c>
      <c r="D1100" t="s">
        <v>18246</v>
      </c>
      <c r="E1100" t="s">
        <v>9215</v>
      </c>
      <c r="F1100" t="s">
        <v>17334</v>
      </c>
      <c r="G1100" t="s">
        <v>4215</v>
      </c>
      <c r="O1100" t="s">
        <v>18246</v>
      </c>
    </row>
    <row r="1101" spans="1:15">
      <c r="A1101" t="s">
        <v>4189</v>
      </c>
      <c r="B1101" t="s">
        <v>17545</v>
      </c>
      <c r="D1101" t="s">
        <v>18247</v>
      </c>
      <c r="E1101" t="s">
        <v>9215</v>
      </c>
      <c r="F1101" t="s">
        <v>17334</v>
      </c>
      <c r="G1101" t="s">
        <v>4215</v>
      </c>
      <c r="O1101" t="s">
        <v>18247</v>
      </c>
    </row>
    <row r="1102" spans="1:15">
      <c r="A1102" t="s">
        <v>4189</v>
      </c>
      <c r="B1102" t="s">
        <v>17546</v>
      </c>
      <c r="D1102" t="s">
        <v>18248</v>
      </c>
      <c r="E1102" t="s">
        <v>9215</v>
      </c>
      <c r="F1102" t="s">
        <v>17334</v>
      </c>
      <c r="G1102" t="s">
        <v>4215</v>
      </c>
      <c r="O1102" t="s">
        <v>18248</v>
      </c>
    </row>
    <row r="1103" spans="1:15">
      <c r="A1103" t="s">
        <v>4189</v>
      </c>
      <c r="B1103" t="s">
        <v>17547</v>
      </c>
      <c r="D1103" t="s">
        <v>18249</v>
      </c>
      <c r="E1103" t="s">
        <v>9215</v>
      </c>
      <c r="F1103" t="s">
        <v>17334</v>
      </c>
      <c r="G1103" t="s">
        <v>4215</v>
      </c>
      <c r="O1103" t="s">
        <v>18249</v>
      </c>
    </row>
    <row r="1104" spans="1:15">
      <c r="A1104" t="s">
        <v>4189</v>
      </c>
      <c r="B1104" t="s">
        <v>17548</v>
      </c>
      <c r="D1104" t="s">
        <v>18250</v>
      </c>
      <c r="E1104" t="s">
        <v>9215</v>
      </c>
      <c r="F1104" t="s">
        <v>17334</v>
      </c>
      <c r="G1104" t="s">
        <v>4215</v>
      </c>
      <c r="O1104" t="s">
        <v>18250</v>
      </c>
    </row>
    <row r="1105" spans="1:15">
      <c r="A1105" t="s">
        <v>4189</v>
      </c>
      <c r="B1105" t="s">
        <v>17549</v>
      </c>
      <c r="D1105" t="s">
        <v>18251</v>
      </c>
      <c r="E1105" t="s">
        <v>9215</v>
      </c>
      <c r="F1105" t="s">
        <v>17334</v>
      </c>
      <c r="G1105" t="s">
        <v>4215</v>
      </c>
      <c r="O1105" t="s">
        <v>18251</v>
      </c>
    </row>
    <row r="1106" spans="1:15">
      <c r="A1106" t="s">
        <v>4189</v>
      </c>
      <c r="B1106" t="s">
        <v>17550</v>
      </c>
      <c r="D1106" t="s">
        <v>18252</v>
      </c>
      <c r="E1106" t="s">
        <v>9215</v>
      </c>
      <c r="F1106" t="s">
        <v>17334</v>
      </c>
      <c r="G1106" t="s">
        <v>4215</v>
      </c>
      <c r="O1106" t="s">
        <v>18252</v>
      </c>
    </row>
    <row r="1107" spans="1:15">
      <c r="A1107" t="s">
        <v>4189</v>
      </c>
      <c r="B1107" t="s">
        <v>17551</v>
      </c>
      <c r="D1107" t="s">
        <v>18253</v>
      </c>
      <c r="E1107" t="s">
        <v>9215</v>
      </c>
      <c r="F1107" t="s">
        <v>17334</v>
      </c>
      <c r="G1107" t="s">
        <v>4215</v>
      </c>
      <c r="O1107" t="s">
        <v>18253</v>
      </c>
    </row>
    <row r="1108" spans="1:15">
      <c r="A1108" t="s">
        <v>4189</v>
      </c>
      <c r="B1108" t="s">
        <v>17552</v>
      </c>
      <c r="D1108" t="s">
        <v>18254</v>
      </c>
      <c r="E1108" t="s">
        <v>9215</v>
      </c>
      <c r="F1108" t="s">
        <v>17334</v>
      </c>
      <c r="G1108" t="s">
        <v>4215</v>
      </c>
      <c r="O1108" t="s">
        <v>18254</v>
      </c>
    </row>
    <row r="1109" spans="1:15">
      <c r="A1109" t="s">
        <v>4189</v>
      </c>
      <c r="B1109" t="s">
        <v>17553</v>
      </c>
      <c r="D1109" t="s">
        <v>18255</v>
      </c>
      <c r="E1109" t="s">
        <v>9215</v>
      </c>
      <c r="F1109" t="s">
        <v>17334</v>
      </c>
      <c r="G1109" t="s">
        <v>4215</v>
      </c>
      <c r="O1109" t="s">
        <v>18255</v>
      </c>
    </row>
    <row r="1110" spans="1:15">
      <c r="A1110" t="s">
        <v>4189</v>
      </c>
      <c r="B1110" t="s">
        <v>17554</v>
      </c>
      <c r="D1110" t="s">
        <v>18256</v>
      </c>
      <c r="E1110" t="s">
        <v>9215</v>
      </c>
      <c r="F1110" t="s">
        <v>17334</v>
      </c>
      <c r="G1110" t="s">
        <v>4215</v>
      </c>
      <c r="O1110" t="s">
        <v>18256</v>
      </c>
    </row>
    <row r="1111" spans="1:15">
      <c r="A1111" t="s">
        <v>4189</v>
      </c>
      <c r="B1111" t="s">
        <v>17555</v>
      </c>
      <c r="D1111" t="s">
        <v>18257</v>
      </c>
      <c r="E1111" t="s">
        <v>9215</v>
      </c>
      <c r="F1111" t="s">
        <v>17334</v>
      </c>
      <c r="G1111" t="s">
        <v>4215</v>
      </c>
      <c r="O1111" t="s">
        <v>18257</v>
      </c>
    </row>
    <row r="1112" spans="1:15">
      <c r="A1112" t="s">
        <v>4189</v>
      </c>
      <c r="B1112" t="s">
        <v>17556</v>
      </c>
      <c r="D1112" t="s">
        <v>18258</v>
      </c>
      <c r="E1112" t="s">
        <v>9215</v>
      </c>
      <c r="F1112" t="s">
        <v>17334</v>
      </c>
      <c r="G1112" t="s">
        <v>4215</v>
      </c>
      <c r="O1112" t="s">
        <v>18258</v>
      </c>
    </row>
    <row r="1113" spans="1:15">
      <c r="A1113" t="s">
        <v>4189</v>
      </c>
      <c r="B1113" t="s">
        <v>17557</v>
      </c>
      <c r="D1113" t="s">
        <v>18259</v>
      </c>
      <c r="E1113" t="s">
        <v>9215</v>
      </c>
      <c r="F1113" t="s">
        <v>17334</v>
      </c>
      <c r="G1113" t="s">
        <v>4215</v>
      </c>
      <c r="O1113" t="s">
        <v>18259</v>
      </c>
    </row>
    <row r="1114" spans="1:15">
      <c r="A1114" t="s">
        <v>17335</v>
      </c>
      <c r="B1114" t="s">
        <v>17558</v>
      </c>
      <c r="D1114" t="s">
        <v>18260</v>
      </c>
      <c r="E1114" t="s">
        <v>4215</v>
      </c>
      <c r="F1114" t="s">
        <v>17334</v>
      </c>
      <c r="G1114">
        <v>3</v>
      </c>
      <c r="O1114" t="s">
        <v>18260</v>
      </c>
    </row>
    <row r="1115" spans="1:15">
      <c r="A1115" t="s">
        <v>17335</v>
      </c>
      <c r="B1115" t="s">
        <v>17559</v>
      </c>
      <c r="D1115" t="s">
        <v>18261</v>
      </c>
      <c r="E1115" t="s">
        <v>4215</v>
      </c>
      <c r="F1115" t="s">
        <v>17334</v>
      </c>
      <c r="G1115">
        <v>3</v>
      </c>
      <c r="O1115" t="s">
        <v>18261</v>
      </c>
    </row>
    <row r="1116" spans="1:15">
      <c r="A1116" t="s">
        <v>17335</v>
      </c>
      <c r="B1116" t="s">
        <v>17560</v>
      </c>
      <c r="D1116" t="s">
        <v>18262</v>
      </c>
      <c r="E1116" t="s">
        <v>4215</v>
      </c>
      <c r="F1116" t="s">
        <v>17334</v>
      </c>
      <c r="G1116">
        <v>3</v>
      </c>
      <c r="O1116" t="s">
        <v>18262</v>
      </c>
    </row>
    <row r="1117" spans="1:15">
      <c r="A1117" t="s">
        <v>17335</v>
      </c>
      <c r="B1117" t="s">
        <v>17561</v>
      </c>
      <c r="D1117" t="s">
        <v>18263</v>
      </c>
      <c r="E1117" t="s">
        <v>4215</v>
      </c>
      <c r="F1117" t="s">
        <v>17334</v>
      </c>
      <c r="G1117">
        <v>3</v>
      </c>
      <c r="O1117" t="s">
        <v>18263</v>
      </c>
    </row>
    <row r="1118" spans="1:15">
      <c r="A1118" t="s">
        <v>17335</v>
      </c>
      <c r="B1118" t="s">
        <v>17562</v>
      </c>
      <c r="D1118" t="s">
        <v>18264</v>
      </c>
      <c r="E1118" t="s">
        <v>4215</v>
      </c>
      <c r="F1118" t="s">
        <v>17334</v>
      </c>
      <c r="G1118">
        <v>3</v>
      </c>
      <c r="O1118" t="s">
        <v>18264</v>
      </c>
    </row>
    <row r="1119" spans="1:15">
      <c r="A1119" t="s">
        <v>17335</v>
      </c>
      <c r="B1119" t="s">
        <v>17563</v>
      </c>
      <c r="D1119" t="s">
        <v>18265</v>
      </c>
      <c r="E1119" t="s">
        <v>4215</v>
      </c>
      <c r="F1119" t="s">
        <v>17334</v>
      </c>
      <c r="G1119">
        <v>3</v>
      </c>
      <c r="O1119" t="s">
        <v>18265</v>
      </c>
    </row>
    <row r="1120" spans="1:15">
      <c r="A1120" t="s">
        <v>17335</v>
      </c>
      <c r="B1120" t="s">
        <v>17564</v>
      </c>
      <c r="D1120" t="s">
        <v>18266</v>
      </c>
      <c r="E1120" t="s">
        <v>4215</v>
      </c>
      <c r="F1120" t="s">
        <v>17334</v>
      </c>
      <c r="G1120">
        <v>3</v>
      </c>
      <c r="O1120" t="s">
        <v>18266</v>
      </c>
    </row>
    <row r="1121" spans="1:15">
      <c r="A1121" t="s">
        <v>17335</v>
      </c>
      <c r="B1121" t="s">
        <v>17565</v>
      </c>
      <c r="D1121" t="s">
        <v>18267</v>
      </c>
      <c r="E1121" t="s">
        <v>4215</v>
      </c>
      <c r="F1121" t="s">
        <v>17334</v>
      </c>
      <c r="G1121">
        <v>3</v>
      </c>
      <c r="O1121" t="s">
        <v>18267</v>
      </c>
    </row>
    <row r="1122" spans="1:15">
      <c r="A1122" t="s">
        <v>17335</v>
      </c>
      <c r="B1122" t="s">
        <v>17566</v>
      </c>
      <c r="D1122" t="s">
        <v>18268</v>
      </c>
      <c r="E1122" t="s">
        <v>4215</v>
      </c>
      <c r="F1122" t="s">
        <v>17334</v>
      </c>
      <c r="G1122">
        <v>3</v>
      </c>
      <c r="O1122" t="s">
        <v>18268</v>
      </c>
    </row>
    <row r="1123" spans="1:15">
      <c r="A1123" t="s">
        <v>17335</v>
      </c>
      <c r="B1123" t="s">
        <v>17567</v>
      </c>
      <c r="D1123" t="s">
        <v>18269</v>
      </c>
      <c r="E1123" t="s">
        <v>4215</v>
      </c>
      <c r="F1123" t="s">
        <v>17334</v>
      </c>
      <c r="G1123">
        <v>3</v>
      </c>
      <c r="O1123" t="s">
        <v>18269</v>
      </c>
    </row>
    <row r="1124" spans="1:15">
      <c r="A1124" t="s">
        <v>17335</v>
      </c>
      <c r="B1124" t="s">
        <v>17568</v>
      </c>
      <c r="D1124" t="s">
        <v>18270</v>
      </c>
      <c r="E1124" t="s">
        <v>4215</v>
      </c>
      <c r="F1124" t="s">
        <v>17334</v>
      </c>
      <c r="G1124">
        <v>3</v>
      </c>
      <c r="O1124" t="s">
        <v>18270</v>
      </c>
    </row>
    <row r="1125" spans="1:15">
      <c r="A1125" t="s">
        <v>17335</v>
      </c>
      <c r="B1125" t="s">
        <v>17569</v>
      </c>
      <c r="D1125" t="s">
        <v>18271</v>
      </c>
      <c r="E1125" t="s">
        <v>4215</v>
      </c>
      <c r="F1125" t="s">
        <v>17334</v>
      </c>
      <c r="G1125">
        <v>3</v>
      </c>
      <c r="O1125" t="s">
        <v>18271</v>
      </c>
    </row>
    <row r="1126" spans="1:15">
      <c r="A1126" t="s">
        <v>17335</v>
      </c>
      <c r="B1126" t="s">
        <v>17570</v>
      </c>
      <c r="D1126" t="s">
        <v>18272</v>
      </c>
      <c r="E1126" t="s">
        <v>4215</v>
      </c>
      <c r="F1126" t="s">
        <v>17334</v>
      </c>
      <c r="G1126">
        <v>3</v>
      </c>
      <c r="O1126" t="s">
        <v>18272</v>
      </c>
    </row>
    <row r="1127" spans="1:15">
      <c r="A1127" t="s">
        <v>17335</v>
      </c>
      <c r="B1127" t="s">
        <v>17571</v>
      </c>
      <c r="D1127" t="s">
        <v>18273</v>
      </c>
      <c r="E1127" t="s">
        <v>4215</v>
      </c>
      <c r="F1127" t="s">
        <v>17334</v>
      </c>
      <c r="G1127">
        <v>3</v>
      </c>
      <c r="O1127" t="s">
        <v>18273</v>
      </c>
    </row>
    <row r="1128" spans="1:15">
      <c r="A1128" t="s">
        <v>17335</v>
      </c>
      <c r="B1128" t="s">
        <v>17572</v>
      </c>
      <c r="D1128" t="s">
        <v>18274</v>
      </c>
      <c r="E1128" t="s">
        <v>4215</v>
      </c>
      <c r="F1128" t="s">
        <v>17334</v>
      </c>
      <c r="G1128">
        <v>3</v>
      </c>
      <c r="O1128" t="s">
        <v>18274</v>
      </c>
    </row>
    <row r="1129" spans="1:15">
      <c r="A1129" t="s">
        <v>17335</v>
      </c>
      <c r="B1129" t="s">
        <v>17573</v>
      </c>
      <c r="D1129" t="s">
        <v>18275</v>
      </c>
      <c r="E1129" t="s">
        <v>4215</v>
      </c>
      <c r="F1129" t="s">
        <v>17334</v>
      </c>
      <c r="G1129">
        <v>3</v>
      </c>
      <c r="O1129" t="s">
        <v>18275</v>
      </c>
    </row>
    <row r="1130" spans="1:15">
      <c r="A1130" t="s">
        <v>17335</v>
      </c>
      <c r="B1130" t="s">
        <v>17574</v>
      </c>
      <c r="D1130" t="s">
        <v>18276</v>
      </c>
      <c r="E1130" t="s">
        <v>4215</v>
      </c>
      <c r="F1130" t="s">
        <v>17334</v>
      </c>
      <c r="G1130">
        <v>3</v>
      </c>
      <c r="O1130" t="s">
        <v>18276</v>
      </c>
    </row>
    <row r="1131" spans="1:15">
      <c r="A1131" t="s">
        <v>17335</v>
      </c>
      <c r="B1131" t="s">
        <v>17575</v>
      </c>
      <c r="D1131" t="s">
        <v>18277</v>
      </c>
      <c r="E1131" t="s">
        <v>4215</v>
      </c>
      <c r="F1131" t="s">
        <v>17334</v>
      </c>
      <c r="G1131">
        <v>3</v>
      </c>
      <c r="O1131" t="s">
        <v>18277</v>
      </c>
    </row>
    <row r="1132" spans="1:15">
      <c r="A1132" t="s">
        <v>17335</v>
      </c>
      <c r="B1132" t="s">
        <v>17576</v>
      </c>
      <c r="D1132" t="s">
        <v>18278</v>
      </c>
      <c r="E1132" t="s">
        <v>4215</v>
      </c>
      <c r="F1132" t="s">
        <v>17334</v>
      </c>
      <c r="G1132">
        <v>3</v>
      </c>
      <c r="O1132" t="s">
        <v>18278</v>
      </c>
    </row>
    <row r="1133" spans="1:15">
      <c r="A1133" t="s">
        <v>17335</v>
      </c>
      <c r="B1133" t="s">
        <v>17577</v>
      </c>
      <c r="D1133" t="s">
        <v>18279</v>
      </c>
      <c r="E1133" t="s">
        <v>4215</v>
      </c>
      <c r="F1133" t="s">
        <v>17334</v>
      </c>
      <c r="G1133">
        <v>3</v>
      </c>
      <c r="O1133" t="s">
        <v>18279</v>
      </c>
    </row>
    <row r="1134" spans="1:15">
      <c r="A1134" t="s">
        <v>17335</v>
      </c>
      <c r="B1134" t="s">
        <v>17578</v>
      </c>
      <c r="D1134" t="s">
        <v>18280</v>
      </c>
      <c r="E1134" t="s">
        <v>4215</v>
      </c>
      <c r="F1134" t="s">
        <v>17334</v>
      </c>
      <c r="G1134">
        <v>3</v>
      </c>
      <c r="O1134" t="s">
        <v>18280</v>
      </c>
    </row>
    <row r="1135" spans="1:15">
      <c r="A1135" t="s">
        <v>17335</v>
      </c>
      <c r="B1135" t="s">
        <v>17579</v>
      </c>
      <c r="D1135" t="s">
        <v>18281</v>
      </c>
      <c r="E1135" t="s">
        <v>4215</v>
      </c>
      <c r="F1135" t="s">
        <v>17334</v>
      </c>
      <c r="G1135">
        <v>3</v>
      </c>
      <c r="O1135" t="s">
        <v>18281</v>
      </c>
    </row>
    <row r="1136" spans="1:15">
      <c r="A1136" t="s">
        <v>17335</v>
      </c>
      <c r="B1136" t="s">
        <v>17580</v>
      </c>
      <c r="D1136" t="s">
        <v>18282</v>
      </c>
      <c r="E1136" t="s">
        <v>4215</v>
      </c>
      <c r="F1136" t="s">
        <v>17334</v>
      </c>
      <c r="G1136">
        <v>3</v>
      </c>
      <c r="O1136" t="s">
        <v>18282</v>
      </c>
    </row>
    <row r="1137" spans="1:15">
      <c r="A1137" t="s">
        <v>17335</v>
      </c>
      <c r="B1137" t="s">
        <v>17581</v>
      </c>
      <c r="D1137" t="s">
        <v>18283</v>
      </c>
      <c r="E1137" t="s">
        <v>4215</v>
      </c>
      <c r="F1137" t="s">
        <v>17334</v>
      </c>
      <c r="G1137">
        <v>3</v>
      </c>
      <c r="O1137" t="s">
        <v>18283</v>
      </c>
    </row>
    <row r="1138" spans="1:15">
      <c r="A1138" t="s">
        <v>17335</v>
      </c>
      <c r="B1138" t="s">
        <v>17582</v>
      </c>
      <c r="D1138" t="s">
        <v>18284</v>
      </c>
      <c r="E1138" t="s">
        <v>4215</v>
      </c>
      <c r="F1138" t="s">
        <v>17334</v>
      </c>
      <c r="G1138">
        <v>3</v>
      </c>
      <c r="O1138" t="s">
        <v>18284</v>
      </c>
    </row>
    <row r="1139" spans="1:15">
      <c r="A1139" t="s">
        <v>17335</v>
      </c>
      <c r="B1139" t="s">
        <v>17583</v>
      </c>
      <c r="D1139" t="s">
        <v>18285</v>
      </c>
      <c r="E1139" t="s">
        <v>4215</v>
      </c>
      <c r="F1139" t="s">
        <v>17334</v>
      </c>
      <c r="G1139">
        <v>3</v>
      </c>
      <c r="O1139" t="s">
        <v>18285</v>
      </c>
    </row>
    <row r="1140" spans="1:15">
      <c r="A1140" t="s">
        <v>17335</v>
      </c>
      <c r="B1140" t="s">
        <v>17584</v>
      </c>
      <c r="D1140" t="s">
        <v>18286</v>
      </c>
      <c r="E1140" t="s">
        <v>4215</v>
      </c>
      <c r="F1140" t="s">
        <v>17334</v>
      </c>
      <c r="G1140">
        <v>3</v>
      </c>
      <c r="O1140" t="s">
        <v>18286</v>
      </c>
    </row>
    <row r="1141" spans="1:15">
      <c r="A1141" t="s">
        <v>17335</v>
      </c>
      <c r="B1141" t="s">
        <v>17585</v>
      </c>
      <c r="D1141" t="s">
        <v>18287</v>
      </c>
      <c r="E1141" t="s">
        <v>4215</v>
      </c>
      <c r="F1141" t="s">
        <v>17334</v>
      </c>
      <c r="G1141">
        <v>3</v>
      </c>
      <c r="O1141" t="s">
        <v>18287</v>
      </c>
    </row>
    <row r="1142" spans="1:15">
      <c r="A1142" t="s">
        <v>17335</v>
      </c>
      <c r="B1142" t="s">
        <v>17586</v>
      </c>
      <c r="D1142" t="s">
        <v>18288</v>
      </c>
      <c r="E1142" t="s">
        <v>4215</v>
      </c>
      <c r="F1142" t="s">
        <v>17334</v>
      </c>
      <c r="G1142">
        <v>3</v>
      </c>
      <c r="O1142" t="s">
        <v>18288</v>
      </c>
    </row>
    <row r="1143" spans="1:15">
      <c r="A1143" t="s">
        <v>17335</v>
      </c>
      <c r="B1143" t="s">
        <v>17587</v>
      </c>
      <c r="D1143" t="s">
        <v>18289</v>
      </c>
      <c r="E1143" t="s">
        <v>4215</v>
      </c>
      <c r="F1143" t="s">
        <v>17334</v>
      </c>
      <c r="G1143">
        <v>3</v>
      </c>
      <c r="O1143" t="s">
        <v>18289</v>
      </c>
    </row>
    <row r="1144" spans="1:15">
      <c r="A1144" t="s">
        <v>17335</v>
      </c>
      <c r="B1144" t="s">
        <v>17588</v>
      </c>
      <c r="D1144" t="s">
        <v>18290</v>
      </c>
      <c r="E1144" t="s">
        <v>4215</v>
      </c>
      <c r="F1144" t="s">
        <v>17334</v>
      </c>
      <c r="G1144">
        <v>3</v>
      </c>
      <c r="O1144" t="s">
        <v>18290</v>
      </c>
    </row>
    <row r="1145" spans="1:15">
      <c r="A1145" t="s">
        <v>17335</v>
      </c>
      <c r="B1145" t="s">
        <v>17589</v>
      </c>
      <c r="D1145" t="s">
        <v>18291</v>
      </c>
      <c r="E1145" t="s">
        <v>4215</v>
      </c>
      <c r="F1145" t="s">
        <v>17334</v>
      </c>
      <c r="G1145">
        <v>3</v>
      </c>
      <c r="O1145" t="s">
        <v>18291</v>
      </c>
    </row>
    <row r="1146" spans="1:15">
      <c r="A1146" t="s">
        <v>17339</v>
      </c>
      <c r="B1146" t="s">
        <v>17644</v>
      </c>
      <c r="D1146" t="s">
        <v>18292</v>
      </c>
      <c r="E1146" t="s">
        <v>4215</v>
      </c>
      <c r="F1146" t="s">
        <v>17334</v>
      </c>
      <c r="G1146">
        <v>3</v>
      </c>
      <c r="O1146" t="s">
        <v>18292</v>
      </c>
    </row>
    <row r="1147" spans="1:15">
      <c r="A1147" t="s">
        <v>17339</v>
      </c>
      <c r="B1147" t="s">
        <v>17645</v>
      </c>
      <c r="D1147" t="s">
        <v>18293</v>
      </c>
      <c r="E1147" t="s">
        <v>4215</v>
      </c>
      <c r="F1147" t="s">
        <v>17334</v>
      </c>
      <c r="G1147">
        <v>3</v>
      </c>
      <c r="O1147" t="s">
        <v>18293</v>
      </c>
    </row>
    <row r="1148" spans="1:15">
      <c r="A1148" t="s">
        <v>17339</v>
      </c>
      <c r="B1148" t="s">
        <v>17646</v>
      </c>
      <c r="D1148" t="s">
        <v>18294</v>
      </c>
      <c r="E1148" t="s">
        <v>4215</v>
      </c>
      <c r="F1148" t="s">
        <v>17334</v>
      </c>
      <c r="G1148">
        <v>3</v>
      </c>
      <c r="O1148" t="s">
        <v>18294</v>
      </c>
    </row>
    <row r="1149" spans="1:15">
      <c r="A1149" t="s">
        <v>17339</v>
      </c>
      <c r="B1149" t="s">
        <v>17647</v>
      </c>
      <c r="D1149" t="s">
        <v>18295</v>
      </c>
      <c r="E1149" t="s">
        <v>4215</v>
      </c>
      <c r="F1149" t="s">
        <v>17334</v>
      </c>
      <c r="G1149">
        <v>3</v>
      </c>
      <c r="O1149" t="s">
        <v>18295</v>
      </c>
    </row>
    <row r="1150" spans="1:15">
      <c r="A1150" t="s">
        <v>17339</v>
      </c>
      <c r="B1150" t="s">
        <v>17648</v>
      </c>
      <c r="D1150" t="s">
        <v>18296</v>
      </c>
      <c r="E1150" t="s">
        <v>4215</v>
      </c>
      <c r="F1150" t="s">
        <v>17334</v>
      </c>
      <c r="G1150">
        <v>3</v>
      </c>
      <c r="O1150" t="s">
        <v>18296</v>
      </c>
    </row>
    <row r="1151" spans="1:15">
      <c r="A1151" t="s">
        <v>17339</v>
      </c>
      <c r="B1151" t="s">
        <v>17649</v>
      </c>
      <c r="D1151" t="s">
        <v>18297</v>
      </c>
      <c r="E1151" t="s">
        <v>4215</v>
      </c>
      <c r="F1151" t="s">
        <v>17334</v>
      </c>
      <c r="G1151">
        <v>3</v>
      </c>
      <c r="O1151" t="s">
        <v>18297</v>
      </c>
    </row>
    <row r="1152" spans="1:15">
      <c r="A1152" t="s">
        <v>17339</v>
      </c>
      <c r="B1152" t="s">
        <v>17650</v>
      </c>
      <c r="D1152" t="s">
        <v>18298</v>
      </c>
      <c r="E1152" t="s">
        <v>4215</v>
      </c>
      <c r="F1152" t="s">
        <v>17334</v>
      </c>
      <c r="G1152">
        <v>3</v>
      </c>
      <c r="O1152" t="s">
        <v>18298</v>
      </c>
    </row>
    <row r="1153" spans="1:15">
      <c r="A1153" t="s">
        <v>17339</v>
      </c>
      <c r="B1153" t="s">
        <v>17651</v>
      </c>
      <c r="D1153" t="s">
        <v>18299</v>
      </c>
      <c r="E1153" t="s">
        <v>4215</v>
      </c>
      <c r="F1153" t="s">
        <v>17334</v>
      </c>
      <c r="G1153">
        <v>3</v>
      </c>
      <c r="O1153" t="s">
        <v>18299</v>
      </c>
    </row>
    <row r="1154" spans="1:15">
      <c r="A1154" t="s">
        <v>17339</v>
      </c>
      <c r="B1154" t="s">
        <v>17652</v>
      </c>
      <c r="D1154" t="s">
        <v>18300</v>
      </c>
      <c r="E1154" t="s">
        <v>4215</v>
      </c>
      <c r="F1154" t="s">
        <v>17334</v>
      </c>
      <c r="G1154">
        <v>3</v>
      </c>
      <c r="O1154" t="s">
        <v>18300</v>
      </c>
    </row>
    <row r="1155" spans="1:15">
      <c r="A1155" t="s">
        <v>17339</v>
      </c>
      <c r="B1155" t="s">
        <v>17653</v>
      </c>
      <c r="D1155" t="s">
        <v>18301</v>
      </c>
      <c r="E1155" t="s">
        <v>4215</v>
      </c>
      <c r="F1155" t="s">
        <v>17334</v>
      </c>
      <c r="G1155">
        <v>3</v>
      </c>
      <c r="O1155" t="s">
        <v>18301</v>
      </c>
    </row>
    <row r="1156" spans="1:15">
      <c r="A1156" t="s">
        <v>17339</v>
      </c>
      <c r="B1156" t="s">
        <v>17654</v>
      </c>
      <c r="D1156" t="s">
        <v>18302</v>
      </c>
      <c r="E1156" t="s">
        <v>4215</v>
      </c>
      <c r="F1156" t="s">
        <v>17334</v>
      </c>
      <c r="G1156">
        <v>3</v>
      </c>
      <c r="O1156" t="s">
        <v>18302</v>
      </c>
    </row>
    <row r="1157" spans="1:15">
      <c r="A1157" t="s">
        <v>17339</v>
      </c>
      <c r="B1157" t="s">
        <v>17655</v>
      </c>
      <c r="D1157" t="s">
        <v>18303</v>
      </c>
      <c r="E1157" t="s">
        <v>4215</v>
      </c>
      <c r="F1157" t="s">
        <v>17334</v>
      </c>
      <c r="G1157">
        <v>3</v>
      </c>
      <c r="O1157" t="s">
        <v>18303</v>
      </c>
    </row>
    <row r="1158" spans="1:15">
      <c r="A1158" t="s">
        <v>17339</v>
      </c>
      <c r="B1158" t="s">
        <v>17656</v>
      </c>
      <c r="D1158" t="s">
        <v>18304</v>
      </c>
      <c r="E1158" t="s">
        <v>4215</v>
      </c>
      <c r="F1158" t="s">
        <v>17334</v>
      </c>
      <c r="G1158">
        <v>3</v>
      </c>
      <c r="O1158" t="s">
        <v>18304</v>
      </c>
    </row>
    <row r="1159" spans="1:15">
      <c r="A1159" t="s">
        <v>17339</v>
      </c>
      <c r="B1159" t="s">
        <v>17657</v>
      </c>
      <c r="D1159" t="s">
        <v>18305</v>
      </c>
      <c r="E1159" t="s">
        <v>4215</v>
      </c>
      <c r="F1159" t="s">
        <v>17334</v>
      </c>
      <c r="G1159">
        <v>3</v>
      </c>
      <c r="O1159" t="s">
        <v>18305</v>
      </c>
    </row>
    <row r="1160" spans="1:15">
      <c r="A1160" t="s">
        <v>17339</v>
      </c>
      <c r="B1160" t="s">
        <v>17658</v>
      </c>
      <c r="D1160" t="s">
        <v>18306</v>
      </c>
      <c r="E1160" t="s">
        <v>4215</v>
      </c>
      <c r="F1160" t="s">
        <v>17334</v>
      </c>
      <c r="G1160">
        <v>3</v>
      </c>
      <c r="O1160" t="s">
        <v>18306</v>
      </c>
    </row>
    <row r="1161" spans="1:15">
      <c r="A1161" t="s">
        <v>17339</v>
      </c>
      <c r="B1161" t="s">
        <v>17659</v>
      </c>
      <c r="D1161" t="s">
        <v>18307</v>
      </c>
      <c r="E1161" t="s">
        <v>4215</v>
      </c>
      <c r="F1161" t="s">
        <v>17334</v>
      </c>
      <c r="G1161">
        <v>3</v>
      </c>
      <c r="O1161" t="s">
        <v>18307</v>
      </c>
    </row>
    <row r="1162" spans="1:15">
      <c r="A1162" t="s">
        <v>17339</v>
      </c>
      <c r="B1162" t="s">
        <v>17660</v>
      </c>
      <c r="D1162" t="s">
        <v>18308</v>
      </c>
      <c r="E1162" t="s">
        <v>4215</v>
      </c>
      <c r="F1162" t="s">
        <v>17334</v>
      </c>
      <c r="G1162">
        <v>3</v>
      </c>
      <c r="O1162" t="s">
        <v>18308</v>
      </c>
    </row>
    <row r="1163" spans="1:15">
      <c r="A1163" t="s">
        <v>17339</v>
      </c>
      <c r="B1163" t="s">
        <v>17661</v>
      </c>
      <c r="D1163" t="s">
        <v>18309</v>
      </c>
      <c r="E1163" t="s">
        <v>4215</v>
      </c>
      <c r="F1163" t="s">
        <v>17334</v>
      </c>
      <c r="G1163">
        <v>3</v>
      </c>
      <c r="O1163" t="s">
        <v>18309</v>
      </c>
    </row>
    <row r="1164" spans="1:15">
      <c r="A1164" t="s">
        <v>17339</v>
      </c>
      <c r="B1164" t="s">
        <v>17662</v>
      </c>
      <c r="D1164" t="s">
        <v>18310</v>
      </c>
      <c r="E1164" t="s">
        <v>4215</v>
      </c>
      <c r="F1164" t="s">
        <v>17334</v>
      </c>
      <c r="G1164">
        <v>3</v>
      </c>
      <c r="O1164" t="s">
        <v>18310</v>
      </c>
    </row>
    <row r="1165" spans="1:15">
      <c r="A1165" t="s">
        <v>17339</v>
      </c>
      <c r="B1165" t="s">
        <v>17663</v>
      </c>
      <c r="D1165" t="s">
        <v>18311</v>
      </c>
      <c r="E1165" t="s">
        <v>4215</v>
      </c>
      <c r="F1165" t="s">
        <v>17334</v>
      </c>
      <c r="G1165">
        <v>3</v>
      </c>
      <c r="O1165" t="s">
        <v>18311</v>
      </c>
    </row>
    <row r="1166" spans="1:15">
      <c r="A1166" t="s">
        <v>17339</v>
      </c>
      <c r="B1166" t="s">
        <v>17664</v>
      </c>
      <c r="D1166" t="s">
        <v>18312</v>
      </c>
      <c r="E1166" t="s">
        <v>4215</v>
      </c>
      <c r="F1166" t="s">
        <v>17334</v>
      </c>
      <c r="G1166">
        <v>3</v>
      </c>
      <c r="O1166" t="s">
        <v>18312</v>
      </c>
    </row>
    <row r="1167" spans="1:15">
      <c r="A1167" t="s">
        <v>17339</v>
      </c>
      <c r="B1167" t="s">
        <v>17665</v>
      </c>
      <c r="D1167" t="s">
        <v>18313</v>
      </c>
      <c r="E1167" t="s">
        <v>4215</v>
      </c>
      <c r="F1167" t="s">
        <v>17334</v>
      </c>
      <c r="G1167">
        <v>3</v>
      </c>
      <c r="O1167" t="s">
        <v>18313</v>
      </c>
    </row>
    <row r="1168" spans="1:15">
      <c r="A1168" t="s">
        <v>17339</v>
      </c>
      <c r="B1168" t="s">
        <v>17666</v>
      </c>
      <c r="D1168" t="s">
        <v>18314</v>
      </c>
      <c r="E1168" t="s">
        <v>4215</v>
      </c>
      <c r="F1168" t="s">
        <v>17334</v>
      </c>
      <c r="G1168">
        <v>3</v>
      </c>
      <c r="O1168" t="s">
        <v>18314</v>
      </c>
    </row>
    <row r="1169" spans="1:15">
      <c r="A1169" t="s">
        <v>17339</v>
      </c>
      <c r="B1169" t="s">
        <v>17667</v>
      </c>
      <c r="D1169" t="s">
        <v>18315</v>
      </c>
      <c r="E1169" t="s">
        <v>4215</v>
      </c>
      <c r="F1169" t="s">
        <v>17334</v>
      </c>
      <c r="G1169">
        <v>3</v>
      </c>
      <c r="O1169" t="s">
        <v>18315</v>
      </c>
    </row>
    <row r="1170" spans="1:15">
      <c r="A1170" t="s">
        <v>17339</v>
      </c>
      <c r="B1170" t="s">
        <v>17668</v>
      </c>
      <c r="D1170" t="s">
        <v>18316</v>
      </c>
      <c r="E1170" t="s">
        <v>4215</v>
      </c>
      <c r="F1170" t="s">
        <v>17334</v>
      </c>
      <c r="G1170">
        <v>3</v>
      </c>
      <c r="O1170" t="s">
        <v>18316</v>
      </c>
    </row>
    <row r="1171" spans="1:15">
      <c r="A1171" t="s">
        <v>17339</v>
      </c>
      <c r="B1171" t="s">
        <v>17669</v>
      </c>
      <c r="D1171" t="s">
        <v>18317</v>
      </c>
      <c r="E1171" t="s">
        <v>4215</v>
      </c>
      <c r="F1171" t="s">
        <v>17334</v>
      </c>
      <c r="G1171">
        <v>3</v>
      </c>
      <c r="O1171" t="s">
        <v>18317</v>
      </c>
    </row>
    <row r="1172" spans="1:15">
      <c r="A1172" t="s">
        <v>17339</v>
      </c>
      <c r="B1172" t="s">
        <v>17670</v>
      </c>
      <c r="D1172" t="s">
        <v>18318</v>
      </c>
      <c r="E1172" t="s">
        <v>4215</v>
      </c>
      <c r="F1172" t="s">
        <v>17334</v>
      </c>
      <c r="G1172">
        <v>3</v>
      </c>
      <c r="O1172" t="s">
        <v>18318</v>
      </c>
    </row>
    <row r="1173" spans="1:15">
      <c r="A1173" t="s">
        <v>17339</v>
      </c>
      <c r="B1173" t="s">
        <v>17671</v>
      </c>
      <c r="D1173" t="s">
        <v>18319</v>
      </c>
      <c r="E1173" t="s">
        <v>4215</v>
      </c>
      <c r="F1173" t="s">
        <v>17334</v>
      </c>
      <c r="G1173">
        <v>3</v>
      </c>
      <c r="O1173" t="s">
        <v>18319</v>
      </c>
    </row>
    <row r="1174" spans="1:15">
      <c r="A1174" t="s">
        <v>17339</v>
      </c>
      <c r="B1174" t="s">
        <v>17672</v>
      </c>
      <c r="D1174" t="s">
        <v>18320</v>
      </c>
      <c r="E1174" t="s">
        <v>4215</v>
      </c>
      <c r="F1174" t="s">
        <v>17334</v>
      </c>
      <c r="G1174">
        <v>3</v>
      </c>
      <c r="O1174" t="s">
        <v>18320</v>
      </c>
    </row>
    <row r="1175" spans="1:15">
      <c r="A1175" t="s">
        <v>17339</v>
      </c>
      <c r="B1175" t="s">
        <v>17673</v>
      </c>
      <c r="D1175" t="s">
        <v>18321</v>
      </c>
      <c r="E1175" t="s">
        <v>4215</v>
      </c>
      <c r="F1175" t="s">
        <v>17334</v>
      </c>
      <c r="G1175">
        <v>3</v>
      </c>
      <c r="O1175" t="s">
        <v>18321</v>
      </c>
    </row>
    <row r="1176" spans="1:15">
      <c r="A1176" t="s">
        <v>17339</v>
      </c>
      <c r="B1176" t="s">
        <v>17674</v>
      </c>
      <c r="D1176" t="s">
        <v>18322</v>
      </c>
      <c r="E1176" t="s">
        <v>4215</v>
      </c>
      <c r="F1176" t="s">
        <v>17334</v>
      </c>
      <c r="G1176">
        <v>3</v>
      </c>
      <c r="O1176" t="s">
        <v>18322</v>
      </c>
    </row>
    <row r="1177" spans="1:15">
      <c r="A1177" t="s">
        <v>17339</v>
      </c>
      <c r="B1177" t="s">
        <v>17675</v>
      </c>
      <c r="D1177" t="s">
        <v>18323</v>
      </c>
      <c r="E1177" t="s">
        <v>4215</v>
      </c>
      <c r="F1177" t="s">
        <v>17334</v>
      </c>
      <c r="G1177">
        <v>3</v>
      </c>
      <c r="O1177" t="s">
        <v>18323</v>
      </c>
    </row>
    <row r="1178" spans="1:15">
      <c r="A1178" t="s">
        <v>17339</v>
      </c>
      <c r="B1178" t="s">
        <v>17676</v>
      </c>
      <c r="D1178" t="s">
        <v>18324</v>
      </c>
      <c r="E1178" t="s">
        <v>4215</v>
      </c>
      <c r="F1178" t="s">
        <v>17334</v>
      </c>
      <c r="G1178">
        <v>3</v>
      </c>
      <c r="O1178" t="s">
        <v>18324</v>
      </c>
    </row>
    <row r="1179" spans="1:15">
      <c r="A1179" t="s">
        <v>17339</v>
      </c>
      <c r="B1179" t="s">
        <v>17677</v>
      </c>
      <c r="D1179" t="s">
        <v>18325</v>
      </c>
      <c r="E1179" t="s">
        <v>4215</v>
      </c>
      <c r="F1179" t="s">
        <v>17334</v>
      </c>
      <c r="G1179">
        <v>3</v>
      </c>
      <c r="O1179" t="s">
        <v>18325</v>
      </c>
    </row>
    <row r="1180" spans="1:15">
      <c r="A1180" t="s">
        <v>17339</v>
      </c>
      <c r="B1180" t="s">
        <v>17678</v>
      </c>
      <c r="D1180" t="s">
        <v>18326</v>
      </c>
      <c r="E1180" t="s">
        <v>4215</v>
      </c>
      <c r="F1180" t="s">
        <v>17334</v>
      </c>
      <c r="G1180">
        <v>3</v>
      </c>
      <c r="O1180" t="s">
        <v>18326</v>
      </c>
    </row>
    <row r="1181" spans="1:15">
      <c r="A1181" t="s">
        <v>17339</v>
      </c>
      <c r="B1181" t="s">
        <v>17679</v>
      </c>
      <c r="D1181" t="s">
        <v>18327</v>
      </c>
      <c r="E1181" t="s">
        <v>4215</v>
      </c>
      <c r="F1181" t="s">
        <v>17334</v>
      </c>
      <c r="G1181">
        <v>3</v>
      </c>
      <c r="O1181" t="s">
        <v>18327</v>
      </c>
    </row>
    <row r="1182" spans="1:15">
      <c r="A1182" t="s">
        <v>17339</v>
      </c>
      <c r="B1182" t="s">
        <v>17680</v>
      </c>
      <c r="D1182" t="s">
        <v>18328</v>
      </c>
      <c r="E1182" t="s">
        <v>4215</v>
      </c>
      <c r="F1182" t="s">
        <v>17334</v>
      </c>
      <c r="G1182">
        <v>3</v>
      </c>
      <c r="O1182" t="s">
        <v>18328</v>
      </c>
    </row>
    <row r="1183" spans="1:15">
      <c r="A1183" t="s">
        <v>17339</v>
      </c>
      <c r="B1183" t="s">
        <v>17681</v>
      </c>
      <c r="D1183" t="s">
        <v>18329</v>
      </c>
      <c r="E1183" t="s">
        <v>4215</v>
      </c>
      <c r="F1183" t="s">
        <v>17334</v>
      </c>
      <c r="G1183">
        <v>3</v>
      </c>
      <c r="O1183" t="s">
        <v>18329</v>
      </c>
    </row>
    <row r="1184" spans="1:15">
      <c r="A1184" t="s">
        <v>17339</v>
      </c>
      <c r="B1184" t="s">
        <v>17682</v>
      </c>
      <c r="D1184" t="s">
        <v>18330</v>
      </c>
      <c r="E1184" t="s">
        <v>4215</v>
      </c>
      <c r="F1184" t="s">
        <v>17334</v>
      </c>
      <c r="G1184">
        <v>3</v>
      </c>
      <c r="O1184" t="s">
        <v>18330</v>
      </c>
    </row>
    <row r="1185" spans="1:15">
      <c r="A1185" t="s">
        <v>17339</v>
      </c>
      <c r="B1185" t="s">
        <v>17683</v>
      </c>
      <c r="D1185" t="s">
        <v>18331</v>
      </c>
      <c r="E1185" t="s">
        <v>4215</v>
      </c>
      <c r="F1185" t="s">
        <v>17334</v>
      </c>
      <c r="G1185">
        <v>3</v>
      </c>
      <c r="O1185" t="s">
        <v>18331</v>
      </c>
    </row>
    <row r="1186" spans="1:15">
      <c r="A1186" t="s">
        <v>17339</v>
      </c>
      <c r="B1186" t="s">
        <v>17684</v>
      </c>
      <c r="D1186" t="s">
        <v>18332</v>
      </c>
      <c r="E1186" t="s">
        <v>4215</v>
      </c>
      <c r="F1186" t="s">
        <v>17334</v>
      </c>
      <c r="G1186">
        <v>3</v>
      </c>
      <c r="O1186" t="s">
        <v>18332</v>
      </c>
    </row>
    <row r="1187" spans="1:15">
      <c r="A1187" t="s">
        <v>17339</v>
      </c>
      <c r="B1187" t="s">
        <v>17685</v>
      </c>
      <c r="D1187" t="s">
        <v>18333</v>
      </c>
      <c r="E1187" t="s">
        <v>4215</v>
      </c>
      <c r="F1187" t="s">
        <v>17334</v>
      </c>
      <c r="G1187">
        <v>3</v>
      </c>
      <c r="O1187" t="s">
        <v>18333</v>
      </c>
    </row>
    <row r="1188" spans="1:15">
      <c r="A1188" t="s">
        <v>17339</v>
      </c>
      <c r="B1188" t="s">
        <v>17686</v>
      </c>
      <c r="D1188" t="s">
        <v>18334</v>
      </c>
      <c r="E1188" t="s">
        <v>4215</v>
      </c>
      <c r="F1188" t="s">
        <v>17334</v>
      </c>
      <c r="G1188">
        <v>3</v>
      </c>
      <c r="O1188" t="s">
        <v>18334</v>
      </c>
    </row>
    <row r="1189" spans="1:15">
      <c r="A1189" t="s">
        <v>17339</v>
      </c>
      <c r="B1189" t="s">
        <v>17687</v>
      </c>
      <c r="D1189" t="s">
        <v>18335</v>
      </c>
      <c r="E1189" t="s">
        <v>4215</v>
      </c>
      <c r="F1189" t="s">
        <v>17334</v>
      </c>
      <c r="G1189">
        <v>3</v>
      </c>
      <c r="O1189" t="s">
        <v>18335</v>
      </c>
    </row>
    <row r="1190" spans="1:15">
      <c r="A1190" t="s">
        <v>17339</v>
      </c>
      <c r="B1190" t="s">
        <v>17688</v>
      </c>
      <c r="D1190" t="s">
        <v>18336</v>
      </c>
      <c r="E1190" t="s">
        <v>4215</v>
      </c>
      <c r="F1190" t="s">
        <v>17334</v>
      </c>
      <c r="G1190">
        <v>3</v>
      </c>
      <c r="O1190" t="s">
        <v>18336</v>
      </c>
    </row>
    <row r="1191" spans="1:15">
      <c r="A1191" t="s">
        <v>17339</v>
      </c>
      <c r="B1191" t="s">
        <v>17689</v>
      </c>
      <c r="D1191" t="s">
        <v>18337</v>
      </c>
      <c r="E1191" t="s">
        <v>4215</v>
      </c>
      <c r="F1191" t="s">
        <v>17334</v>
      </c>
      <c r="G1191">
        <v>3</v>
      </c>
      <c r="O1191" t="s">
        <v>18337</v>
      </c>
    </row>
    <row r="1192" spans="1:15">
      <c r="A1192" t="s">
        <v>17339</v>
      </c>
      <c r="B1192" t="s">
        <v>17690</v>
      </c>
      <c r="D1192" t="s">
        <v>18338</v>
      </c>
      <c r="E1192" t="s">
        <v>4215</v>
      </c>
      <c r="F1192" t="s">
        <v>17334</v>
      </c>
      <c r="G1192">
        <v>3</v>
      </c>
      <c r="O1192" t="s">
        <v>18338</v>
      </c>
    </row>
    <row r="1193" spans="1:15">
      <c r="A1193" t="s">
        <v>17339</v>
      </c>
      <c r="B1193" t="s">
        <v>17691</v>
      </c>
      <c r="D1193" t="s">
        <v>18339</v>
      </c>
      <c r="E1193" t="s">
        <v>4215</v>
      </c>
      <c r="F1193" t="s">
        <v>17334</v>
      </c>
      <c r="G1193">
        <v>3</v>
      </c>
      <c r="O1193" t="s">
        <v>18339</v>
      </c>
    </row>
    <row r="1194" spans="1:15">
      <c r="A1194" t="s">
        <v>17339</v>
      </c>
      <c r="B1194" t="s">
        <v>17692</v>
      </c>
      <c r="D1194" t="s">
        <v>18340</v>
      </c>
      <c r="E1194" t="s">
        <v>4215</v>
      </c>
      <c r="F1194" t="s">
        <v>17334</v>
      </c>
      <c r="G1194">
        <v>3</v>
      </c>
      <c r="O1194" t="s">
        <v>18340</v>
      </c>
    </row>
    <row r="1195" spans="1:15">
      <c r="A1195" t="s">
        <v>17339</v>
      </c>
      <c r="B1195" t="s">
        <v>17693</v>
      </c>
      <c r="D1195" t="s">
        <v>18341</v>
      </c>
      <c r="E1195" t="s">
        <v>4215</v>
      </c>
      <c r="F1195" t="s">
        <v>17334</v>
      </c>
      <c r="G1195">
        <v>3</v>
      </c>
      <c r="O1195" t="s">
        <v>18341</v>
      </c>
    </row>
    <row r="1196" spans="1:15">
      <c r="A1196" t="s">
        <v>17339</v>
      </c>
      <c r="B1196" t="s">
        <v>17694</v>
      </c>
      <c r="D1196" t="s">
        <v>18342</v>
      </c>
      <c r="E1196" t="s">
        <v>4215</v>
      </c>
      <c r="F1196" t="s">
        <v>17334</v>
      </c>
      <c r="G1196">
        <v>3</v>
      </c>
      <c r="O1196" t="s">
        <v>18342</v>
      </c>
    </row>
    <row r="1197" spans="1:15">
      <c r="A1197" t="s">
        <v>17339</v>
      </c>
      <c r="B1197" t="s">
        <v>17695</v>
      </c>
      <c r="D1197" t="s">
        <v>18343</v>
      </c>
      <c r="E1197" t="s">
        <v>4215</v>
      </c>
      <c r="F1197" t="s">
        <v>17334</v>
      </c>
      <c r="G1197">
        <v>3</v>
      </c>
      <c r="O1197" t="s">
        <v>18343</v>
      </c>
    </row>
    <row r="1198" spans="1:15">
      <c r="A1198" t="s">
        <v>17339</v>
      </c>
      <c r="B1198" t="s">
        <v>17696</v>
      </c>
      <c r="D1198" t="s">
        <v>18344</v>
      </c>
      <c r="E1198" t="s">
        <v>4215</v>
      </c>
      <c r="F1198" t="s">
        <v>17334</v>
      </c>
      <c r="G1198">
        <v>3</v>
      </c>
      <c r="O1198" t="s">
        <v>18344</v>
      </c>
    </row>
    <row r="1199" spans="1:15">
      <c r="A1199" t="s">
        <v>17339</v>
      </c>
      <c r="B1199" t="s">
        <v>17697</v>
      </c>
      <c r="D1199" t="s">
        <v>18345</v>
      </c>
      <c r="E1199" t="s">
        <v>4215</v>
      </c>
      <c r="F1199" t="s">
        <v>17334</v>
      </c>
      <c r="G1199">
        <v>3</v>
      </c>
      <c r="O1199" t="s">
        <v>18345</v>
      </c>
    </row>
    <row r="1200" spans="1:15">
      <c r="A1200" t="s">
        <v>17339</v>
      </c>
      <c r="B1200" t="s">
        <v>17698</v>
      </c>
      <c r="D1200" t="s">
        <v>18346</v>
      </c>
      <c r="E1200" t="s">
        <v>4215</v>
      </c>
      <c r="F1200" t="s">
        <v>17334</v>
      </c>
      <c r="G1200">
        <v>3</v>
      </c>
      <c r="O1200" t="s">
        <v>18346</v>
      </c>
    </row>
    <row r="1201" spans="1:15">
      <c r="A1201" t="s">
        <v>17339</v>
      </c>
      <c r="B1201" t="s">
        <v>17699</v>
      </c>
      <c r="D1201" t="s">
        <v>18347</v>
      </c>
      <c r="E1201" t="s">
        <v>4215</v>
      </c>
      <c r="F1201" t="s">
        <v>17334</v>
      </c>
      <c r="G1201">
        <v>3</v>
      </c>
      <c r="O1201" t="s">
        <v>18347</v>
      </c>
    </row>
    <row r="1202" spans="1:15">
      <c r="A1202" t="s">
        <v>17340</v>
      </c>
      <c r="B1202" t="s">
        <v>17463</v>
      </c>
      <c r="D1202" t="s">
        <v>18131</v>
      </c>
      <c r="E1202" t="s">
        <v>4843</v>
      </c>
      <c r="F1202" t="s">
        <v>17334</v>
      </c>
      <c r="G1202">
        <v>0</v>
      </c>
      <c r="O1202" t="s">
        <v>18131</v>
      </c>
    </row>
    <row r="1203" spans="1:15">
      <c r="A1203" t="s">
        <v>4179</v>
      </c>
      <c r="B1203" t="s">
        <v>17464</v>
      </c>
      <c r="D1203" t="s">
        <v>18348</v>
      </c>
      <c r="E1203" t="s">
        <v>12500</v>
      </c>
      <c r="F1203" t="s">
        <v>17334</v>
      </c>
      <c r="G1203">
        <v>2</v>
      </c>
      <c r="O1203" t="s">
        <v>18348</v>
      </c>
    </row>
    <row r="1204" spans="1:15">
      <c r="A1204" t="s">
        <v>4181</v>
      </c>
      <c r="B1204" t="s">
        <v>17700</v>
      </c>
      <c r="D1204" t="s">
        <v>18349</v>
      </c>
      <c r="E1204" t="s">
        <v>12500</v>
      </c>
      <c r="F1204" t="s">
        <v>17334</v>
      </c>
      <c r="G1204">
        <v>2</v>
      </c>
      <c r="O1204" t="s">
        <v>18349</v>
      </c>
    </row>
    <row r="1205" spans="1:15">
      <c r="A1205" t="s">
        <v>4181</v>
      </c>
      <c r="B1205" t="s">
        <v>17701</v>
      </c>
      <c r="D1205" t="s">
        <v>18350</v>
      </c>
      <c r="E1205" t="s">
        <v>4805</v>
      </c>
      <c r="F1205" t="s">
        <v>17334</v>
      </c>
      <c r="G1205">
        <v>2</v>
      </c>
      <c r="O1205" t="s">
        <v>18350</v>
      </c>
    </row>
    <row r="1206" spans="1:15">
      <c r="A1206" t="s">
        <v>4181</v>
      </c>
      <c r="B1206" t="s">
        <v>12953</v>
      </c>
      <c r="D1206" t="s">
        <v>18351</v>
      </c>
      <c r="E1206" t="s">
        <v>12500</v>
      </c>
      <c r="F1206" t="s">
        <v>17334</v>
      </c>
      <c r="G1206">
        <v>2</v>
      </c>
      <c r="O1206" t="s">
        <v>18351</v>
      </c>
    </row>
    <row r="1207" spans="1:15">
      <c r="A1207" t="s">
        <v>4181</v>
      </c>
      <c r="B1207" t="s">
        <v>12957</v>
      </c>
      <c r="D1207" t="s">
        <v>18352</v>
      </c>
      <c r="E1207" t="s">
        <v>12500</v>
      </c>
      <c r="F1207" t="s">
        <v>17334</v>
      </c>
      <c r="G1207">
        <v>2</v>
      </c>
      <c r="O1207" t="s">
        <v>18352</v>
      </c>
    </row>
    <row r="1208" spans="1:15">
      <c r="A1208" t="s">
        <v>4181</v>
      </c>
      <c r="B1208" t="s">
        <v>12961</v>
      </c>
      <c r="D1208" t="s">
        <v>18353</v>
      </c>
      <c r="E1208" t="s">
        <v>12500</v>
      </c>
      <c r="F1208" t="s">
        <v>17334</v>
      </c>
      <c r="G1208">
        <v>2</v>
      </c>
      <c r="O1208" t="s">
        <v>18353</v>
      </c>
    </row>
    <row r="1209" spans="1:15">
      <c r="A1209" t="s">
        <v>4181</v>
      </c>
      <c r="B1209" t="s">
        <v>12965</v>
      </c>
      <c r="D1209" t="s">
        <v>18354</v>
      </c>
      <c r="E1209" t="s">
        <v>12500</v>
      </c>
      <c r="F1209" t="s">
        <v>17334</v>
      </c>
      <c r="G1209">
        <v>2</v>
      </c>
      <c r="O1209" t="s">
        <v>18354</v>
      </c>
    </row>
    <row r="1210" spans="1:15">
      <c r="A1210" t="s">
        <v>4181</v>
      </c>
      <c r="B1210" t="s">
        <v>12971</v>
      </c>
      <c r="D1210" t="s">
        <v>18355</v>
      </c>
      <c r="E1210" t="s">
        <v>12500</v>
      </c>
      <c r="F1210" t="s">
        <v>17334</v>
      </c>
      <c r="G1210">
        <v>2</v>
      </c>
      <c r="O1210" t="s">
        <v>18355</v>
      </c>
    </row>
    <row r="1211" spans="1:15">
      <c r="A1211" t="s">
        <v>4181</v>
      </c>
      <c r="B1211" t="s">
        <v>12974</v>
      </c>
      <c r="D1211" t="s">
        <v>18356</v>
      </c>
      <c r="E1211" t="s">
        <v>12500</v>
      </c>
      <c r="F1211" t="s">
        <v>17334</v>
      </c>
      <c r="G1211">
        <v>2</v>
      </c>
      <c r="O1211" t="s">
        <v>18356</v>
      </c>
    </row>
    <row r="1212" spans="1:15">
      <c r="A1212" t="s">
        <v>4181</v>
      </c>
      <c r="B1212" t="s">
        <v>12977</v>
      </c>
      <c r="D1212" t="s">
        <v>18357</v>
      </c>
      <c r="E1212" t="s">
        <v>12500</v>
      </c>
      <c r="F1212" t="s">
        <v>17334</v>
      </c>
      <c r="G1212">
        <v>2</v>
      </c>
      <c r="O1212" t="s">
        <v>18357</v>
      </c>
    </row>
    <row r="1213" spans="1:15">
      <c r="A1213" t="s">
        <v>4181</v>
      </c>
      <c r="B1213" t="s">
        <v>12980</v>
      </c>
      <c r="D1213" t="s">
        <v>18358</v>
      </c>
      <c r="E1213" t="s">
        <v>12500</v>
      </c>
      <c r="F1213" t="s">
        <v>17334</v>
      </c>
      <c r="G1213">
        <v>2</v>
      </c>
      <c r="O1213" t="s">
        <v>18358</v>
      </c>
    </row>
    <row r="1214" spans="1:15">
      <c r="A1214" t="s">
        <v>4181</v>
      </c>
      <c r="B1214" t="s">
        <v>12983</v>
      </c>
      <c r="D1214" t="s">
        <v>18359</v>
      </c>
      <c r="E1214" t="s">
        <v>12500</v>
      </c>
      <c r="F1214" t="s">
        <v>17334</v>
      </c>
      <c r="G1214">
        <v>2</v>
      </c>
      <c r="O1214" t="s">
        <v>18359</v>
      </c>
    </row>
    <row r="1215" spans="1:15">
      <c r="A1215" t="s">
        <v>4181</v>
      </c>
      <c r="B1215" t="s">
        <v>12985</v>
      </c>
      <c r="D1215" t="s">
        <v>18360</v>
      </c>
      <c r="E1215" t="s">
        <v>12500</v>
      </c>
      <c r="F1215" t="s">
        <v>17334</v>
      </c>
      <c r="G1215">
        <v>2</v>
      </c>
      <c r="O1215" t="s">
        <v>18360</v>
      </c>
    </row>
    <row r="1216" spans="1:15">
      <c r="A1216" t="s">
        <v>4181</v>
      </c>
      <c r="B1216" t="s">
        <v>12987</v>
      </c>
      <c r="D1216" t="s">
        <v>18361</v>
      </c>
      <c r="E1216" t="s">
        <v>12500</v>
      </c>
      <c r="F1216" t="s">
        <v>17334</v>
      </c>
      <c r="G1216">
        <v>2</v>
      </c>
      <c r="O1216" t="s">
        <v>18361</v>
      </c>
    </row>
    <row r="1217" spans="1:15">
      <c r="A1217" t="s">
        <v>4181</v>
      </c>
      <c r="B1217" t="s">
        <v>12989</v>
      </c>
      <c r="D1217" t="s">
        <v>18362</v>
      </c>
      <c r="E1217" t="s">
        <v>12500</v>
      </c>
      <c r="F1217" t="s">
        <v>17334</v>
      </c>
      <c r="G1217">
        <v>2</v>
      </c>
      <c r="O1217" t="s">
        <v>18362</v>
      </c>
    </row>
    <row r="1218" spans="1:15">
      <c r="A1218" t="s">
        <v>4181</v>
      </c>
      <c r="B1218" t="s">
        <v>12991</v>
      </c>
      <c r="D1218" t="s">
        <v>18363</v>
      </c>
      <c r="E1218" t="s">
        <v>12500</v>
      </c>
      <c r="F1218" t="s">
        <v>17334</v>
      </c>
      <c r="G1218">
        <v>2</v>
      </c>
      <c r="O1218" t="s">
        <v>18363</v>
      </c>
    </row>
    <row r="1219" spans="1:15">
      <c r="A1219" t="s">
        <v>4181</v>
      </c>
      <c r="B1219" t="s">
        <v>12993</v>
      </c>
      <c r="D1219" t="s">
        <v>18364</v>
      </c>
      <c r="E1219" t="s">
        <v>12500</v>
      </c>
      <c r="F1219" t="s">
        <v>17334</v>
      </c>
      <c r="G1219">
        <v>2</v>
      </c>
      <c r="O1219" t="s">
        <v>18364</v>
      </c>
    </row>
    <row r="1220" spans="1:15">
      <c r="A1220" t="s">
        <v>4181</v>
      </c>
      <c r="B1220" t="s">
        <v>12995</v>
      </c>
      <c r="D1220" t="s">
        <v>18365</v>
      </c>
      <c r="E1220" t="s">
        <v>12500</v>
      </c>
      <c r="F1220" t="s">
        <v>17334</v>
      </c>
      <c r="G1220">
        <v>2</v>
      </c>
      <c r="O1220" t="s">
        <v>18365</v>
      </c>
    </row>
    <row r="1221" spans="1:15">
      <c r="A1221" t="s">
        <v>4181</v>
      </c>
      <c r="B1221" t="s">
        <v>12997</v>
      </c>
      <c r="D1221" t="s">
        <v>18366</v>
      </c>
      <c r="E1221" t="s">
        <v>12500</v>
      </c>
      <c r="F1221" t="s">
        <v>17334</v>
      </c>
      <c r="G1221">
        <v>2</v>
      </c>
      <c r="O1221" t="s">
        <v>18366</v>
      </c>
    </row>
    <row r="1222" spans="1:15">
      <c r="A1222" t="s">
        <v>4181</v>
      </c>
      <c r="B1222" t="s">
        <v>12999</v>
      </c>
      <c r="D1222" t="s">
        <v>18367</v>
      </c>
      <c r="E1222" t="s">
        <v>12500</v>
      </c>
      <c r="F1222" t="s">
        <v>17334</v>
      </c>
      <c r="G1222">
        <v>2</v>
      </c>
      <c r="O1222" t="s">
        <v>18367</v>
      </c>
    </row>
    <row r="1223" spans="1:15">
      <c r="A1223" t="s">
        <v>4181</v>
      </c>
      <c r="B1223" t="s">
        <v>13002</v>
      </c>
      <c r="D1223" t="s">
        <v>18368</v>
      </c>
      <c r="E1223" t="s">
        <v>12500</v>
      </c>
      <c r="F1223" t="s">
        <v>17334</v>
      </c>
      <c r="G1223">
        <v>2</v>
      </c>
      <c r="O1223" t="s">
        <v>18368</v>
      </c>
    </row>
    <row r="1224" spans="1:15">
      <c r="A1224" t="s">
        <v>4181</v>
      </c>
      <c r="B1224" t="s">
        <v>13004</v>
      </c>
      <c r="D1224" t="s">
        <v>18369</v>
      </c>
      <c r="E1224" t="s">
        <v>12500</v>
      </c>
      <c r="F1224" t="s">
        <v>17334</v>
      </c>
      <c r="G1224">
        <v>2</v>
      </c>
      <c r="O1224" t="s">
        <v>18369</v>
      </c>
    </row>
    <row r="1225" spans="1:15">
      <c r="A1225" t="s">
        <v>4181</v>
      </c>
      <c r="B1225" t="s">
        <v>13006</v>
      </c>
      <c r="D1225" t="s">
        <v>18370</v>
      </c>
      <c r="E1225" t="s">
        <v>12500</v>
      </c>
      <c r="F1225" t="s">
        <v>17334</v>
      </c>
      <c r="G1225">
        <v>2</v>
      </c>
      <c r="O1225" t="s">
        <v>18370</v>
      </c>
    </row>
    <row r="1226" spans="1:15">
      <c r="A1226" t="s">
        <v>4181</v>
      </c>
      <c r="B1226" t="s">
        <v>13008</v>
      </c>
      <c r="D1226" t="s">
        <v>18371</v>
      </c>
      <c r="E1226" t="s">
        <v>12500</v>
      </c>
      <c r="F1226" t="s">
        <v>17334</v>
      </c>
      <c r="G1226">
        <v>2</v>
      </c>
      <c r="O1226" t="s">
        <v>18371</v>
      </c>
    </row>
    <row r="1227" spans="1:15">
      <c r="A1227" t="s">
        <v>4181</v>
      </c>
      <c r="B1227" t="s">
        <v>13010</v>
      </c>
      <c r="D1227" t="s">
        <v>18372</v>
      </c>
      <c r="E1227" t="s">
        <v>12500</v>
      </c>
      <c r="F1227" t="s">
        <v>17334</v>
      </c>
      <c r="G1227">
        <v>2</v>
      </c>
      <c r="O1227" t="s">
        <v>18372</v>
      </c>
    </row>
    <row r="1228" spans="1:15">
      <c r="A1228" t="s">
        <v>4181</v>
      </c>
      <c r="B1228" t="s">
        <v>13012</v>
      </c>
      <c r="D1228" t="s">
        <v>18373</v>
      </c>
      <c r="E1228" t="s">
        <v>12500</v>
      </c>
      <c r="F1228" t="s">
        <v>17334</v>
      </c>
      <c r="G1228">
        <v>2</v>
      </c>
      <c r="O1228" t="s">
        <v>18373</v>
      </c>
    </row>
    <row r="1229" spans="1:15">
      <c r="A1229" t="s">
        <v>4181</v>
      </c>
      <c r="B1229" t="s">
        <v>13014</v>
      </c>
      <c r="D1229" t="s">
        <v>18374</v>
      </c>
      <c r="E1229" t="s">
        <v>12500</v>
      </c>
      <c r="F1229" t="s">
        <v>17334</v>
      </c>
      <c r="G1229">
        <v>2</v>
      </c>
      <c r="O1229" t="s">
        <v>18374</v>
      </c>
    </row>
    <row r="1230" spans="1:15">
      <c r="A1230" t="s">
        <v>4181</v>
      </c>
      <c r="B1230" t="s">
        <v>13016</v>
      </c>
      <c r="D1230" t="s">
        <v>18375</v>
      </c>
      <c r="E1230" t="s">
        <v>12500</v>
      </c>
      <c r="F1230" t="s">
        <v>17334</v>
      </c>
      <c r="G1230">
        <v>2</v>
      </c>
      <c r="O1230" t="s">
        <v>18375</v>
      </c>
    </row>
    <row r="1231" spans="1:15">
      <c r="A1231" t="s">
        <v>4181</v>
      </c>
      <c r="B1231" t="s">
        <v>13018</v>
      </c>
      <c r="D1231" t="s">
        <v>18376</v>
      </c>
      <c r="E1231" t="s">
        <v>12500</v>
      </c>
      <c r="F1231" t="s">
        <v>17334</v>
      </c>
      <c r="G1231">
        <v>2</v>
      </c>
      <c r="O1231" t="s">
        <v>18376</v>
      </c>
    </row>
    <row r="1232" spans="1:15">
      <c r="A1232" t="s">
        <v>4181</v>
      </c>
      <c r="B1232" t="s">
        <v>13044</v>
      </c>
      <c r="D1232" t="s">
        <v>18377</v>
      </c>
      <c r="E1232" t="s">
        <v>13021</v>
      </c>
      <c r="F1232" t="s">
        <v>17334</v>
      </c>
      <c r="G1232">
        <v>2</v>
      </c>
      <c r="O1232" t="s">
        <v>18377</v>
      </c>
    </row>
    <row r="1233" spans="1:15">
      <c r="A1233" t="s">
        <v>4181</v>
      </c>
      <c r="B1233" t="s">
        <v>13047</v>
      </c>
      <c r="D1233" t="s">
        <v>18378</v>
      </c>
      <c r="E1233" t="s">
        <v>13021</v>
      </c>
      <c r="F1233" t="s">
        <v>17334</v>
      </c>
      <c r="G1233">
        <v>2</v>
      </c>
      <c r="O1233" t="s">
        <v>18378</v>
      </c>
    </row>
    <row r="1234" spans="1:15">
      <c r="A1234" t="s">
        <v>4181</v>
      </c>
      <c r="B1234" t="s">
        <v>13050</v>
      </c>
      <c r="D1234" t="s">
        <v>18379</v>
      </c>
      <c r="E1234" t="s">
        <v>13021</v>
      </c>
      <c r="F1234" t="s">
        <v>17334</v>
      </c>
      <c r="G1234">
        <v>2</v>
      </c>
      <c r="O1234" t="s">
        <v>18379</v>
      </c>
    </row>
    <row r="1235" spans="1:15">
      <c r="A1235" t="s">
        <v>4181</v>
      </c>
      <c r="B1235" t="s">
        <v>13053</v>
      </c>
      <c r="D1235" t="s">
        <v>18380</v>
      </c>
      <c r="E1235" t="s">
        <v>13021</v>
      </c>
      <c r="F1235" t="s">
        <v>17334</v>
      </c>
      <c r="G1235">
        <v>2</v>
      </c>
      <c r="O1235" t="s">
        <v>18380</v>
      </c>
    </row>
    <row r="1236" spans="1:15">
      <c r="A1236" t="s">
        <v>4181</v>
      </c>
      <c r="B1236" t="s">
        <v>13069</v>
      </c>
      <c r="D1236" t="s">
        <v>18381</v>
      </c>
      <c r="E1236" t="s">
        <v>13021</v>
      </c>
      <c r="F1236" t="s">
        <v>17334</v>
      </c>
      <c r="G1236">
        <v>2</v>
      </c>
      <c r="O1236" t="s">
        <v>18381</v>
      </c>
    </row>
    <row r="1237" spans="1:15">
      <c r="A1237" t="s">
        <v>4181</v>
      </c>
      <c r="B1237" t="s">
        <v>13071</v>
      </c>
      <c r="D1237" t="s">
        <v>18382</v>
      </c>
      <c r="E1237" t="s">
        <v>13021</v>
      </c>
      <c r="F1237" t="s">
        <v>17334</v>
      </c>
      <c r="G1237">
        <v>2</v>
      </c>
      <c r="O1237" t="s">
        <v>18382</v>
      </c>
    </row>
    <row r="1238" spans="1:15">
      <c r="A1238" t="s">
        <v>4181</v>
      </c>
      <c r="B1238" t="s">
        <v>13073</v>
      </c>
      <c r="D1238" t="s">
        <v>18383</v>
      </c>
      <c r="E1238" t="s">
        <v>13021</v>
      </c>
      <c r="F1238" t="s">
        <v>17334</v>
      </c>
      <c r="G1238">
        <v>2</v>
      </c>
      <c r="O1238" t="s">
        <v>18383</v>
      </c>
    </row>
    <row r="1239" spans="1:15">
      <c r="A1239" t="s">
        <v>4181</v>
      </c>
      <c r="B1239" t="s">
        <v>13075</v>
      </c>
      <c r="D1239" t="s">
        <v>18384</v>
      </c>
      <c r="E1239" t="s">
        <v>13021</v>
      </c>
      <c r="F1239" t="s">
        <v>17334</v>
      </c>
      <c r="G1239">
        <v>2</v>
      </c>
      <c r="O1239" t="s">
        <v>18384</v>
      </c>
    </row>
    <row r="1240" spans="1:15">
      <c r="A1240" t="s">
        <v>4181</v>
      </c>
      <c r="B1240" t="s">
        <v>13090</v>
      </c>
      <c r="D1240" t="s">
        <v>18385</v>
      </c>
      <c r="E1240" t="s">
        <v>13021</v>
      </c>
      <c r="F1240" t="s">
        <v>17334</v>
      </c>
      <c r="G1240">
        <v>2</v>
      </c>
      <c r="O1240" t="s">
        <v>18385</v>
      </c>
    </row>
    <row r="1241" spans="1:15">
      <c r="A1241" t="s">
        <v>4181</v>
      </c>
      <c r="B1241" t="s">
        <v>13092</v>
      </c>
      <c r="D1241" t="s">
        <v>18386</v>
      </c>
      <c r="E1241" t="s">
        <v>13021</v>
      </c>
      <c r="F1241" t="s">
        <v>17334</v>
      </c>
      <c r="G1241">
        <v>2</v>
      </c>
      <c r="O1241" t="s">
        <v>18386</v>
      </c>
    </row>
    <row r="1242" spans="1:15">
      <c r="A1242" t="s">
        <v>4181</v>
      </c>
      <c r="B1242" t="s">
        <v>13094</v>
      </c>
      <c r="D1242" t="s">
        <v>18387</v>
      </c>
      <c r="E1242" t="s">
        <v>13021</v>
      </c>
      <c r="F1242" t="s">
        <v>17334</v>
      </c>
      <c r="G1242">
        <v>2</v>
      </c>
      <c r="O1242" t="s">
        <v>18387</v>
      </c>
    </row>
    <row r="1243" spans="1:15">
      <c r="A1243" t="s">
        <v>4181</v>
      </c>
      <c r="B1243" t="s">
        <v>13096</v>
      </c>
      <c r="D1243" t="s">
        <v>18388</v>
      </c>
      <c r="E1243" t="s">
        <v>13021</v>
      </c>
      <c r="F1243" t="s">
        <v>17334</v>
      </c>
      <c r="G1243">
        <v>2</v>
      </c>
      <c r="O1243" t="s">
        <v>18388</v>
      </c>
    </row>
    <row r="1244" spans="1:15">
      <c r="A1244" t="s">
        <v>4184</v>
      </c>
      <c r="B1244" t="s">
        <v>17702</v>
      </c>
      <c r="D1244" t="s">
        <v>18389</v>
      </c>
      <c r="E1244" t="s">
        <v>12566</v>
      </c>
      <c r="F1244" t="s">
        <v>17334</v>
      </c>
      <c r="G1244">
        <v>1</v>
      </c>
      <c r="O1244" t="s">
        <v>18389</v>
      </c>
    </row>
    <row r="1245" spans="1:15">
      <c r="A1245" t="s">
        <v>4184</v>
      </c>
      <c r="B1245" t="s">
        <v>17703</v>
      </c>
      <c r="D1245" t="s">
        <v>18390</v>
      </c>
      <c r="E1245" t="s">
        <v>4843</v>
      </c>
      <c r="F1245" t="s">
        <v>17334</v>
      </c>
      <c r="G1245">
        <v>0</v>
      </c>
      <c r="O1245" t="s">
        <v>18390</v>
      </c>
    </row>
    <row r="1246" spans="1:15">
      <c r="A1246" t="s">
        <v>4190</v>
      </c>
      <c r="B1246" t="s">
        <v>17704</v>
      </c>
      <c r="D1246" t="s">
        <v>18391</v>
      </c>
      <c r="E1246" t="s">
        <v>5981</v>
      </c>
      <c r="F1246" t="s">
        <v>17334</v>
      </c>
      <c r="G1246">
        <v>3</v>
      </c>
      <c r="O1246" t="s">
        <v>18391</v>
      </c>
    </row>
    <row r="1247" spans="1:15">
      <c r="A1247" t="s">
        <v>4190</v>
      </c>
      <c r="B1247" t="s">
        <v>17705</v>
      </c>
      <c r="D1247" t="s">
        <v>18392</v>
      </c>
      <c r="E1247" t="s">
        <v>5981</v>
      </c>
      <c r="F1247" t="s">
        <v>17334</v>
      </c>
      <c r="G1247">
        <v>3</v>
      </c>
      <c r="O1247" t="s">
        <v>18392</v>
      </c>
    </row>
    <row r="1248" spans="1:15">
      <c r="A1248" t="s">
        <v>4190</v>
      </c>
      <c r="B1248" t="s">
        <v>17706</v>
      </c>
      <c r="D1248" t="s">
        <v>18393</v>
      </c>
      <c r="E1248" t="s">
        <v>5981</v>
      </c>
      <c r="F1248" t="s">
        <v>17334</v>
      </c>
      <c r="G1248">
        <v>3</v>
      </c>
      <c r="O1248" t="s">
        <v>18393</v>
      </c>
    </row>
    <row r="1249" spans="1:15">
      <c r="A1249" t="s">
        <v>4190</v>
      </c>
      <c r="B1249" t="s">
        <v>17707</v>
      </c>
      <c r="D1249" t="s">
        <v>18394</v>
      </c>
      <c r="E1249" t="s">
        <v>5981</v>
      </c>
      <c r="F1249" t="s">
        <v>17334</v>
      </c>
      <c r="G1249">
        <v>3</v>
      </c>
      <c r="O1249" t="s">
        <v>18394</v>
      </c>
    </row>
    <row r="1250" spans="1:15">
      <c r="A1250" t="s">
        <v>4190</v>
      </c>
      <c r="B1250" t="s">
        <v>17708</v>
      </c>
      <c r="D1250" t="s">
        <v>18395</v>
      </c>
      <c r="E1250" t="s">
        <v>5981</v>
      </c>
      <c r="F1250" t="s">
        <v>17334</v>
      </c>
      <c r="G1250">
        <v>3</v>
      </c>
      <c r="O1250" t="s">
        <v>18395</v>
      </c>
    </row>
    <row r="1251" spans="1:15">
      <c r="A1251" t="s">
        <v>4190</v>
      </c>
      <c r="B1251" t="s">
        <v>17709</v>
      </c>
      <c r="D1251" t="s">
        <v>18396</v>
      </c>
      <c r="E1251" t="s">
        <v>5981</v>
      </c>
      <c r="F1251" t="s">
        <v>17334</v>
      </c>
      <c r="G1251">
        <v>3</v>
      </c>
      <c r="O1251" t="s">
        <v>18396</v>
      </c>
    </row>
    <row r="1252" spans="1:15">
      <c r="A1252" t="s">
        <v>4190</v>
      </c>
      <c r="B1252" t="s">
        <v>17710</v>
      </c>
      <c r="D1252" t="s">
        <v>18397</v>
      </c>
      <c r="E1252" t="s">
        <v>12500</v>
      </c>
      <c r="F1252" t="s">
        <v>17334</v>
      </c>
      <c r="G1252">
        <v>2</v>
      </c>
      <c r="O1252" t="s">
        <v>18397</v>
      </c>
    </row>
    <row r="1253" spans="1:15">
      <c r="A1253" t="s">
        <v>4190</v>
      </c>
      <c r="B1253" t="s">
        <v>17711</v>
      </c>
      <c r="D1253" t="s">
        <v>18398</v>
      </c>
      <c r="E1253" t="s">
        <v>12500</v>
      </c>
      <c r="F1253" t="s">
        <v>17334</v>
      </c>
      <c r="G1253">
        <v>2</v>
      </c>
      <c r="O1253" t="s">
        <v>18398</v>
      </c>
    </row>
    <row r="1254" spans="1:15">
      <c r="A1254" t="s">
        <v>4190</v>
      </c>
      <c r="B1254" t="s">
        <v>17712</v>
      </c>
      <c r="D1254" t="s">
        <v>18399</v>
      </c>
      <c r="E1254" t="s">
        <v>12500</v>
      </c>
      <c r="F1254" t="s">
        <v>17334</v>
      </c>
      <c r="G1254">
        <v>2</v>
      </c>
      <c r="O1254" t="s">
        <v>18399</v>
      </c>
    </row>
    <row r="1255" spans="1:15">
      <c r="A1255" t="s">
        <v>4190</v>
      </c>
      <c r="B1255" t="s">
        <v>17713</v>
      </c>
      <c r="D1255" t="s">
        <v>18400</v>
      </c>
      <c r="E1255" t="s">
        <v>12500</v>
      </c>
      <c r="F1255" t="s">
        <v>17334</v>
      </c>
      <c r="G1255">
        <v>2</v>
      </c>
      <c r="O1255" t="s">
        <v>18400</v>
      </c>
    </row>
    <row r="1256" spans="1:15">
      <c r="A1256" t="s">
        <v>4190</v>
      </c>
      <c r="B1256" t="s">
        <v>17714</v>
      </c>
      <c r="D1256" t="s">
        <v>18401</v>
      </c>
      <c r="E1256" t="s">
        <v>12500</v>
      </c>
      <c r="F1256" t="s">
        <v>17334</v>
      </c>
      <c r="G1256">
        <v>2</v>
      </c>
      <c r="O1256" t="s">
        <v>18401</v>
      </c>
    </row>
    <row r="1257" spans="1:15">
      <c r="A1257" t="s">
        <v>4190</v>
      </c>
      <c r="B1257" t="s">
        <v>17715</v>
      </c>
      <c r="D1257" t="s">
        <v>18402</v>
      </c>
      <c r="E1257" t="s">
        <v>12500</v>
      </c>
      <c r="F1257" t="s">
        <v>17334</v>
      </c>
      <c r="G1257">
        <v>2</v>
      </c>
      <c r="O1257" t="s">
        <v>18402</v>
      </c>
    </row>
    <row r="1258" spans="1:15">
      <c r="A1258" t="s">
        <v>17342</v>
      </c>
      <c r="B1258" t="s">
        <v>17716</v>
      </c>
      <c r="D1258" t="s">
        <v>18403</v>
      </c>
      <c r="E1258" t="s">
        <v>4843</v>
      </c>
      <c r="F1258" t="s">
        <v>17334</v>
      </c>
      <c r="G1258">
        <v>0</v>
      </c>
      <c r="O1258" t="s">
        <v>18403</v>
      </c>
    </row>
    <row r="1259" spans="1:15">
      <c r="A1259" t="s">
        <v>17342</v>
      </c>
      <c r="B1259" t="s">
        <v>17717</v>
      </c>
      <c r="D1259" t="s">
        <v>18404</v>
      </c>
      <c r="E1259" t="s">
        <v>4843</v>
      </c>
      <c r="F1259" t="s">
        <v>17334</v>
      </c>
      <c r="G1259">
        <v>0</v>
      </c>
      <c r="O1259" t="s">
        <v>18404</v>
      </c>
    </row>
    <row r="1260" spans="1:15">
      <c r="A1260" t="s">
        <v>17336</v>
      </c>
      <c r="B1260" t="s">
        <v>17719</v>
      </c>
      <c r="D1260" t="s">
        <v>18405</v>
      </c>
      <c r="E1260" t="s">
        <v>14787</v>
      </c>
      <c r="F1260" t="s">
        <v>17334</v>
      </c>
      <c r="G1260" t="s">
        <v>14787</v>
      </c>
      <c r="O1260" t="s">
        <v>18405</v>
      </c>
    </row>
    <row r="1261" spans="1:15">
      <c r="A1261" t="s">
        <v>17336</v>
      </c>
      <c r="B1261" t="s">
        <v>17718</v>
      </c>
      <c r="D1261" t="s">
        <v>18406</v>
      </c>
      <c r="E1261" t="s">
        <v>14787</v>
      </c>
      <c r="F1261" t="s">
        <v>17334</v>
      </c>
      <c r="G1261" t="s">
        <v>14787</v>
      </c>
      <c r="O1261" t="s">
        <v>18406</v>
      </c>
    </row>
    <row r="1262" spans="1:15">
      <c r="A1262" t="s">
        <v>17344</v>
      </c>
      <c r="B1262" t="s">
        <v>17720</v>
      </c>
      <c r="D1262" t="s">
        <v>18126</v>
      </c>
      <c r="E1262" t="s">
        <v>4215</v>
      </c>
      <c r="F1262" t="s">
        <v>17334</v>
      </c>
      <c r="G1262">
        <v>3</v>
      </c>
      <c r="O1262" t="s">
        <v>18126</v>
      </c>
    </row>
    <row r="1263" spans="1:15">
      <c r="A1263" t="s">
        <v>17344</v>
      </c>
      <c r="B1263" t="s">
        <v>17721</v>
      </c>
      <c r="D1263" t="s">
        <v>18130</v>
      </c>
      <c r="E1263" t="s">
        <v>4215</v>
      </c>
      <c r="F1263" t="s">
        <v>17334</v>
      </c>
      <c r="G1263">
        <v>3</v>
      </c>
      <c r="O1263" t="s">
        <v>18130</v>
      </c>
    </row>
    <row r="1264" spans="1:15">
      <c r="A1264" t="s">
        <v>17344</v>
      </c>
      <c r="B1264" t="s">
        <v>17722</v>
      </c>
      <c r="D1264" t="s">
        <v>17930</v>
      </c>
      <c r="E1264" t="s">
        <v>4215</v>
      </c>
      <c r="F1264" t="s">
        <v>17334</v>
      </c>
      <c r="G1264">
        <v>3</v>
      </c>
      <c r="O1264" t="s">
        <v>17930</v>
      </c>
    </row>
    <row r="1265" spans="1:15">
      <c r="A1265" t="s">
        <v>17344</v>
      </c>
      <c r="B1265" t="s">
        <v>17723</v>
      </c>
      <c r="D1265" t="s">
        <v>17931</v>
      </c>
      <c r="E1265" t="s">
        <v>4215</v>
      </c>
      <c r="F1265" t="s">
        <v>17334</v>
      </c>
      <c r="G1265">
        <v>3</v>
      </c>
      <c r="O1265" t="s">
        <v>17931</v>
      </c>
    </row>
    <row r="1266" spans="1:15">
      <c r="A1266" t="s">
        <v>17344</v>
      </c>
      <c r="B1266" t="s">
        <v>17724</v>
      </c>
      <c r="D1266" t="s">
        <v>17932</v>
      </c>
      <c r="E1266" t="s">
        <v>4215</v>
      </c>
      <c r="F1266" t="s">
        <v>17334</v>
      </c>
      <c r="G1266">
        <v>3</v>
      </c>
      <c r="O1266" t="s">
        <v>17932</v>
      </c>
    </row>
    <row r="1267" spans="1:15">
      <c r="A1267" t="s">
        <v>17344</v>
      </c>
      <c r="B1267" t="s">
        <v>17725</v>
      </c>
      <c r="D1267" t="s">
        <v>17933</v>
      </c>
      <c r="E1267" t="s">
        <v>4215</v>
      </c>
      <c r="F1267" t="s">
        <v>17334</v>
      </c>
      <c r="G1267">
        <v>3</v>
      </c>
      <c r="O1267" t="s">
        <v>17933</v>
      </c>
    </row>
    <row r="1268" spans="1:15">
      <c r="A1268" t="s">
        <v>17344</v>
      </c>
      <c r="B1268" t="s">
        <v>17726</v>
      </c>
      <c r="D1268" t="s">
        <v>17934</v>
      </c>
      <c r="E1268" t="s">
        <v>4215</v>
      </c>
      <c r="F1268" t="s">
        <v>17334</v>
      </c>
      <c r="G1268">
        <v>3</v>
      </c>
      <c r="O1268" t="s">
        <v>17934</v>
      </c>
    </row>
    <row r="1269" spans="1:15">
      <c r="A1269" t="s">
        <v>17344</v>
      </c>
      <c r="B1269" t="s">
        <v>17727</v>
      </c>
      <c r="D1269" t="s">
        <v>17935</v>
      </c>
      <c r="E1269" t="s">
        <v>4215</v>
      </c>
      <c r="F1269" t="s">
        <v>17334</v>
      </c>
      <c r="G1269">
        <v>3</v>
      </c>
      <c r="O1269" t="s">
        <v>17935</v>
      </c>
    </row>
    <row r="1270" spans="1:15">
      <c r="A1270" t="s">
        <v>17344</v>
      </c>
      <c r="B1270" t="s">
        <v>17728</v>
      </c>
      <c r="D1270" t="s">
        <v>17936</v>
      </c>
      <c r="E1270" t="s">
        <v>4215</v>
      </c>
      <c r="F1270" t="s">
        <v>17334</v>
      </c>
      <c r="G1270">
        <v>3</v>
      </c>
      <c r="O1270" t="s">
        <v>17936</v>
      </c>
    </row>
    <row r="1271" spans="1:15">
      <c r="A1271" t="s">
        <v>17344</v>
      </c>
      <c r="B1271" t="s">
        <v>17729</v>
      </c>
      <c r="D1271" t="s">
        <v>17934</v>
      </c>
      <c r="E1271" t="s">
        <v>4215</v>
      </c>
      <c r="F1271" t="s">
        <v>17334</v>
      </c>
      <c r="G1271">
        <v>3</v>
      </c>
      <c r="O1271" t="s">
        <v>17934</v>
      </c>
    </row>
    <row r="1272" spans="1:15">
      <c r="A1272" t="s">
        <v>17344</v>
      </c>
      <c r="B1272" t="s">
        <v>17730</v>
      </c>
      <c r="D1272" t="s">
        <v>17937</v>
      </c>
      <c r="E1272" t="s">
        <v>4215</v>
      </c>
      <c r="F1272" t="s">
        <v>17334</v>
      </c>
      <c r="G1272">
        <v>3</v>
      </c>
      <c r="O1272" t="s">
        <v>17937</v>
      </c>
    </row>
    <row r="1273" spans="1:15">
      <c r="A1273" t="s">
        <v>17344</v>
      </c>
      <c r="B1273" t="s">
        <v>17731</v>
      </c>
      <c r="D1273" t="s">
        <v>17941</v>
      </c>
      <c r="E1273" t="s">
        <v>4215</v>
      </c>
      <c r="F1273" t="s">
        <v>17334</v>
      </c>
      <c r="G1273">
        <v>3</v>
      </c>
      <c r="O1273" t="s">
        <v>17941</v>
      </c>
    </row>
    <row r="1274" spans="1:15">
      <c r="A1274" t="s">
        <v>17344</v>
      </c>
      <c r="B1274" t="s">
        <v>17898</v>
      </c>
      <c r="D1274" t="s">
        <v>17942</v>
      </c>
      <c r="E1274" t="s">
        <v>4215</v>
      </c>
      <c r="F1274" t="s">
        <v>17334</v>
      </c>
      <c r="G1274">
        <v>3</v>
      </c>
      <c r="O1274" t="s">
        <v>17942</v>
      </c>
    </row>
    <row r="1275" spans="1:15">
      <c r="A1275" t="s">
        <v>17344</v>
      </c>
      <c r="B1275" t="s">
        <v>17732</v>
      </c>
      <c r="D1275" t="s">
        <v>17938</v>
      </c>
      <c r="E1275" t="s">
        <v>4215</v>
      </c>
      <c r="F1275" t="s">
        <v>17334</v>
      </c>
      <c r="G1275">
        <v>3</v>
      </c>
      <c r="O1275" t="s">
        <v>17938</v>
      </c>
    </row>
    <row r="1276" spans="1:15">
      <c r="A1276" t="s">
        <v>17344</v>
      </c>
      <c r="B1276" t="s">
        <v>17914</v>
      </c>
      <c r="D1276" t="s">
        <v>17939</v>
      </c>
      <c r="E1276" t="s">
        <v>4215</v>
      </c>
      <c r="F1276" t="s">
        <v>17334</v>
      </c>
      <c r="G1276">
        <v>3</v>
      </c>
      <c r="O1276" t="s">
        <v>17939</v>
      </c>
    </row>
    <row r="1277" spans="1:15">
      <c r="A1277" t="s">
        <v>17344</v>
      </c>
      <c r="B1277" t="s">
        <v>17733</v>
      </c>
      <c r="D1277" t="s">
        <v>17943</v>
      </c>
      <c r="E1277" t="s">
        <v>4215</v>
      </c>
      <c r="F1277" t="s">
        <v>17334</v>
      </c>
      <c r="G1277">
        <v>3</v>
      </c>
      <c r="O1277" t="s">
        <v>17943</v>
      </c>
    </row>
    <row r="1278" spans="1:15">
      <c r="A1278" t="s">
        <v>17344</v>
      </c>
      <c r="B1278" t="s">
        <v>17734</v>
      </c>
      <c r="D1278" t="s">
        <v>17944</v>
      </c>
      <c r="E1278" t="s">
        <v>4215</v>
      </c>
      <c r="F1278" t="s">
        <v>17334</v>
      </c>
      <c r="G1278">
        <v>3</v>
      </c>
      <c r="O1278" t="s">
        <v>17944</v>
      </c>
    </row>
    <row r="1279" spans="1:15">
      <c r="A1279" t="s">
        <v>17344</v>
      </c>
      <c r="B1279" t="s">
        <v>17735</v>
      </c>
      <c r="D1279" t="s">
        <v>17971</v>
      </c>
      <c r="E1279" t="s">
        <v>4215</v>
      </c>
      <c r="F1279" t="s">
        <v>17334</v>
      </c>
      <c r="G1279">
        <v>3</v>
      </c>
      <c r="O1279" t="s">
        <v>17971</v>
      </c>
    </row>
    <row r="1280" spans="1:15">
      <c r="A1280" t="s">
        <v>17344</v>
      </c>
      <c r="B1280" t="s">
        <v>17736</v>
      </c>
      <c r="D1280" t="s">
        <v>17972</v>
      </c>
      <c r="E1280" t="s">
        <v>4215</v>
      </c>
      <c r="F1280" t="s">
        <v>17334</v>
      </c>
      <c r="G1280">
        <v>3</v>
      </c>
      <c r="O1280" t="s">
        <v>17972</v>
      </c>
    </row>
    <row r="1281" spans="1:15">
      <c r="A1281" t="s">
        <v>17344</v>
      </c>
      <c r="B1281" t="s">
        <v>17737</v>
      </c>
      <c r="D1281" t="s">
        <v>17945</v>
      </c>
      <c r="E1281" t="s">
        <v>4215</v>
      </c>
      <c r="F1281" t="s">
        <v>17334</v>
      </c>
      <c r="G1281">
        <v>3</v>
      </c>
      <c r="O1281" t="s">
        <v>17945</v>
      </c>
    </row>
    <row r="1282" spans="1:15">
      <c r="A1282" t="s">
        <v>17344</v>
      </c>
      <c r="B1282" t="s">
        <v>17738</v>
      </c>
      <c r="D1282" t="s">
        <v>17973</v>
      </c>
      <c r="E1282" t="s">
        <v>4215</v>
      </c>
      <c r="F1282" t="s">
        <v>17334</v>
      </c>
      <c r="G1282">
        <v>3</v>
      </c>
      <c r="O1282" t="s">
        <v>17973</v>
      </c>
    </row>
    <row r="1283" spans="1:15">
      <c r="A1283" t="s">
        <v>17344</v>
      </c>
      <c r="B1283" t="s">
        <v>17739</v>
      </c>
      <c r="D1283" t="s">
        <v>17974</v>
      </c>
      <c r="E1283" t="s">
        <v>4215</v>
      </c>
      <c r="F1283" t="s">
        <v>17334</v>
      </c>
      <c r="G1283">
        <v>3</v>
      </c>
      <c r="O1283" t="s">
        <v>17974</v>
      </c>
    </row>
    <row r="1284" spans="1:15">
      <c r="A1284" t="s">
        <v>17344</v>
      </c>
      <c r="B1284" t="s">
        <v>17740</v>
      </c>
      <c r="D1284" t="s">
        <v>17945</v>
      </c>
      <c r="E1284" t="s">
        <v>4215</v>
      </c>
      <c r="F1284" t="s">
        <v>17334</v>
      </c>
      <c r="G1284">
        <v>3</v>
      </c>
      <c r="O1284" t="s">
        <v>17945</v>
      </c>
    </row>
    <row r="1285" spans="1:15">
      <c r="A1285" t="s">
        <v>17344</v>
      </c>
      <c r="B1285" t="s">
        <v>17741</v>
      </c>
      <c r="D1285" t="s">
        <v>17975</v>
      </c>
      <c r="E1285" t="s">
        <v>4215</v>
      </c>
      <c r="F1285" t="s">
        <v>17334</v>
      </c>
      <c r="G1285">
        <v>3</v>
      </c>
      <c r="O1285" t="s">
        <v>17975</v>
      </c>
    </row>
    <row r="1286" spans="1:15">
      <c r="A1286" t="s">
        <v>17344</v>
      </c>
      <c r="B1286" t="s">
        <v>17742</v>
      </c>
      <c r="D1286" t="s">
        <v>17946</v>
      </c>
      <c r="E1286" t="s">
        <v>4215</v>
      </c>
      <c r="F1286" t="s">
        <v>17334</v>
      </c>
      <c r="G1286">
        <v>3</v>
      </c>
      <c r="O1286" t="s">
        <v>17946</v>
      </c>
    </row>
    <row r="1287" spans="1:15">
      <c r="A1287" t="s">
        <v>17344</v>
      </c>
      <c r="B1287" t="s">
        <v>17899</v>
      </c>
      <c r="D1287" t="s">
        <v>17947</v>
      </c>
      <c r="E1287" t="s">
        <v>4215</v>
      </c>
      <c r="F1287" t="s">
        <v>17334</v>
      </c>
      <c r="G1287">
        <v>3</v>
      </c>
      <c r="O1287" t="s">
        <v>17947</v>
      </c>
    </row>
    <row r="1288" spans="1:15">
      <c r="A1288" t="s">
        <v>17344</v>
      </c>
      <c r="B1288" t="s">
        <v>17743</v>
      </c>
      <c r="D1288" t="s">
        <v>17948</v>
      </c>
      <c r="E1288" t="s">
        <v>4215</v>
      </c>
      <c r="F1288" t="s">
        <v>17334</v>
      </c>
      <c r="G1288">
        <v>3</v>
      </c>
      <c r="O1288" t="s">
        <v>17948</v>
      </c>
    </row>
    <row r="1289" spans="1:15">
      <c r="A1289" t="s">
        <v>17344</v>
      </c>
      <c r="B1289" t="s">
        <v>17915</v>
      </c>
      <c r="D1289" t="s">
        <v>17949</v>
      </c>
      <c r="E1289" t="s">
        <v>4215</v>
      </c>
      <c r="F1289" t="s">
        <v>17334</v>
      </c>
      <c r="G1289">
        <v>3</v>
      </c>
      <c r="O1289" t="s">
        <v>17949</v>
      </c>
    </row>
    <row r="1290" spans="1:15">
      <c r="A1290" t="s">
        <v>17344</v>
      </c>
      <c r="B1290" t="s">
        <v>17744</v>
      </c>
      <c r="D1290" t="s">
        <v>17950</v>
      </c>
      <c r="E1290" t="s">
        <v>4215</v>
      </c>
      <c r="F1290" t="s">
        <v>17334</v>
      </c>
      <c r="G1290">
        <v>3</v>
      </c>
      <c r="O1290" t="s">
        <v>17950</v>
      </c>
    </row>
    <row r="1291" spans="1:15">
      <c r="A1291" t="s">
        <v>17344</v>
      </c>
      <c r="B1291" t="s">
        <v>17745</v>
      </c>
      <c r="D1291" t="s">
        <v>17951</v>
      </c>
      <c r="E1291" t="s">
        <v>4215</v>
      </c>
      <c r="F1291" t="s">
        <v>17334</v>
      </c>
      <c r="G1291">
        <v>3</v>
      </c>
      <c r="O1291" t="s">
        <v>17951</v>
      </c>
    </row>
    <row r="1292" spans="1:15">
      <c r="A1292" t="s">
        <v>17344</v>
      </c>
      <c r="B1292" t="s">
        <v>17746</v>
      </c>
      <c r="D1292" t="s">
        <v>17976</v>
      </c>
      <c r="E1292" t="s">
        <v>4215</v>
      </c>
      <c r="F1292" t="s">
        <v>17334</v>
      </c>
      <c r="G1292">
        <v>3</v>
      </c>
      <c r="O1292" t="s">
        <v>17976</v>
      </c>
    </row>
    <row r="1293" spans="1:15">
      <c r="A1293" t="s">
        <v>17344</v>
      </c>
      <c r="B1293" t="s">
        <v>17747</v>
      </c>
      <c r="D1293" t="s">
        <v>17977</v>
      </c>
      <c r="E1293" t="s">
        <v>4215</v>
      </c>
      <c r="F1293" t="s">
        <v>17334</v>
      </c>
      <c r="G1293">
        <v>3</v>
      </c>
      <c r="O1293" t="s">
        <v>17977</v>
      </c>
    </row>
    <row r="1294" spans="1:15">
      <c r="A1294" t="s">
        <v>17344</v>
      </c>
      <c r="B1294" t="s">
        <v>17748</v>
      </c>
      <c r="D1294" t="s">
        <v>17952</v>
      </c>
      <c r="E1294" t="s">
        <v>4215</v>
      </c>
      <c r="F1294" t="s">
        <v>17334</v>
      </c>
      <c r="G1294">
        <v>3</v>
      </c>
      <c r="O1294" t="s">
        <v>17952</v>
      </c>
    </row>
    <row r="1295" spans="1:15">
      <c r="A1295" t="s">
        <v>17344</v>
      </c>
      <c r="B1295" t="s">
        <v>17749</v>
      </c>
      <c r="D1295" t="s">
        <v>17978</v>
      </c>
      <c r="E1295" t="s">
        <v>4215</v>
      </c>
      <c r="F1295" t="s">
        <v>17334</v>
      </c>
      <c r="G1295">
        <v>3</v>
      </c>
      <c r="O1295" t="s">
        <v>17978</v>
      </c>
    </row>
    <row r="1296" spans="1:15">
      <c r="A1296" t="s">
        <v>17344</v>
      </c>
      <c r="B1296" t="s">
        <v>17750</v>
      </c>
      <c r="D1296" t="s">
        <v>17979</v>
      </c>
      <c r="E1296" t="s">
        <v>4215</v>
      </c>
      <c r="F1296" t="s">
        <v>17334</v>
      </c>
      <c r="G1296">
        <v>3</v>
      </c>
      <c r="O1296" t="s">
        <v>17979</v>
      </c>
    </row>
    <row r="1297" spans="1:15">
      <c r="A1297" t="s">
        <v>17344</v>
      </c>
      <c r="B1297" t="s">
        <v>17751</v>
      </c>
      <c r="D1297" t="s">
        <v>17952</v>
      </c>
      <c r="E1297" t="s">
        <v>4215</v>
      </c>
      <c r="F1297" t="s">
        <v>17334</v>
      </c>
      <c r="G1297">
        <v>3</v>
      </c>
      <c r="O1297" t="s">
        <v>17952</v>
      </c>
    </row>
    <row r="1298" spans="1:15">
      <c r="A1298" t="s">
        <v>17344</v>
      </c>
      <c r="B1298" t="s">
        <v>17752</v>
      </c>
      <c r="D1298" t="s">
        <v>17980</v>
      </c>
      <c r="E1298" t="s">
        <v>4215</v>
      </c>
      <c r="F1298" t="s">
        <v>17334</v>
      </c>
      <c r="G1298">
        <v>3</v>
      </c>
      <c r="O1298" t="s">
        <v>17980</v>
      </c>
    </row>
    <row r="1299" spans="1:15">
      <c r="A1299" t="s">
        <v>17344</v>
      </c>
      <c r="B1299" t="s">
        <v>17753</v>
      </c>
      <c r="D1299" t="s">
        <v>17953</v>
      </c>
      <c r="E1299" t="s">
        <v>4215</v>
      </c>
      <c r="F1299" t="s">
        <v>17334</v>
      </c>
      <c r="G1299">
        <v>3</v>
      </c>
      <c r="O1299" t="s">
        <v>17953</v>
      </c>
    </row>
    <row r="1300" spans="1:15">
      <c r="A1300" t="s">
        <v>17344</v>
      </c>
      <c r="B1300" t="s">
        <v>17900</v>
      </c>
      <c r="D1300" t="s">
        <v>17954</v>
      </c>
      <c r="E1300" t="s">
        <v>4215</v>
      </c>
      <c r="F1300" t="s">
        <v>17334</v>
      </c>
      <c r="G1300">
        <v>3</v>
      </c>
      <c r="O1300" t="s">
        <v>17954</v>
      </c>
    </row>
    <row r="1301" spans="1:15">
      <c r="A1301" t="s">
        <v>17344</v>
      </c>
      <c r="B1301" t="s">
        <v>17754</v>
      </c>
      <c r="D1301" t="s">
        <v>17955</v>
      </c>
      <c r="E1301" t="s">
        <v>4215</v>
      </c>
      <c r="F1301" t="s">
        <v>17334</v>
      </c>
      <c r="G1301">
        <v>3</v>
      </c>
      <c r="O1301" t="s">
        <v>17955</v>
      </c>
    </row>
    <row r="1302" spans="1:15">
      <c r="A1302" t="s">
        <v>17344</v>
      </c>
      <c r="B1302" t="s">
        <v>17916</v>
      </c>
      <c r="D1302" t="s">
        <v>17956</v>
      </c>
      <c r="E1302" t="s">
        <v>4215</v>
      </c>
      <c r="F1302" t="s">
        <v>17334</v>
      </c>
      <c r="G1302">
        <v>3</v>
      </c>
      <c r="O1302" t="s">
        <v>17956</v>
      </c>
    </row>
    <row r="1303" spans="1:15">
      <c r="A1303" t="s">
        <v>17344</v>
      </c>
      <c r="B1303" t="s">
        <v>17755</v>
      </c>
      <c r="D1303" t="s">
        <v>17957</v>
      </c>
      <c r="E1303" t="s">
        <v>4215</v>
      </c>
      <c r="F1303" t="s">
        <v>17334</v>
      </c>
      <c r="G1303">
        <v>3</v>
      </c>
      <c r="O1303" t="s">
        <v>17957</v>
      </c>
    </row>
    <row r="1304" spans="1:15">
      <c r="A1304" t="s">
        <v>17344</v>
      </c>
      <c r="B1304" t="s">
        <v>17756</v>
      </c>
      <c r="D1304" t="s">
        <v>17958</v>
      </c>
      <c r="E1304" t="s">
        <v>4215</v>
      </c>
      <c r="F1304" t="s">
        <v>17334</v>
      </c>
      <c r="G1304">
        <v>3</v>
      </c>
      <c r="O1304" t="s">
        <v>17958</v>
      </c>
    </row>
    <row r="1305" spans="1:15">
      <c r="A1305" t="s">
        <v>17344</v>
      </c>
      <c r="B1305" t="s">
        <v>17757</v>
      </c>
      <c r="D1305" t="s">
        <v>17981</v>
      </c>
      <c r="E1305" t="s">
        <v>4215</v>
      </c>
      <c r="F1305" t="s">
        <v>17334</v>
      </c>
      <c r="G1305">
        <v>3</v>
      </c>
      <c r="O1305" t="s">
        <v>17981</v>
      </c>
    </row>
    <row r="1306" spans="1:15">
      <c r="A1306" t="s">
        <v>17344</v>
      </c>
      <c r="B1306" t="s">
        <v>17758</v>
      </c>
      <c r="D1306" t="s">
        <v>17982</v>
      </c>
      <c r="E1306" t="s">
        <v>4215</v>
      </c>
      <c r="F1306" t="s">
        <v>17334</v>
      </c>
      <c r="G1306">
        <v>3</v>
      </c>
      <c r="O1306" t="s">
        <v>17982</v>
      </c>
    </row>
    <row r="1307" spans="1:15">
      <c r="A1307" t="s">
        <v>17344</v>
      </c>
      <c r="B1307" t="s">
        <v>17759</v>
      </c>
      <c r="D1307" t="s">
        <v>17959</v>
      </c>
      <c r="E1307" t="s">
        <v>4215</v>
      </c>
      <c r="F1307" t="s">
        <v>17334</v>
      </c>
      <c r="G1307">
        <v>3</v>
      </c>
      <c r="O1307" t="s">
        <v>17959</v>
      </c>
    </row>
    <row r="1308" spans="1:15">
      <c r="A1308" t="s">
        <v>17344</v>
      </c>
      <c r="B1308" t="s">
        <v>17760</v>
      </c>
      <c r="D1308" t="s">
        <v>17983</v>
      </c>
      <c r="E1308" t="s">
        <v>4215</v>
      </c>
      <c r="F1308" t="s">
        <v>17334</v>
      </c>
      <c r="G1308">
        <v>3</v>
      </c>
      <c r="O1308" t="s">
        <v>17983</v>
      </c>
    </row>
    <row r="1309" spans="1:15">
      <c r="A1309" t="s">
        <v>17344</v>
      </c>
      <c r="B1309" t="s">
        <v>17761</v>
      </c>
      <c r="D1309" t="s">
        <v>17984</v>
      </c>
      <c r="E1309" t="s">
        <v>4215</v>
      </c>
      <c r="F1309" t="s">
        <v>17334</v>
      </c>
      <c r="G1309">
        <v>3</v>
      </c>
      <c r="O1309" t="s">
        <v>17984</v>
      </c>
    </row>
    <row r="1310" spans="1:15">
      <c r="A1310" t="s">
        <v>17344</v>
      </c>
      <c r="B1310" t="s">
        <v>17762</v>
      </c>
      <c r="D1310" t="s">
        <v>17959</v>
      </c>
      <c r="E1310" t="s">
        <v>4215</v>
      </c>
      <c r="F1310" t="s">
        <v>17334</v>
      </c>
      <c r="G1310">
        <v>3</v>
      </c>
      <c r="O1310" t="s">
        <v>17959</v>
      </c>
    </row>
    <row r="1311" spans="1:15">
      <c r="A1311" t="s">
        <v>17344</v>
      </c>
      <c r="B1311" t="s">
        <v>17763</v>
      </c>
      <c r="D1311" t="s">
        <v>17985</v>
      </c>
      <c r="E1311" t="s">
        <v>4215</v>
      </c>
      <c r="F1311" t="s">
        <v>17334</v>
      </c>
      <c r="G1311">
        <v>3</v>
      </c>
      <c r="O1311" t="s">
        <v>17985</v>
      </c>
    </row>
    <row r="1312" spans="1:15">
      <c r="A1312" t="s">
        <v>17344</v>
      </c>
      <c r="B1312" t="s">
        <v>17764</v>
      </c>
      <c r="D1312" t="s">
        <v>17960</v>
      </c>
      <c r="E1312" t="s">
        <v>4215</v>
      </c>
      <c r="F1312" t="s">
        <v>17334</v>
      </c>
      <c r="G1312">
        <v>3</v>
      </c>
      <c r="O1312" t="s">
        <v>17960</v>
      </c>
    </row>
    <row r="1313" spans="1:15">
      <c r="A1313" t="s">
        <v>17344</v>
      </c>
      <c r="B1313" t="s">
        <v>17901</v>
      </c>
      <c r="D1313" t="s">
        <v>17961</v>
      </c>
      <c r="E1313" t="s">
        <v>4215</v>
      </c>
      <c r="F1313" t="s">
        <v>17334</v>
      </c>
      <c r="G1313">
        <v>3</v>
      </c>
      <c r="O1313" t="s">
        <v>17961</v>
      </c>
    </row>
    <row r="1314" spans="1:15">
      <c r="A1314" t="s">
        <v>17344</v>
      </c>
      <c r="B1314" t="s">
        <v>17765</v>
      </c>
      <c r="D1314" t="s">
        <v>17962</v>
      </c>
      <c r="E1314" t="s">
        <v>4215</v>
      </c>
      <c r="F1314" t="s">
        <v>17334</v>
      </c>
      <c r="G1314">
        <v>3</v>
      </c>
      <c r="O1314" t="s">
        <v>17962</v>
      </c>
    </row>
    <row r="1315" spans="1:15">
      <c r="A1315" t="s">
        <v>17344</v>
      </c>
      <c r="B1315" t="s">
        <v>17917</v>
      </c>
      <c r="D1315" t="s">
        <v>17963</v>
      </c>
      <c r="E1315" t="s">
        <v>4215</v>
      </c>
      <c r="F1315" t="s">
        <v>17334</v>
      </c>
      <c r="G1315">
        <v>3</v>
      </c>
      <c r="O1315" t="s">
        <v>17963</v>
      </c>
    </row>
    <row r="1316" spans="1:15">
      <c r="A1316" t="s">
        <v>17344</v>
      </c>
      <c r="B1316" t="s">
        <v>17766</v>
      </c>
      <c r="D1316" t="s">
        <v>17964</v>
      </c>
      <c r="E1316" t="s">
        <v>4215</v>
      </c>
      <c r="F1316" t="s">
        <v>17334</v>
      </c>
      <c r="G1316">
        <v>3</v>
      </c>
      <c r="O1316" t="s">
        <v>17964</v>
      </c>
    </row>
    <row r="1317" spans="1:15">
      <c r="A1317" t="s">
        <v>17344</v>
      </c>
      <c r="B1317" t="s">
        <v>17767</v>
      </c>
      <c r="D1317" t="s">
        <v>17965</v>
      </c>
      <c r="E1317" t="s">
        <v>4215</v>
      </c>
      <c r="F1317" t="s">
        <v>17334</v>
      </c>
      <c r="G1317">
        <v>3</v>
      </c>
      <c r="O1317" t="s">
        <v>17965</v>
      </c>
    </row>
    <row r="1318" spans="1:15">
      <c r="A1318" t="s">
        <v>17344</v>
      </c>
      <c r="B1318" t="s">
        <v>17768</v>
      </c>
      <c r="D1318" t="s">
        <v>17986</v>
      </c>
      <c r="E1318" t="s">
        <v>4215</v>
      </c>
      <c r="F1318" t="s">
        <v>17334</v>
      </c>
      <c r="G1318">
        <v>3</v>
      </c>
      <c r="O1318" t="s">
        <v>17986</v>
      </c>
    </row>
    <row r="1319" spans="1:15">
      <c r="A1319" t="s">
        <v>17344</v>
      </c>
      <c r="B1319" t="s">
        <v>17769</v>
      </c>
      <c r="D1319" t="s">
        <v>17987</v>
      </c>
      <c r="E1319" t="s">
        <v>4215</v>
      </c>
      <c r="F1319" t="s">
        <v>17334</v>
      </c>
      <c r="G1319">
        <v>3</v>
      </c>
      <c r="O1319" t="s">
        <v>17987</v>
      </c>
    </row>
    <row r="1320" spans="1:15">
      <c r="A1320" t="s">
        <v>17344</v>
      </c>
      <c r="B1320" t="s">
        <v>17770</v>
      </c>
      <c r="D1320" t="s">
        <v>17966</v>
      </c>
      <c r="E1320" t="s">
        <v>4215</v>
      </c>
      <c r="F1320" t="s">
        <v>17334</v>
      </c>
      <c r="G1320">
        <v>3</v>
      </c>
      <c r="O1320" t="s">
        <v>17966</v>
      </c>
    </row>
    <row r="1321" spans="1:15">
      <c r="A1321" t="s">
        <v>17344</v>
      </c>
      <c r="B1321" t="s">
        <v>17771</v>
      </c>
      <c r="D1321" t="s">
        <v>17988</v>
      </c>
      <c r="E1321" t="s">
        <v>4215</v>
      </c>
      <c r="F1321" t="s">
        <v>17334</v>
      </c>
      <c r="G1321">
        <v>3</v>
      </c>
      <c r="O1321" t="s">
        <v>17988</v>
      </c>
    </row>
    <row r="1322" spans="1:15">
      <c r="A1322" t="s">
        <v>17344</v>
      </c>
      <c r="B1322" t="s">
        <v>17772</v>
      </c>
      <c r="D1322" t="s">
        <v>17989</v>
      </c>
      <c r="E1322" t="s">
        <v>4215</v>
      </c>
      <c r="F1322" t="s">
        <v>17334</v>
      </c>
      <c r="G1322">
        <v>3</v>
      </c>
      <c r="O1322" t="s">
        <v>17989</v>
      </c>
    </row>
    <row r="1323" spans="1:15">
      <c r="A1323" t="s">
        <v>17344</v>
      </c>
      <c r="B1323" t="s">
        <v>17773</v>
      </c>
      <c r="D1323" t="s">
        <v>17966</v>
      </c>
      <c r="E1323" t="s">
        <v>4215</v>
      </c>
      <c r="F1323" t="s">
        <v>17334</v>
      </c>
      <c r="G1323">
        <v>3</v>
      </c>
      <c r="O1323" t="s">
        <v>17966</v>
      </c>
    </row>
    <row r="1324" spans="1:15">
      <c r="A1324" t="s">
        <v>17344</v>
      </c>
      <c r="B1324" t="s">
        <v>17774</v>
      </c>
      <c r="D1324" t="s">
        <v>17990</v>
      </c>
      <c r="E1324" t="s">
        <v>4215</v>
      </c>
      <c r="F1324" t="s">
        <v>17334</v>
      </c>
      <c r="G1324">
        <v>3</v>
      </c>
      <c r="O1324" t="s">
        <v>17990</v>
      </c>
    </row>
    <row r="1325" spans="1:15">
      <c r="A1325" t="s">
        <v>17344</v>
      </c>
      <c r="B1325" t="s">
        <v>17775</v>
      </c>
      <c r="D1325" t="s">
        <v>17967</v>
      </c>
      <c r="E1325" t="s">
        <v>4215</v>
      </c>
      <c r="F1325" t="s">
        <v>17334</v>
      </c>
      <c r="G1325">
        <v>3</v>
      </c>
      <c r="O1325" t="s">
        <v>17967</v>
      </c>
    </row>
    <row r="1326" spans="1:15">
      <c r="A1326" t="s">
        <v>17344</v>
      </c>
      <c r="B1326" t="s">
        <v>17902</v>
      </c>
      <c r="D1326" t="s">
        <v>17968</v>
      </c>
      <c r="E1326" t="s">
        <v>4215</v>
      </c>
      <c r="F1326" t="s">
        <v>17334</v>
      </c>
      <c r="G1326">
        <v>3</v>
      </c>
      <c r="O1326" t="s">
        <v>17968</v>
      </c>
    </row>
    <row r="1327" spans="1:15">
      <c r="A1327" t="s">
        <v>17344</v>
      </c>
      <c r="B1327" t="s">
        <v>17776</v>
      </c>
      <c r="D1327" t="s">
        <v>17969</v>
      </c>
      <c r="E1327" t="s">
        <v>4215</v>
      </c>
      <c r="F1327" t="s">
        <v>17334</v>
      </c>
      <c r="G1327">
        <v>3</v>
      </c>
      <c r="O1327" t="s">
        <v>17969</v>
      </c>
    </row>
    <row r="1328" spans="1:15">
      <c r="A1328" t="s">
        <v>17344</v>
      </c>
      <c r="B1328" t="s">
        <v>17918</v>
      </c>
      <c r="D1328" t="s">
        <v>17970</v>
      </c>
      <c r="E1328" t="s">
        <v>4215</v>
      </c>
      <c r="F1328" t="s">
        <v>17334</v>
      </c>
      <c r="G1328">
        <v>3</v>
      </c>
      <c r="O1328" t="s">
        <v>17970</v>
      </c>
    </row>
    <row r="1329" spans="1:15">
      <c r="A1329" t="s">
        <v>17344</v>
      </c>
      <c r="B1329" t="s">
        <v>17777</v>
      </c>
      <c r="D1329" t="s">
        <v>17991</v>
      </c>
      <c r="E1329" t="s">
        <v>4215</v>
      </c>
      <c r="F1329" t="s">
        <v>17334</v>
      </c>
      <c r="G1329">
        <v>3</v>
      </c>
      <c r="O1329" t="s">
        <v>17991</v>
      </c>
    </row>
    <row r="1330" spans="1:15">
      <c r="A1330" t="s">
        <v>17344</v>
      </c>
      <c r="B1330" t="s">
        <v>17778</v>
      </c>
      <c r="D1330" t="s">
        <v>17992</v>
      </c>
      <c r="E1330" t="s">
        <v>4215</v>
      </c>
      <c r="F1330" t="s">
        <v>17334</v>
      </c>
      <c r="G1330">
        <v>3</v>
      </c>
      <c r="O1330" t="s">
        <v>17992</v>
      </c>
    </row>
    <row r="1331" spans="1:15">
      <c r="A1331" t="s">
        <v>17344</v>
      </c>
      <c r="B1331" t="s">
        <v>17779</v>
      </c>
      <c r="D1331" t="s">
        <v>17993</v>
      </c>
      <c r="E1331" t="s">
        <v>4215</v>
      </c>
      <c r="F1331" t="s">
        <v>17334</v>
      </c>
      <c r="G1331">
        <v>3</v>
      </c>
      <c r="O1331" t="s">
        <v>17993</v>
      </c>
    </row>
    <row r="1332" spans="1:15">
      <c r="A1332" t="s">
        <v>17344</v>
      </c>
      <c r="B1332" t="s">
        <v>17780</v>
      </c>
      <c r="D1332" t="s">
        <v>17994</v>
      </c>
      <c r="E1332" t="s">
        <v>4215</v>
      </c>
      <c r="F1332" t="s">
        <v>17334</v>
      </c>
      <c r="G1332">
        <v>3</v>
      </c>
      <c r="O1332" t="s">
        <v>17994</v>
      </c>
    </row>
    <row r="1333" spans="1:15">
      <c r="A1333" t="s">
        <v>17344</v>
      </c>
      <c r="B1333" t="s">
        <v>17781</v>
      </c>
      <c r="D1333" t="s">
        <v>17995</v>
      </c>
      <c r="E1333" t="s">
        <v>4215</v>
      </c>
      <c r="F1333" t="s">
        <v>17334</v>
      </c>
      <c r="G1333">
        <v>3</v>
      </c>
      <c r="O1333" t="s">
        <v>17995</v>
      </c>
    </row>
    <row r="1334" spans="1:15">
      <c r="A1334" t="s">
        <v>17344</v>
      </c>
      <c r="B1334" t="s">
        <v>17782</v>
      </c>
      <c r="D1334" t="s">
        <v>17996</v>
      </c>
      <c r="E1334" t="s">
        <v>4215</v>
      </c>
      <c r="F1334" t="s">
        <v>17334</v>
      </c>
      <c r="G1334">
        <v>3</v>
      </c>
      <c r="O1334" t="s">
        <v>17996</v>
      </c>
    </row>
    <row r="1335" spans="1:15">
      <c r="A1335" t="s">
        <v>17344</v>
      </c>
      <c r="B1335" t="s">
        <v>17783</v>
      </c>
      <c r="D1335" t="s">
        <v>17997</v>
      </c>
      <c r="E1335" t="s">
        <v>4215</v>
      </c>
      <c r="F1335" t="s">
        <v>17334</v>
      </c>
      <c r="G1335">
        <v>3</v>
      </c>
      <c r="O1335" t="s">
        <v>17997</v>
      </c>
    </row>
    <row r="1336" spans="1:15">
      <c r="A1336" t="s">
        <v>17344</v>
      </c>
      <c r="B1336" t="s">
        <v>17784</v>
      </c>
      <c r="D1336" t="s">
        <v>17995</v>
      </c>
      <c r="E1336" t="s">
        <v>4215</v>
      </c>
      <c r="F1336" t="s">
        <v>17334</v>
      </c>
      <c r="G1336">
        <v>3</v>
      </c>
      <c r="O1336" t="s">
        <v>17995</v>
      </c>
    </row>
    <row r="1337" spans="1:15">
      <c r="A1337" t="s">
        <v>17344</v>
      </c>
      <c r="B1337" t="s">
        <v>17785</v>
      </c>
      <c r="D1337" t="s">
        <v>17998</v>
      </c>
      <c r="E1337" t="s">
        <v>4215</v>
      </c>
      <c r="F1337" t="s">
        <v>17334</v>
      </c>
      <c r="G1337">
        <v>3</v>
      </c>
      <c r="O1337" t="s">
        <v>17998</v>
      </c>
    </row>
    <row r="1338" spans="1:15">
      <c r="A1338" t="s">
        <v>17344</v>
      </c>
      <c r="B1338" t="s">
        <v>17786</v>
      </c>
      <c r="D1338" t="s">
        <v>17999</v>
      </c>
      <c r="E1338" t="s">
        <v>4215</v>
      </c>
      <c r="F1338" t="s">
        <v>17334</v>
      </c>
      <c r="G1338">
        <v>3</v>
      </c>
      <c r="O1338" t="s">
        <v>17999</v>
      </c>
    </row>
    <row r="1339" spans="1:15">
      <c r="A1339" t="s">
        <v>17344</v>
      </c>
      <c r="B1339" t="s">
        <v>17903</v>
      </c>
      <c r="D1339" t="s">
        <v>18000</v>
      </c>
      <c r="E1339" t="s">
        <v>4215</v>
      </c>
      <c r="F1339" t="s">
        <v>17334</v>
      </c>
      <c r="G1339">
        <v>3</v>
      </c>
      <c r="O1339" t="s">
        <v>18000</v>
      </c>
    </row>
    <row r="1340" spans="1:15">
      <c r="A1340" t="s">
        <v>17344</v>
      </c>
      <c r="B1340" t="s">
        <v>17787</v>
      </c>
      <c r="D1340" t="s">
        <v>18001</v>
      </c>
      <c r="E1340" t="s">
        <v>4215</v>
      </c>
      <c r="F1340" t="s">
        <v>17334</v>
      </c>
      <c r="G1340">
        <v>3</v>
      </c>
      <c r="O1340" t="s">
        <v>18001</v>
      </c>
    </row>
    <row r="1341" spans="1:15">
      <c r="A1341" t="s">
        <v>17344</v>
      </c>
      <c r="B1341" t="s">
        <v>17919</v>
      </c>
      <c r="D1341" t="s">
        <v>18002</v>
      </c>
      <c r="E1341" t="s">
        <v>4215</v>
      </c>
      <c r="F1341" t="s">
        <v>17334</v>
      </c>
      <c r="G1341">
        <v>3</v>
      </c>
      <c r="O1341" t="s">
        <v>18002</v>
      </c>
    </row>
    <row r="1342" spans="1:15">
      <c r="A1342" t="s">
        <v>17344</v>
      </c>
      <c r="B1342" t="s">
        <v>17788</v>
      </c>
      <c r="D1342" t="s">
        <v>18003</v>
      </c>
      <c r="E1342" t="s">
        <v>4215</v>
      </c>
      <c r="F1342" t="s">
        <v>17334</v>
      </c>
      <c r="G1342">
        <v>3</v>
      </c>
      <c r="O1342" t="s">
        <v>18003</v>
      </c>
    </row>
    <row r="1343" spans="1:15">
      <c r="A1343" t="s">
        <v>17344</v>
      </c>
      <c r="B1343" t="s">
        <v>17789</v>
      </c>
      <c r="D1343" t="s">
        <v>18004</v>
      </c>
      <c r="E1343" t="s">
        <v>4215</v>
      </c>
      <c r="F1343" t="s">
        <v>17334</v>
      </c>
      <c r="G1343">
        <v>3</v>
      </c>
      <c r="O1343" t="s">
        <v>18004</v>
      </c>
    </row>
    <row r="1344" spans="1:15">
      <c r="A1344" t="s">
        <v>17344</v>
      </c>
      <c r="B1344" t="s">
        <v>17790</v>
      </c>
      <c r="D1344" t="s">
        <v>18005</v>
      </c>
      <c r="E1344" t="s">
        <v>4215</v>
      </c>
      <c r="F1344" t="s">
        <v>17334</v>
      </c>
      <c r="G1344">
        <v>3</v>
      </c>
      <c r="O1344" t="s">
        <v>18005</v>
      </c>
    </row>
    <row r="1345" spans="1:15">
      <c r="A1345" t="s">
        <v>17344</v>
      </c>
      <c r="B1345" t="s">
        <v>17791</v>
      </c>
      <c r="D1345" t="s">
        <v>18006</v>
      </c>
      <c r="E1345" t="s">
        <v>4215</v>
      </c>
      <c r="F1345" t="s">
        <v>17334</v>
      </c>
      <c r="G1345">
        <v>3</v>
      </c>
      <c r="O1345" t="s">
        <v>18006</v>
      </c>
    </row>
    <row r="1346" spans="1:15">
      <c r="A1346" t="s">
        <v>17344</v>
      </c>
      <c r="B1346" t="s">
        <v>17792</v>
      </c>
      <c r="D1346" t="s">
        <v>18007</v>
      </c>
      <c r="E1346" t="s">
        <v>4215</v>
      </c>
      <c r="F1346" t="s">
        <v>17334</v>
      </c>
      <c r="G1346">
        <v>3</v>
      </c>
      <c r="O1346" t="s">
        <v>18007</v>
      </c>
    </row>
    <row r="1347" spans="1:15">
      <c r="A1347" t="s">
        <v>17344</v>
      </c>
      <c r="B1347" t="s">
        <v>17793</v>
      </c>
      <c r="D1347" t="s">
        <v>18008</v>
      </c>
      <c r="E1347" t="s">
        <v>4215</v>
      </c>
      <c r="F1347" t="s">
        <v>17334</v>
      </c>
      <c r="G1347">
        <v>3</v>
      </c>
      <c r="O1347" t="s">
        <v>18008</v>
      </c>
    </row>
    <row r="1348" spans="1:15">
      <c r="A1348" t="s">
        <v>17344</v>
      </c>
      <c r="B1348" t="s">
        <v>17794</v>
      </c>
      <c r="D1348" t="s">
        <v>18009</v>
      </c>
      <c r="E1348" t="s">
        <v>4215</v>
      </c>
      <c r="F1348" t="s">
        <v>17334</v>
      </c>
      <c r="G1348">
        <v>3</v>
      </c>
      <c r="O1348" t="s">
        <v>18009</v>
      </c>
    </row>
    <row r="1349" spans="1:15">
      <c r="A1349" t="s">
        <v>17344</v>
      </c>
      <c r="B1349" t="s">
        <v>17795</v>
      </c>
      <c r="D1349" t="s">
        <v>18007</v>
      </c>
      <c r="E1349" t="s">
        <v>4215</v>
      </c>
      <c r="F1349" t="s">
        <v>17334</v>
      </c>
      <c r="G1349">
        <v>3</v>
      </c>
      <c r="O1349" t="s">
        <v>18007</v>
      </c>
    </row>
    <row r="1350" spans="1:15">
      <c r="A1350" t="s">
        <v>17344</v>
      </c>
      <c r="B1350" t="s">
        <v>17796</v>
      </c>
      <c r="D1350" t="s">
        <v>18010</v>
      </c>
      <c r="E1350" t="s">
        <v>4215</v>
      </c>
      <c r="F1350" t="s">
        <v>17334</v>
      </c>
      <c r="G1350">
        <v>3</v>
      </c>
      <c r="O1350" t="s">
        <v>18010</v>
      </c>
    </row>
    <row r="1351" spans="1:15">
      <c r="A1351" t="s">
        <v>17344</v>
      </c>
      <c r="B1351" t="s">
        <v>17797</v>
      </c>
      <c r="D1351" t="s">
        <v>18011</v>
      </c>
      <c r="E1351" t="s">
        <v>4215</v>
      </c>
      <c r="F1351" t="s">
        <v>17334</v>
      </c>
      <c r="G1351">
        <v>3</v>
      </c>
      <c r="O1351" t="s">
        <v>18011</v>
      </c>
    </row>
    <row r="1352" spans="1:15">
      <c r="A1352" t="s">
        <v>17344</v>
      </c>
      <c r="B1352" t="s">
        <v>17904</v>
      </c>
      <c r="D1352" t="s">
        <v>18012</v>
      </c>
      <c r="E1352" t="s">
        <v>4215</v>
      </c>
      <c r="F1352" t="s">
        <v>17334</v>
      </c>
      <c r="G1352">
        <v>3</v>
      </c>
      <c r="O1352" t="s">
        <v>18012</v>
      </c>
    </row>
    <row r="1353" spans="1:15">
      <c r="A1353" t="s">
        <v>17344</v>
      </c>
      <c r="B1353" t="s">
        <v>17798</v>
      </c>
      <c r="D1353" t="s">
        <v>18013</v>
      </c>
      <c r="E1353" t="s">
        <v>4215</v>
      </c>
      <c r="F1353" t="s">
        <v>17334</v>
      </c>
      <c r="G1353">
        <v>3</v>
      </c>
      <c r="O1353" t="s">
        <v>18013</v>
      </c>
    </row>
    <row r="1354" spans="1:15">
      <c r="A1354" t="s">
        <v>17344</v>
      </c>
      <c r="B1354" t="s">
        <v>17920</v>
      </c>
      <c r="D1354" t="s">
        <v>18014</v>
      </c>
      <c r="E1354" t="s">
        <v>4215</v>
      </c>
      <c r="F1354" t="s">
        <v>17334</v>
      </c>
      <c r="G1354">
        <v>3</v>
      </c>
      <c r="O1354" t="s">
        <v>18014</v>
      </c>
    </row>
    <row r="1355" spans="1:15">
      <c r="A1355" t="s">
        <v>17344</v>
      </c>
      <c r="B1355" t="s">
        <v>17799</v>
      </c>
      <c r="D1355" t="s">
        <v>18015</v>
      </c>
      <c r="E1355" t="s">
        <v>4215</v>
      </c>
      <c r="F1355" t="s">
        <v>17334</v>
      </c>
      <c r="G1355">
        <v>3</v>
      </c>
      <c r="O1355" t="s">
        <v>18015</v>
      </c>
    </row>
    <row r="1356" spans="1:15">
      <c r="A1356" t="s">
        <v>17344</v>
      </c>
      <c r="B1356" t="s">
        <v>17800</v>
      </c>
      <c r="D1356" t="s">
        <v>18016</v>
      </c>
      <c r="E1356" t="s">
        <v>4215</v>
      </c>
      <c r="F1356" t="s">
        <v>17334</v>
      </c>
      <c r="G1356">
        <v>3</v>
      </c>
      <c r="O1356" t="s">
        <v>18016</v>
      </c>
    </row>
    <row r="1357" spans="1:15">
      <c r="A1357" t="s">
        <v>17344</v>
      </c>
      <c r="B1357" t="s">
        <v>17801</v>
      </c>
      <c r="D1357" t="s">
        <v>18017</v>
      </c>
      <c r="E1357" t="s">
        <v>4215</v>
      </c>
      <c r="F1357" t="s">
        <v>17334</v>
      </c>
      <c r="G1357">
        <v>3</v>
      </c>
      <c r="O1357" t="s">
        <v>18017</v>
      </c>
    </row>
    <row r="1358" spans="1:15">
      <c r="A1358" t="s">
        <v>17344</v>
      </c>
      <c r="B1358" t="s">
        <v>17802</v>
      </c>
      <c r="D1358" t="s">
        <v>18018</v>
      </c>
      <c r="E1358" t="s">
        <v>4215</v>
      </c>
      <c r="F1358" t="s">
        <v>17334</v>
      </c>
      <c r="G1358">
        <v>3</v>
      </c>
      <c r="O1358" t="s">
        <v>18018</v>
      </c>
    </row>
    <row r="1359" spans="1:15">
      <c r="A1359" t="s">
        <v>17344</v>
      </c>
      <c r="B1359" t="s">
        <v>17803</v>
      </c>
      <c r="D1359" t="s">
        <v>18019</v>
      </c>
      <c r="E1359" t="s">
        <v>4215</v>
      </c>
      <c r="F1359" t="s">
        <v>17334</v>
      </c>
      <c r="G1359">
        <v>3</v>
      </c>
      <c r="O1359" t="s">
        <v>18019</v>
      </c>
    </row>
    <row r="1360" spans="1:15">
      <c r="A1360" t="s">
        <v>17344</v>
      </c>
      <c r="B1360" t="s">
        <v>17804</v>
      </c>
      <c r="D1360" t="s">
        <v>18020</v>
      </c>
      <c r="E1360" t="s">
        <v>4215</v>
      </c>
      <c r="F1360" t="s">
        <v>17334</v>
      </c>
      <c r="G1360">
        <v>3</v>
      </c>
      <c r="O1360" t="s">
        <v>18020</v>
      </c>
    </row>
    <row r="1361" spans="1:15">
      <c r="A1361" t="s">
        <v>17344</v>
      </c>
      <c r="B1361" t="s">
        <v>17805</v>
      </c>
      <c r="D1361" t="s">
        <v>18021</v>
      </c>
      <c r="E1361" t="s">
        <v>4215</v>
      </c>
      <c r="F1361" t="s">
        <v>17334</v>
      </c>
      <c r="G1361">
        <v>3</v>
      </c>
      <c r="O1361" t="s">
        <v>18021</v>
      </c>
    </row>
    <row r="1362" spans="1:15">
      <c r="A1362" t="s">
        <v>17344</v>
      </c>
      <c r="B1362" t="s">
        <v>17806</v>
      </c>
      <c r="D1362" t="s">
        <v>18019</v>
      </c>
      <c r="E1362" t="s">
        <v>4215</v>
      </c>
      <c r="F1362" t="s">
        <v>17334</v>
      </c>
      <c r="G1362">
        <v>3</v>
      </c>
      <c r="O1362" t="s">
        <v>18019</v>
      </c>
    </row>
    <row r="1363" spans="1:15">
      <c r="A1363" t="s">
        <v>17344</v>
      </c>
      <c r="B1363" t="s">
        <v>17807</v>
      </c>
      <c r="D1363" t="s">
        <v>18022</v>
      </c>
      <c r="E1363" t="s">
        <v>4215</v>
      </c>
      <c r="F1363" t="s">
        <v>17334</v>
      </c>
      <c r="G1363">
        <v>3</v>
      </c>
      <c r="O1363" t="s">
        <v>18022</v>
      </c>
    </row>
    <row r="1364" spans="1:15">
      <c r="A1364" t="s">
        <v>17344</v>
      </c>
      <c r="B1364" t="s">
        <v>17808</v>
      </c>
      <c r="D1364" t="s">
        <v>18023</v>
      </c>
      <c r="E1364" t="s">
        <v>4215</v>
      </c>
      <c r="F1364" t="s">
        <v>17334</v>
      </c>
      <c r="G1364">
        <v>3</v>
      </c>
      <c r="O1364" t="s">
        <v>18023</v>
      </c>
    </row>
    <row r="1365" spans="1:15">
      <c r="A1365" t="s">
        <v>17344</v>
      </c>
      <c r="B1365" t="s">
        <v>17905</v>
      </c>
      <c r="D1365" t="s">
        <v>18024</v>
      </c>
      <c r="E1365" t="s">
        <v>4215</v>
      </c>
      <c r="F1365" t="s">
        <v>17334</v>
      </c>
      <c r="G1365">
        <v>3</v>
      </c>
      <c r="O1365" t="s">
        <v>18024</v>
      </c>
    </row>
    <row r="1366" spans="1:15">
      <c r="A1366" t="s">
        <v>17344</v>
      </c>
      <c r="B1366" t="s">
        <v>17809</v>
      </c>
      <c r="D1366" t="s">
        <v>18025</v>
      </c>
      <c r="E1366" t="s">
        <v>4215</v>
      </c>
      <c r="F1366" t="s">
        <v>17334</v>
      </c>
      <c r="G1366">
        <v>3</v>
      </c>
      <c r="O1366" t="s">
        <v>18025</v>
      </c>
    </row>
    <row r="1367" spans="1:15">
      <c r="A1367" t="s">
        <v>17344</v>
      </c>
      <c r="B1367" t="s">
        <v>17921</v>
      </c>
      <c r="D1367" t="s">
        <v>18026</v>
      </c>
      <c r="E1367" t="s">
        <v>4215</v>
      </c>
      <c r="F1367" t="s">
        <v>17334</v>
      </c>
      <c r="G1367">
        <v>3</v>
      </c>
      <c r="O1367" t="s">
        <v>18026</v>
      </c>
    </row>
    <row r="1368" spans="1:15">
      <c r="A1368" t="s">
        <v>17344</v>
      </c>
      <c r="B1368" t="s">
        <v>17810</v>
      </c>
      <c r="D1368" t="s">
        <v>18027</v>
      </c>
      <c r="E1368" t="s">
        <v>4215</v>
      </c>
      <c r="F1368" t="s">
        <v>17334</v>
      </c>
      <c r="G1368">
        <v>3</v>
      </c>
      <c r="O1368" t="s">
        <v>18027</v>
      </c>
    </row>
    <row r="1369" spans="1:15">
      <c r="A1369" t="s">
        <v>17344</v>
      </c>
      <c r="B1369" t="s">
        <v>17811</v>
      </c>
      <c r="D1369" t="s">
        <v>18028</v>
      </c>
      <c r="E1369" t="s">
        <v>4215</v>
      </c>
      <c r="F1369" t="s">
        <v>17334</v>
      </c>
      <c r="G1369">
        <v>3</v>
      </c>
      <c r="O1369" t="s">
        <v>18028</v>
      </c>
    </row>
    <row r="1370" spans="1:15">
      <c r="A1370" t="s">
        <v>17344</v>
      </c>
      <c r="B1370" t="s">
        <v>17812</v>
      </c>
      <c r="D1370" t="s">
        <v>18029</v>
      </c>
      <c r="E1370" t="s">
        <v>4215</v>
      </c>
      <c r="F1370" t="s">
        <v>17334</v>
      </c>
      <c r="G1370">
        <v>3</v>
      </c>
      <c r="O1370" t="s">
        <v>18029</v>
      </c>
    </row>
    <row r="1371" spans="1:15">
      <c r="A1371" t="s">
        <v>17344</v>
      </c>
      <c r="B1371" t="s">
        <v>17813</v>
      </c>
      <c r="D1371" t="s">
        <v>18030</v>
      </c>
      <c r="E1371" t="s">
        <v>4215</v>
      </c>
      <c r="F1371" t="s">
        <v>17334</v>
      </c>
      <c r="G1371">
        <v>3</v>
      </c>
      <c r="O1371" t="s">
        <v>18030</v>
      </c>
    </row>
    <row r="1372" spans="1:15">
      <c r="A1372" t="s">
        <v>17344</v>
      </c>
      <c r="B1372" t="s">
        <v>17814</v>
      </c>
      <c r="D1372" t="s">
        <v>18031</v>
      </c>
      <c r="E1372" t="s">
        <v>4215</v>
      </c>
      <c r="F1372" t="s">
        <v>17334</v>
      </c>
      <c r="G1372">
        <v>3</v>
      </c>
      <c r="O1372" t="s">
        <v>18031</v>
      </c>
    </row>
    <row r="1373" spans="1:15">
      <c r="A1373" t="s">
        <v>17344</v>
      </c>
      <c r="B1373" t="s">
        <v>17815</v>
      </c>
      <c r="D1373" t="s">
        <v>18032</v>
      </c>
      <c r="E1373" t="s">
        <v>4215</v>
      </c>
      <c r="F1373" t="s">
        <v>17334</v>
      </c>
      <c r="G1373">
        <v>3</v>
      </c>
      <c r="O1373" t="s">
        <v>18032</v>
      </c>
    </row>
    <row r="1374" spans="1:15">
      <c r="A1374" t="s">
        <v>17344</v>
      </c>
      <c r="B1374" t="s">
        <v>17816</v>
      </c>
      <c r="D1374" t="s">
        <v>18033</v>
      </c>
      <c r="E1374" t="s">
        <v>4215</v>
      </c>
      <c r="F1374" t="s">
        <v>17334</v>
      </c>
      <c r="G1374">
        <v>3</v>
      </c>
      <c r="O1374" t="s">
        <v>18033</v>
      </c>
    </row>
    <row r="1375" spans="1:15">
      <c r="A1375" t="s">
        <v>17344</v>
      </c>
      <c r="B1375" t="s">
        <v>17817</v>
      </c>
      <c r="D1375" t="s">
        <v>18031</v>
      </c>
      <c r="E1375" t="s">
        <v>4215</v>
      </c>
      <c r="F1375" t="s">
        <v>17334</v>
      </c>
      <c r="G1375">
        <v>3</v>
      </c>
      <c r="O1375" t="s">
        <v>18031</v>
      </c>
    </row>
    <row r="1376" spans="1:15">
      <c r="A1376" t="s">
        <v>17344</v>
      </c>
      <c r="B1376" t="s">
        <v>17818</v>
      </c>
      <c r="D1376" t="s">
        <v>18034</v>
      </c>
      <c r="E1376" t="s">
        <v>4215</v>
      </c>
      <c r="F1376" t="s">
        <v>17334</v>
      </c>
      <c r="G1376">
        <v>3</v>
      </c>
      <c r="O1376" t="s">
        <v>18034</v>
      </c>
    </row>
    <row r="1377" spans="1:15">
      <c r="A1377" t="s">
        <v>17344</v>
      </c>
      <c r="B1377" t="s">
        <v>17819</v>
      </c>
      <c r="D1377" t="s">
        <v>18035</v>
      </c>
      <c r="E1377" t="s">
        <v>4215</v>
      </c>
      <c r="F1377" t="s">
        <v>17334</v>
      </c>
      <c r="G1377">
        <v>3</v>
      </c>
      <c r="O1377" t="s">
        <v>18035</v>
      </c>
    </row>
    <row r="1378" spans="1:15">
      <c r="A1378" t="s">
        <v>17344</v>
      </c>
      <c r="B1378" t="s">
        <v>17906</v>
      </c>
      <c r="D1378" t="s">
        <v>18036</v>
      </c>
      <c r="E1378" t="s">
        <v>4215</v>
      </c>
      <c r="F1378" t="s">
        <v>17334</v>
      </c>
      <c r="G1378">
        <v>3</v>
      </c>
      <c r="O1378" t="s">
        <v>18036</v>
      </c>
    </row>
    <row r="1379" spans="1:15">
      <c r="A1379" t="s">
        <v>17344</v>
      </c>
      <c r="B1379" t="s">
        <v>17820</v>
      </c>
      <c r="D1379" t="s">
        <v>18037</v>
      </c>
      <c r="E1379" t="s">
        <v>4215</v>
      </c>
      <c r="F1379" t="s">
        <v>17334</v>
      </c>
      <c r="G1379">
        <v>3</v>
      </c>
      <c r="O1379" t="s">
        <v>18037</v>
      </c>
    </row>
    <row r="1380" spans="1:15">
      <c r="A1380" t="s">
        <v>17344</v>
      </c>
      <c r="B1380" t="s">
        <v>17922</v>
      </c>
      <c r="D1380" t="s">
        <v>18038</v>
      </c>
      <c r="E1380" t="s">
        <v>4215</v>
      </c>
      <c r="F1380" t="s">
        <v>17334</v>
      </c>
      <c r="G1380">
        <v>3</v>
      </c>
      <c r="O1380" t="s">
        <v>18038</v>
      </c>
    </row>
    <row r="1381" spans="1:15">
      <c r="A1381" t="s">
        <v>17344</v>
      </c>
      <c r="B1381" t="s">
        <v>17821</v>
      </c>
      <c r="D1381" t="s">
        <v>18039</v>
      </c>
      <c r="E1381" t="s">
        <v>4215</v>
      </c>
      <c r="F1381" t="s">
        <v>17334</v>
      </c>
      <c r="G1381">
        <v>3</v>
      </c>
      <c r="O1381" t="s">
        <v>18039</v>
      </c>
    </row>
    <row r="1382" spans="1:15">
      <c r="A1382" t="s">
        <v>17344</v>
      </c>
      <c r="B1382" t="s">
        <v>17822</v>
      </c>
      <c r="D1382" t="s">
        <v>18040</v>
      </c>
      <c r="E1382" t="s">
        <v>4215</v>
      </c>
      <c r="F1382" t="s">
        <v>17334</v>
      </c>
      <c r="G1382">
        <v>3</v>
      </c>
      <c r="O1382" t="s">
        <v>18040</v>
      </c>
    </row>
    <row r="1383" spans="1:15">
      <c r="A1383" t="s">
        <v>17344</v>
      </c>
      <c r="B1383" t="s">
        <v>17823</v>
      </c>
      <c r="D1383" t="s">
        <v>18041</v>
      </c>
      <c r="E1383" t="s">
        <v>4215</v>
      </c>
      <c r="F1383" t="s">
        <v>17334</v>
      </c>
      <c r="G1383">
        <v>3</v>
      </c>
      <c r="O1383" t="s">
        <v>18041</v>
      </c>
    </row>
    <row r="1384" spans="1:15">
      <c r="A1384" t="s">
        <v>17344</v>
      </c>
      <c r="B1384" t="s">
        <v>17824</v>
      </c>
      <c r="D1384" t="s">
        <v>18042</v>
      </c>
      <c r="E1384" t="s">
        <v>4215</v>
      </c>
      <c r="F1384" t="s">
        <v>17334</v>
      </c>
      <c r="G1384">
        <v>3</v>
      </c>
      <c r="O1384" t="s">
        <v>18042</v>
      </c>
    </row>
    <row r="1385" spans="1:15">
      <c r="A1385" t="s">
        <v>17344</v>
      </c>
      <c r="B1385" t="s">
        <v>17825</v>
      </c>
      <c r="D1385" t="s">
        <v>18043</v>
      </c>
      <c r="E1385" t="s">
        <v>4215</v>
      </c>
      <c r="F1385" t="s">
        <v>17334</v>
      </c>
      <c r="G1385">
        <v>3</v>
      </c>
      <c r="O1385" t="s">
        <v>18043</v>
      </c>
    </row>
    <row r="1386" spans="1:15">
      <c r="A1386" t="s">
        <v>17344</v>
      </c>
      <c r="B1386" t="s">
        <v>17826</v>
      </c>
      <c r="D1386" t="s">
        <v>18044</v>
      </c>
      <c r="E1386" t="s">
        <v>4215</v>
      </c>
      <c r="F1386" t="s">
        <v>17334</v>
      </c>
      <c r="G1386">
        <v>3</v>
      </c>
      <c r="O1386" t="s">
        <v>18044</v>
      </c>
    </row>
    <row r="1387" spans="1:15">
      <c r="A1387" t="s">
        <v>17344</v>
      </c>
      <c r="B1387" t="s">
        <v>17827</v>
      </c>
      <c r="D1387" t="s">
        <v>18045</v>
      </c>
      <c r="E1387" t="s">
        <v>4215</v>
      </c>
      <c r="F1387" t="s">
        <v>17334</v>
      </c>
      <c r="G1387">
        <v>3</v>
      </c>
      <c r="O1387" t="s">
        <v>18045</v>
      </c>
    </row>
    <row r="1388" spans="1:15">
      <c r="A1388" t="s">
        <v>17344</v>
      </c>
      <c r="B1388" t="s">
        <v>17828</v>
      </c>
      <c r="D1388" t="s">
        <v>18043</v>
      </c>
      <c r="E1388" t="s">
        <v>4215</v>
      </c>
      <c r="F1388" t="s">
        <v>17334</v>
      </c>
      <c r="G1388">
        <v>3</v>
      </c>
      <c r="O1388" t="s">
        <v>18043</v>
      </c>
    </row>
    <row r="1389" spans="1:15">
      <c r="A1389" t="s">
        <v>17344</v>
      </c>
      <c r="B1389" t="s">
        <v>17829</v>
      </c>
      <c r="D1389" t="s">
        <v>18046</v>
      </c>
      <c r="E1389" t="s">
        <v>4215</v>
      </c>
      <c r="F1389" t="s">
        <v>17334</v>
      </c>
      <c r="G1389">
        <v>3</v>
      </c>
      <c r="O1389" t="s">
        <v>18046</v>
      </c>
    </row>
    <row r="1390" spans="1:15">
      <c r="A1390" t="s">
        <v>17344</v>
      </c>
      <c r="B1390" t="s">
        <v>17830</v>
      </c>
      <c r="D1390" t="s">
        <v>18047</v>
      </c>
      <c r="E1390" t="s">
        <v>4215</v>
      </c>
      <c r="F1390" t="s">
        <v>17334</v>
      </c>
      <c r="G1390">
        <v>3</v>
      </c>
      <c r="O1390" t="s">
        <v>18047</v>
      </c>
    </row>
    <row r="1391" spans="1:15">
      <c r="A1391" t="s">
        <v>17344</v>
      </c>
      <c r="B1391" t="s">
        <v>17907</v>
      </c>
      <c r="D1391" t="s">
        <v>18048</v>
      </c>
      <c r="E1391" t="s">
        <v>4215</v>
      </c>
      <c r="F1391" t="s">
        <v>17334</v>
      </c>
      <c r="G1391">
        <v>3</v>
      </c>
      <c r="O1391" t="s">
        <v>18048</v>
      </c>
    </row>
    <row r="1392" spans="1:15">
      <c r="A1392" t="s">
        <v>17344</v>
      </c>
      <c r="B1392" t="s">
        <v>17831</v>
      </c>
      <c r="D1392" t="s">
        <v>18049</v>
      </c>
      <c r="E1392" t="s">
        <v>4215</v>
      </c>
      <c r="F1392" t="s">
        <v>17334</v>
      </c>
      <c r="G1392">
        <v>3</v>
      </c>
      <c r="O1392" t="s">
        <v>18049</v>
      </c>
    </row>
    <row r="1393" spans="1:15">
      <c r="A1393" t="s">
        <v>17344</v>
      </c>
      <c r="B1393" t="s">
        <v>17923</v>
      </c>
      <c r="D1393" t="s">
        <v>18050</v>
      </c>
      <c r="E1393" t="s">
        <v>4215</v>
      </c>
      <c r="F1393" t="s">
        <v>17334</v>
      </c>
      <c r="G1393">
        <v>3</v>
      </c>
      <c r="O1393" t="s">
        <v>18050</v>
      </c>
    </row>
    <row r="1394" spans="1:15">
      <c r="A1394" t="s">
        <v>17344</v>
      </c>
      <c r="B1394" t="s">
        <v>17832</v>
      </c>
      <c r="D1394" t="s">
        <v>18051</v>
      </c>
      <c r="E1394" t="s">
        <v>4215</v>
      </c>
      <c r="F1394" t="s">
        <v>17334</v>
      </c>
      <c r="G1394">
        <v>3</v>
      </c>
      <c r="O1394" t="s">
        <v>18051</v>
      </c>
    </row>
    <row r="1395" spans="1:15">
      <c r="A1395" t="s">
        <v>17344</v>
      </c>
      <c r="B1395" t="s">
        <v>17833</v>
      </c>
      <c r="D1395" t="s">
        <v>18052</v>
      </c>
      <c r="E1395" t="s">
        <v>4215</v>
      </c>
      <c r="F1395" t="s">
        <v>17334</v>
      </c>
      <c r="G1395">
        <v>3</v>
      </c>
      <c r="O1395" t="s">
        <v>18052</v>
      </c>
    </row>
    <row r="1396" spans="1:15">
      <c r="A1396" t="s">
        <v>17344</v>
      </c>
      <c r="B1396" t="s">
        <v>17834</v>
      </c>
      <c r="D1396" t="s">
        <v>18053</v>
      </c>
      <c r="E1396" t="s">
        <v>4215</v>
      </c>
      <c r="F1396" t="s">
        <v>17334</v>
      </c>
      <c r="G1396">
        <v>3</v>
      </c>
      <c r="O1396" t="s">
        <v>18053</v>
      </c>
    </row>
    <row r="1397" spans="1:15">
      <c r="A1397" t="s">
        <v>17344</v>
      </c>
      <c r="B1397" t="s">
        <v>17835</v>
      </c>
      <c r="D1397" t="s">
        <v>18054</v>
      </c>
      <c r="E1397" t="s">
        <v>4215</v>
      </c>
      <c r="F1397" t="s">
        <v>17334</v>
      </c>
      <c r="G1397">
        <v>3</v>
      </c>
      <c r="O1397" t="s">
        <v>18054</v>
      </c>
    </row>
    <row r="1398" spans="1:15">
      <c r="A1398" t="s">
        <v>17344</v>
      </c>
      <c r="B1398" t="s">
        <v>17836</v>
      </c>
      <c r="D1398" t="s">
        <v>18055</v>
      </c>
      <c r="E1398" t="s">
        <v>4215</v>
      </c>
      <c r="F1398" t="s">
        <v>17334</v>
      </c>
      <c r="G1398">
        <v>3</v>
      </c>
      <c r="O1398" t="s">
        <v>18055</v>
      </c>
    </row>
    <row r="1399" spans="1:15">
      <c r="A1399" t="s">
        <v>17344</v>
      </c>
      <c r="B1399" t="s">
        <v>17837</v>
      </c>
      <c r="D1399" t="s">
        <v>18056</v>
      </c>
      <c r="E1399" t="s">
        <v>4215</v>
      </c>
      <c r="F1399" t="s">
        <v>17334</v>
      </c>
      <c r="G1399">
        <v>3</v>
      </c>
      <c r="O1399" t="s">
        <v>18056</v>
      </c>
    </row>
    <row r="1400" spans="1:15">
      <c r="A1400" t="s">
        <v>17344</v>
      </c>
      <c r="B1400" t="s">
        <v>17838</v>
      </c>
      <c r="D1400" t="s">
        <v>18057</v>
      </c>
      <c r="E1400" t="s">
        <v>4215</v>
      </c>
      <c r="F1400" t="s">
        <v>17334</v>
      </c>
      <c r="G1400">
        <v>3</v>
      </c>
      <c r="O1400" t="s">
        <v>18057</v>
      </c>
    </row>
    <row r="1401" spans="1:15">
      <c r="A1401" t="s">
        <v>17344</v>
      </c>
      <c r="B1401" t="s">
        <v>17839</v>
      </c>
      <c r="D1401" t="s">
        <v>18055</v>
      </c>
      <c r="E1401" t="s">
        <v>4215</v>
      </c>
      <c r="F1401" t="s">
        <v>17334</v>
      </c>
      <c r="G1401">
        <v>3</v>
      </c>
      <c r="O1401" t="s">
        <v>18055</v>
      </c>
    </row>
    <row r="1402" spans="1:15">
      <c r="A1402" t="s">
        <v>17344</v>
      </c>
      <c r="B1402" t="s">
        <v>17840</v>
      </c>
      <c r="D1402" t="s">
        <v>18058</v>
      </c>
      <c r="E1402" t="s">
        <v>4215</v>
      </c>
      <c r="F1402" t="s">
        <v>17334</v>
      </c>
      <c r="G1402">
        <v>3</v>
      </c>
      <c r="O1402" t="s">
        <v>18058</v>
      </c>
    </row>
    <row r="1403" spans="1:15">
      <c r="A1403" t="s">
        <v>17344</v>
      </c>
      <c r="B1403" t="s">
        <v>17841</v>
      </c>
      <c r="D1403" t="s">
        <v>18059</v>
      </c>
      <c r="E1403" t="s">
        <v>4215</v>
      </c>
      <c r="F1403" t="s">
        <v>17334</v>
      </c>
      <c r="G1403">
        <v>3</v>
      </c>
      <c r="O1403" t="s">
        <v>18059</v>
      </c>
    </row>
    <row r="1404" spans="1:15">
      <c r="A1404" t="s">
        <v>17344</v>
      </c>
      <c r="B1404" t="s">
        <v>17908</v>
      </c>
      <c r="D1404" t="s">
        <v>18060</v>
      </c>
      <c r="E1404" t="s">
        <v>4215</v>
      </c>
      <c r="F1404" t="s">
        <v>17334</v>
      </c>
      <c r="G1404">
        <v>3</v>
      </c>
      <c r="O1404" t="s">
        <v>18060</v>
      </c>
    </row>
    <row r="1405" spans="1:15">
      <c r="A1405" t="s">
        <v>17344</v>
      </c>
      <c r="B1405" t="s">
        <v>17842</v>
      </c>
      <c r="D1405" t="s">
        <v>18061</v>
      </c>
      <c r="E1405" t="s">
        <v>4215</v>
      </c>
      <c r="F1405" t="s">
        <v>17334</v>
      </c>
      <c r="G1405">
        <v>3</v>
      </c>
      <c r="O1405" t="s">
        <v>18061</v>
      </c>
    </row>
    <row r="1406" spans="1:15">
      <c r="A1406" t="s">
        <v>17344</v>
      </c>
      <c r="B1406" t="s">
        <v>17924</v>
      </c>
      <c r="D1406" t="s">
        <v>18062</v>
      </c>
      <c r="E1406" t="s">
        <v>4215</v>
      </c>
      <c r="F1406" t="s">
        <v>17334</v>
      </c>
      <c r="G1406">
        <v>3</v>
      </c>
      <c r="O1406" t="s">
        <v>18062</v>
      </c>
    </row>
    <row r="1407" spans="1:15">
      <c r="A1407" t="s">
        <v>17344</v>
      </c>
      <c r="B1407" t="s">
        <v>17843</v>
      </c>
      <c r="D1407" t="s">
        <v>18063</v>
      </c>
      <c r="E1407" t="s">
        <v>4215</v>
      </c>
      <c r="F1407" t="s">
        <v>17334</v>
      </c>
      <c r="G1407">
        <v>3</v>
      </c>
      <c r="O1407" t="s">
        <v>18063</v>
      </c>
    </row>
    <row r="1408" spans="1:15">
      <c r="A1408" t="s">
        <v>17344</v>
      </c>
      <c r="B1408" t="s">
        <v>17844</v>
      </c>
      <c r="D1408" t="s">
        <v>18064</v>
      </c>
      <c r="E1408" t="s">
        <v>4215</v>
      </c>
      <c r="F1408" t="s">
        <v>17334</v>
      </c>
      <c r="G1408">
        <v>3</v>
      </c>
      <c r="O1408" t="s">
        <v>18064</v>
      </c>
    </row>
    <row r="1409" spans="1:15">
      <c r="A1409" t="s">
        <v>17344</v>
      </c>
      <c r="B1409" t="s">
        <v>17845</v>
      </c>
      <c r="D1409" t="s">
        <v>18065</v>
      </c>
      <c r="E1409" t="s">
        <v>4215</v>
      </c>
      <c r="F1409" t="s">
        <v>17334</v>
      </c>
      <c r="G1409">
        <v>3</v>
      </c>
      <c r="O1409" t="s">
        <v>18065</v>
      </c>
    </row>
    <row r="1410" spans="1:15">
      <c r="A1410" t="s">
        <v>17344</v>
      </c>
      <c r="B1410" t="s">
        <v>17846</v>
      </c>
      <c r="D1410" t="s">
        <v>18066</v>
      </c>
      <c r="E1410" t="s">
        <v>4215</v>
      </c>
      <c r="F1410" t="s">
        <v>17334</v>
      </c>
      <c r="G1410">
        <v>3</v>
      </c>
      <c r="O1410" t="s">
        <v>18066</v>
      </c>
    </row>
    <row r="1411" spans="1:15">
      <c r="A1411" t="s">
        <v>17344</v>
      </c>
      <c r="B1411" t="s">
        <v>17847</v>
      </c>
      <c r="D1411" t="s">
        <v>18067</v>
      </c>
      <c r="E1411" t="s">
        <v>4215</v>
      </c>
      <c r="F1411" t="s">
        <v>17334</v>
      </c>
      <c r="G1411">
        <v>3</v>
      </c>
      <c r="O1411" t="s">
        <v>18067</v>
      </c>
    </row>
    <row r="1412" spans="1:15">
      <c r="A1412" t="s">
        <v>17344</v>
      </c>
      <c r="B1412" t="s">
        <v>17848</v>
      </c>
      <c r="D1412" t="s">
        <v>18068</v>
      </c>
      <c r="E1412" t="s">
        <v>4215</v>
      </c>
      <c r="F1412" t="s">
        <v>17334</v>
      </c>
      <c r="G1412">
        <v>3</v>
      </c>
      <c r="O1412" t="s">
        <v>18068</v>
      </c>
    </row>
    <row r="1413" spans="1:15">
      <c r="A1413" t="s">
        <v>17344</v>
      </c>
      <c r="B1413" t="s">
        <v>17849</v>
      </c>
      <c r="D1413" t="s">
        <v>18069</v>
      </c>
      <c r="E1413" t="s">
        <v>4215</v>
      </c>
      <c r="F1413" t="s">
        <v>17334</v>
      </c>
      <c r="G1413">
        <v>3</v>
      </c>
      <c r="O1413" t="s">
        <v>18069</v>
      </c>
    </row>
    <row r="1414" spans="1:15">
      <c r="A1414" t="s">
        <v>17344</v>
      </c>
      <c r="B1414" t="s">
        <v>17850</v>
      </c>
      <c r="D1414" t="s">
        <v>18067</v>
      </c>
      <c r="E1414" t="s">
        <v>4215</v>
      </c>
      <c r="F1414" t="s">
        <v>17334</v>
      </c>
      <c r="G1414">
        <v>3</v>
      </c>
      <c r="O1414" t="s">
        <v>18067</v>
      </c>
    </row>
    <row r="1415" spans="1:15">
      <c r="A1415" t="s">
        <v>17344</v>
      </c>
      <c r="B1415" t="s">
        <v>17851</v>
      </c>
      <c r="D1415" t="s">
        <v>18070</v>
      </c>
      <c r="E1415" t="s">
        <v>4215</v>
      </c>
      <c r="F1415" t="s">
        <v>17334</v>
      </c>
      <c r="G1415">
        <v>3</v>
      </c>
      <c r="O1415" t="s">
        <v>18070</v>
      </c>
    </row>
    <row r="1416" spans="1:15">
      <c r="A1416" t="s">
        <v>17344</v>
      </c>
      <c r="B1416" t="s">
        <v>17852</v>
      </c>
      <c r="D1416" t="s">
        <v>18071</v>
      </c>
      <c r="E1416" t="s">
        <v>4215</v>
      </c>
      <c r="F1416" t="s">
        <v>17334</v>
      </c>
      <c r="G1416">
        <v>3</v>
      </c>
      <c r="O1416" t="s">
        <v>18071</v>
      </c>
    </row>
    <row r="1417" spans="1:15">
      <c r="A1417" t="s">
        <v>17344</v>
      </c>
      <c r="B1417" t="s">
        <v>17909</v>
      </c>
      <c r="D1417" t="s">
        <v>18072</v>
      </c>
      <c r="E1417" t="s">
        <v>4215</v>
      </c>
      <c r="F1417" t="s">
        <v>17334</v>
      </c>
      <c r="G1417">
        <v>3</v>
      </c>
      <c r="O1417" t="s">
        <v>18072</v>
      </c>
    </row>
    <row r="1418" spans="1:15">
      <c r="A1418" t="s">
        <v>17344</v>
      </c>
      <c r="B1418" t="s">
        <v>17853</v>
      </c>
      <c r="D1418" t="s">
        <v>18073</v>
      </c>
      <c r="E1418" t="s">
        <v>4215</v>
      </c>
      <c r="F1418" t="s">
        <v>17334</v>
      </c>
      <c r="G1418">
        <v>3</v>
      </c>
      <c r="O1418" t="s">
        <v>18073</v>
      </c>
    </row>
    <row r="1419" spans="1:15">
      <c r="A1419" t="s">
        <v>17344</v>
      </c>
      <c r="B1419" t="s">
        <v>17925</v>
      </c>
      <c r="D1419" t="s">
        <v>18074</v>
      </c>
      <c r="E1419" t="s">
        <v>4215</v>
      </c>
      <c r="F1419" t="s">
        <v>17334</v>
      </c>
      <c r="G1419">
        <v>3</v>
      </c>
      <c r="O1419" t="s">
        <v>18074</v>
      </c>
    </row>
    <row r="1420" spans="1:15">
      <c r="A1420" t="s">
        <v>17344</v>
      </c>
      <c r="B1420" t="s">
        <v>17854</v>
      </c>
      <c r="D1420" t="s">
        <v>18075</v>
      </c>
      <c r="E1420" t="s">
        <v>4215</v>
      </c>
      <c r="F1420" t="s">
        <v>17334</v>
      </c>
      <c r="G1420">
        <v>3</v>
      </c>
      <c r="O1420" t="s">
        <v>18075</v>
      </c>
    </row>
    <row r="1421" spans="1:15">
      <c r="A1421" t="s">
        <v>17344</v>
      </c>
      <c r="B1421" t="s">
        <v>17855</v>
      </c>
      <c r="D1421" t="s">
        <v>18076</v>
      </c>
      <c r="E1421" t="s">
        <v>4215</v>
      </c>
      <c r="F1421" t="s">
        <v>17334</v>
      </c>
      <c r="G1421">
        <v>3</v>
      </c>
      <c r="O1421" t="s">
        <v>18076</v>
      </c>
    </row>
    <row r="1422" spans="1:15">
      <c r="A1422" t="s">
        <v>17344</v>
      </c>
      <c r="B1422" t="s">
        <v>17856</v>
      </c>
      <c r="D1422" t="s">
        <v>18077</v>
      </c>
      <c r="E1422" t="s">
        <v>4215</v>
      </c>
      <c r="F1422" t="s">
        <v>17334</v>
      </c>
      <c r="G1422">
        <v>3</v>
      </c>
      <c r="O1422" t="s">
        <v>18077</v>
      </c>
    </row>
    <row r="1423" spans="1:15">
      <c r="A1423" t="s">
        <v>17344</v>
      </c>
      <c r="B1423" t="s">
        <v>17857</v>
      </c>
      <c r="D1423" t="s">
        <v>18078</v>
      </c>
      <c r="E1423" t="s">
        <v>4215</v>
      </c>
      <c r="F1423" t="s">
        <v>17334</v>
      </c>
      <c r="G1423">
        <v>3</v>
      </c>
      <c r="O1423" t="s">
        <v>18078</v>
      </c>
    </row>
    <row r="1424" spans="1:15">
      <c r="A1424" t="s">
        <v>17344</v>
      </c>
      <c r="B1424" t="s">
        <v>17858</v>
      </c>
      <c r="D1424" t="s">
        <v>18079</v>
      </c>
      <c r="E1424" t="s">
        <v>4215</v>
      </c>
      <c r="F1424" t="s">
        <v>17334</v>
      </c>
      <c r="G1424">
        <v>3</v>
      </c>
      <c r="O1424" t="s">
        <v>18079</v>
      </c>
    </row>
    <row r="1425" spans="1:15">
      <c r="A1425" t="s">
        <v>17344</v>
      </c>
      <c r="B1425" t="s">
        <v>17859</v>
      </c>
      <c r="D1425" t="s">
        <v>18080</v>
      </c>
      <c r="E1425" t="s">
        <v>4215</v>
      </c>
      <c r="F1425" t="s">
        <v>17334</v>
      </c>
      <c r="G1425">
        <v>3</v>
      </c>
      <c r="O1425" t="s">
        <v>18080</v>
      </c>
    </row>
    <row r="1426" spans="1:15">
      <c r="A1426" t="s">
        <v>17344</v>
      </c>
      <c r="B1426" t="s">
        <v>17860</v>
      </c>
      <c r="D1426" t="s">
        <v>18081</v>
      </c>
      <c r="E1426" t="s">
        <v>4215</v>
      </c>
      <c r="F1426" t="s">
        <v>17334</v>
      </c>
      <c r="G1426">
        <v>3</v>
      </c>
      <c r="O1426" t="s">
        <v>18081</v>
      </c>
    </row>
    <row r="1427" spans="1:15">
      <c r="A1427" t="s">
        <v>17344</v>
      </c>
      <c r="B1427" t="s">
        <v>17861</v>
      </c>
      <c r="D1427" t="s">
        <v>18079</v>
      </c>
      <c r="E1427" t="s">
        <v>4215</v>
      </c>
      <c r="F1427" t="s">
        <v>17334</v>
      </c>
      <c r="G1427">
        <v>3</v>
      </c>
      <c r="O1427" t="s">
        <v>18079</v>
      </c>
    </row>
    <row r="1428" spans="1:15">
      <c r="A1428" t="s">
        <v>17344</v>
      </c>
      <c r="B1428" t="s">
        <v>17862</v>
      </c>
      <c r="D1428" t="s">
        <v>18082</v>
      </c>
      <c r="E1428" t="s">
        <v>4215</v>
      </c>
      <c r="F1428" t="s">
        <v>17334</v>
      </c>
      <c r="G1428">
        <v>3</v>
      </c>
      <c r="O1428" t="s">
        <v>18082</v>
      </c>
    </row>
    <row r="1429" spans="1:15">
      <c r="A1429" t="s">
        <v>17344</v>
      </c>
      <c r="B1429" t="s">
        <v>17863</v>
      </c>
      <c r="D1429" t="s">
        <v>18083</v>
      </c>
      <c r="E1429" t="s">
        <v>4215</v>
      </c>
      <c r="F1429" t="s">
        <v>17334</v>
      </c>
      <c r="G1429">
        <v>3</v>
      </c>
      <c r="O1429" t="s">
        <v>18083</v>
      </c>
    </row>
    <row r="1430" spans="1:15">
      <c r="A1430" t="s">
        <v>17344</v>
      </c>
      <c r="B1430" t="s">
        <v>17910</v>
      </c>
      <c r="D1430" t="s">
        <v>18084</v>
      </c>
      <c r="E1430" t="s">
        <v>4215</v>
      </c>
      <c r="F1430" t="s">
        <v>17334</v>
      </c>
      <c r="G1430">
        <v>3</v>
      </c>
      <c r="O1430" t="s">
        <v>18084</v>
      </c>
    </row>
    <row r="1431" spans="1:15">
      <c r="A1431" t="s">
        <v>17344</v>
      </c>
      <c r="B1431" t="s">
        <v>17864</v>
      </c>
      <c r="D1431" t="s">
        <v>18085</v>
      </c>
      <c r="E1431" t="s">
        <v>4215</v>
      </c>
      <c r="F1431" t="s">
        <v>17334</v>
      </c>
      <c r="G1431">
        <v>3</v>
      </c>
      <c r="O1431" t="s">
        <v>18085</v>
      </c>
    </row>
    <row r="1432" spans="1:15">
      <c r="A1432" t="s">
        <v>17344</v>
      </c>
      <c r="B1432" t="s">
        <v>17926</v>
      </c>
      <c r="D1432" t="s">
        <v>18086</v>
      </c>
      <c r="E1432" t="s">
        <v>4215</v>
      </c>
      <c r="F1432" t="s">
        <v>17334</v>
      </c>
      <c r="G1432">
        <v>3</v>
      </c>
      <c r="O1432" t="s">
        <v>18086</v>
      </c>
    </row>
    <row r="1433" spans="1:15">
      <c r="A1433" t="s">
        <v>17344</v>
      </c>
      <c r="B1433" t="s">
        <v>17865</v>
      </c>
      <c r="D1433" t="s">
        <v>18087</v>
      </c>
      <c r="E1433" t="s">
        <v>4215</v>
      </c>
      <c r="F1433" t="s">
        <v>17334</v>
      </c>
      <c r="G1433">
        <v>3</v>
      </c>
      <c r="O1433" t="s">
        <v>18087</v>
      </c>
    </row>
    <row r="1434" spans="1:15">
      <c r="A1434" t="s">
        <v>17344</v>
      </c>
      <c r="B1434" t="s">
        <v>17866</v>
      </c>
      <c r="D1434" t="s">
        <v>18088</v>
      </c>
      <c r="E1434" t="s">
        <v>4215</v>
      </c>
      <c r="F1434" t="s">
        <v>17334</v>
      </c>
      <c r="G1434">
        <v>3</v>
      </c>
      <c r="O1434" t="s">
        <v>18088</v>
      </c>
    </row>
    <row r="1435" spans="1:15">
      <c r="A1435" t="s">
        <v>17344</v>
      </c>
      <c r="B1435" t="s">
        <v>17867</v>
      </c>
      <c r="D1435" t="s">
        <v>18089</v>
      </c>
      <c r="E1435" t="s">
        <v>4215</v>
      </c>
      <c r="F1435" t="s">
        <v>17334</v>
      </c>
      <c r="G1435">
        <v>3</v>
      </c>
      <c r="O1435" t="s">
        <v>18089</v>
      </c>
    </row>
    <row r="1436" spans="1:15">
      <c r="A1436" t="s">
        <v>17344</v>
      </c>
      <c r="B1436" t="s">
        <v>17868</v>
      </c>
      <c r="D1436" t="s">
        <v>18090</v>
      </c>
      <c r="E1436" t="s">
        <v>4215</v>
      </c>
      <c r="F1436" t="s">
        <v>17334</v>
      </c>
      <c r="G1436">
        <v>3</v>
      </c>
      <c r="O1436" t="s">
        <v>18090</v>
      </c>
    </row>
    <row r="1437" spans="1:15">
      <c r="A1437" t="s">
        <v>17344</v>
      </c>
      <c r="B1437" t="s">
        <v>17869</v>
      </c>
      <c r="D1437" t="s">
        <v>18091</v>
      </c>
      <c r="E1437" t="s">
        <v>4215</v>
      </c>
      <c r="F1437" t="s">
        <v>17334</v>
      </c>
      <c r="G1437">
        <v>3</v>
      </c>
      <c r="O1437" t="s">
        <v>18091</v>
      </c>
    </row>
    <row r="1438" spans="1:15">
      <c r="A1438" t="s">
        <v>17344</v>
      </c>
      <c r="B1438" t="s">
        <v>17870</v>
      </c>
      <c r="D1438" t="s">
        <v>18092</v>
      </c>
      <c r="E1438" t="s">
        <v>4215</v>
      </c>
      <c r="F1438" t="s">
        <v>17334</v>
      </c>
      <c r="G1438">
        <v>3</v>
      </c>
      <c r="O1438" t="s">
        <v>18092</v>
      </c>
    </row>
    <row r="1439" spans="1:15">
      <c r="A1439" t="s">
        <v>17344</v>
      </c>
      <c r="B1439" t="s">
        <v>17871</v>
      </c>
      <c r="D1439" t="s">
        <v>18093</v>
      </c>
      <c r="E1439" t="s">
        <v>4215</v>
      </c>
      <c r="F1439" t="s">
        <v>17334</v>
      </c>
      <c r="G1439">
        <v>3</v>
      </c>
      <c r="O1439" t="s">
        <v>18093</v>
      </c>
    </row>
    <row r="1440" spans="1:15">
      <c r="A1440" t="s">
        <v>17344</v>
      </c>
      <c r="B1440" t="s">
        <v>17872</v>
      </c>
      <c r="D1440" t="s">
        <v>18091</v>
      </c>
      <c r="E1440" t="s">
        <v>4215</v>
      </c>
      <c r="F1440" t="s">
        <v>17334</v>
      </c>
      <c r="G1440">
        <v>3</v>
      </c>
      <c r="O1440" t="s">
        <v>18091</v>
      </c>
    </row>
    <row r="1441" spans="1:15">
      <c r="A1441" t="s">
        <v>17344</v>
      </c>
      <c r="B1441" t="s">
        <v>17873</v>
      </c>
      <c r="D1441" t="s">
        <v>18094</v>
      </c>
      <c r="E1441" t="s">
        <v>4215</v>
      </c>
      <c r="F1441" t="s">
        <v>17334</v>
      </c>
      <c r="G1441">
        <v>3</v>
      </c>
      <c r="O1441" t="s">
        <v>18094</v>
      </c>
    </row>
    <row r="1442" spans="1:15">
      <c r="A1442" t="s">
        <v>17344</v>
      </c>
      <c r="B1442" t="s">
        <v>17874</v>
      </c>
      <c r="D1442" t="s">
        <v>18095</v>
      </c>
      <c r="E1442" t="s">
        <v>4215</v>
      </c>
      <c r="F1442" t="s">
        <v>17334</v>
      </c>
      <c r="G1442">
        <v>3</v>
      </c>
      <c r="O1442" t="s">
        <v>18095</v>
      </c>
    </row>
    <row r="1443" spans="1:15">
      <c r="A1443" t="s">
        <v>17344</v>
      </c>
      <c r="B1443" t="s">
        <v>17911</v>
      </c>
      <c r="D1443" t="s">
        <v>18096</v>
      </c>
      <c r="E1443" t="s">
        <v>4215</v>
      </c>
      <c r="F1443" t="s">
        <v>17334</v>
      </c>
      <c r="G1443">
        <v>3</v>
      </c>
      <c r="O1443" t="s">
        <v>18096</v>
      </c>
    </row>
    <row r="1444" spans="1:15">
      <c r="A1444" t="s">
        <v>17344</v>
      </c>
      <c r="B1444" t="s">
        <v>17875</v>
      </c>
      <c r="D1444" t="s">
        <v>18097</v>
      </c>
      <c r="E1444" t="s">
        <v>4215</v>
      </c>
      <c r="F1444" t="s">
        <v>17334</v>
      </c>
      <c r="G1444">
        <v>3</v>
      </c>
      <c r="O1444" t="s">
        <v>18097</v>
      </c>
    </row>
    <row r="1445" spans="1:15">
      <c r="A1445" t="s">
        <v>17344</v>
      </c>
      <c r="B1445" t="s">
        <v>17927</v>
      </c>
      <c r="D1445" t="s">
        <v>18098</v>
      </c>
      <c r="E1445" t="s">
        <v>4215</v>
      </c>
      <c r="F1445" t="s">
        <v>17334</v>
      </c>
      <c r="G1445">
        <v>3</v>
      </c>
      <c r="O1445" t="s">
        <v>18098</v>
      </c>
    </row>
    <row r="1446" spans="1:15">
      <c r="A1446" t="s">
        <v>17344</v>
      </c>
      <c r="B1446" t="s">
        <v>17876</v>
      </c>
      <c r="D1446" t="s">
        <v>18099</v>
      </c>
      <c r="E1446" t="s">
        <v>4215</v>
      </c>
      <c r="F1446" t="s">
        <v>17334</v>
      </c>
      <c r="G1446">
        <v>3</v>
      </c>
      <c r="O1446" t="s">
        <v>18099</v>
      </c>
    </row>
    <row r="1447" spans="1:15">
      <c r="A1447" t="s">
        <v>17344</v>
      </c>
      <c r="B1447" t="s">
        <v>17877</v>
      </c>
      <c r="D1447" t="s">
        <v>18100</v>
      </c>
      <c r="E1447" t="s">
        <v>4215</v>
      </c>
      <c r="F1447" t="s">
        <v>17334</v>
      </c>
      <c r="G1447">
        <v>3</v>
      </c>
      <c r="O1447" t="s">
        <v>18100</v>
      </c>
    </row>
    <row r="1448" spans="1:15">
      <c r="A1448" t="s">
        <v>17344</v>
      </c>
      <c r="B1448" t="s">
        <v>17878</v>
      </c>
      <c r="D1448" t="s">
        <v>18101</v>
      </c>
      <c r="E1448" t="s">
        <v>4215</v>
      </c>
      <c r="F1448" t="s">
        <v>17334</v>
      </c>
      <c r="G1448">
        <v>3</v>
      </c>
      <c r="O1448" t="s">
        <v>18101</v>
      </c>
    </row>
    <row r="1449" spans="1:15">
      <c r="A1449" t="s">
        <v>17344</v>
      </c>
      <c r="B1449" t="s">
        <v>17879</v>
      </c>
      <c r="D1449" t="s">
        <v>18102</v>
      </c>
      <c r="E1449" t="s">
        <v>4215</v>
      </c>
      <c r="F1449" t="s">
        <v>17334</v>
      </c>
      <c r="G1449">
        <v>3</v>
      </c>
      <c r="O1449" t="s">
        <v>18102</v>
      </c>
    </row>
    <row r="1450" spans="1:15">
      <c r="A1450" t="s">
        <v>17344</v>
      </c>
      <c r="B1450" t="s">
        <v>17880</v>
      </c>
      <c r="D1450" t="s">
        <v>18103</v>
      </c>
      <c r="E1450" t="s">
        <v>4215</v>
      </c>
      <c r="F1450" t="s">
        <v>17334</v>
      </c>
      <c r="G1450">
        <v>3</v>
      </c>
      <c r="O1450" t="s">
        <v>18103</v>
      </c>
    </row>
    <row r="1451" spans="1:15">
      <c r="A1451" t="s">
        <v>17344</v>
      </c>
      <c r="B1451" t="s">
        <v>17881</v>
      </c>
      <c r="D1451" t="s">
        <v>18104</v>
      </c>
      <c r="E1451" t="s">
        <v>4215</v>
      </c>
      <c r="F1451" t="s">
        <v>17334</v>
      </c>
      <c r="G1451">
        <v>3</v>
      </c>
      <c r="O1451" t="s">
        <v>18104</v>
      </c>
    </row>
    <row r="1452" spans="1:15">
      <c r="A1452" t="s">
        <v>17344</v>
      </c>
      <c r="B1452" t="s">
        <v>17882</v>
      </c>
      <c r="D1452" t="s">
        <v>18105</v>
      </c>
      <c r="E1452" t="s">
        <v>4215</v>
      </c>
      <c r="F1452" t="s">
        <v>17334</v>
      </c>
      <c r="G1452">
        <v>3</v>
      </c>
      <c r="O1452" t="s">
        <v>18105</v>
      </c>
    </row>
    <row r="1453" spans="1:15">
      <c r="A1453" t="s">
        <v>17344</v>
      </c>
      <c r="B1453" t="s">
        <v>17883</v>
      </c>
      <c r="D1453" t="s">
        <v>18103</v>
      </c>
      <c r="E1453" t="s">
        <v>4215</v>
      </c>
      <c r="F1453" t="s">
        <v>17334</v>
      </c>
      <c r="G1453">
        <v>3</v>
      </c>
      <c r="O1453" t="s">
        <v>18103</v>
      </c>
    </row>
    <row r="1454" spans="1:15">
      <c r="A1454" t="s">
        <v>17344</v>
      </c>
      <c r="B1454" t="s">
        <v>17884</v>
      </c>
      <c r="D1454" t="s">
        <v>18106</v>
      </c>
      <c r="E1454" t="s">
        <v>4215</v>
      </c>
      <c r="F1454" t="s">
        <v>17334</v>
      </c>
      <c r="G1454">
        <v>3</v>
      </c>
      <c r="O1454" t="s">
        <v>18106</v>
      </c>
    </row>
    <row r="1455" spans="1:15">
      <c r="A1455" t="s">
        <v>17344</v>
      </c>
      <c r="B1455" t="s">
        <v>17885</v>
      </c>
      <c r="D1455" t="s">
        <v>18107</v>
      </c>
      <c r="E1455" t="s">
        <v>4215</v>
      </c>
      <c r="F1455" t="s">
        <v>17334</v>
      </c>
      <c r="G1455">
        <v>3</v>
      </c>
      <c r="O1455" t="s">
        <v>18107</v>
      </c>
    </row>
    <row r="1456" spans="1:15">
      <c r="A1456" t="s">
        <v>17344</v>
      </c>
      <c r="B1456" t="s">
        <v>17912</v>
      </c>
      <c r="D1456" t="s">
        <v>18108</v>
      </c>
      <c r="E1456" t="s">
        <v>4215</v>
      </c>
      <c r="F1456" t="s">
        <v>17334</v>
      </c>
      <c r="G1456">
        <v>3</v>
      </c>
      <c r="O1456" t="s">
        <v>18108</v>
      </c>
    </row>
    <row r="1457" spans="1:15">
      <c r="A1457" t="s">
        <v>17344</v>
      </c>
      <c r="B1457" t="s">
        <v>17886</v>
      </c>
      <c r="D1457" t="s">
        <v>18109</v>
      </c>
      <c r="E1457" t="s">
        <v>4215</v>
      </c>
      <c r="F1457" t="s">
        <v>17334</v>
      </c>
      <c r="G1457">
        <v>3</v>
      </c>
      <c r="O1457" t="s">
        <v>18109</v>
      </c>
    </row>
    <row r="1458" spans="1:15">
      <c r="A1458" t="s">
        <v>17344</v>
      </c>
      <c r="B1458" t="s">
        <v>17928</v>
      </c>
      <c r="D1458" t="s">
        <v>18110</v>
      </c>
      <c r="E1458" t="s">
        <v>4215</v>
      </c>
      <c r="F1458" t="s">
        <v>17334</v>
      </c>
      <c r="G1458">
        <v>3</v>
      </c>
      <c r="O1458" t="s">
        <v>18110</v>
      </c>
    </row>
    <row r="1459" spans="1:15">
      <c r="A1459" t="s">
        <v>17344</v>
      </c>
      <c r="B1459" t="s">
        <v>17887</v>
      </c>
      <c r="D1459" t="s">
        <v>18111</v>
      </c>
      <c r="E1459" t="s">
        <v>4215</v>
      </c>
      <c r="F1459" t="s">
        <v>17334</v>
      </c>
      <c r="G1459">
        <v>3</v>
      </c>
      <c r="O1459" t="s">
        <v>18111</v>
      </c>
    </row>
    <row r="1460" spans="1:15">
      <c r="A1460" t="s">
        <v>17344</v>
      </c>
      <c r="B1460" t="s">
        <v>17888</v>
      </c>
      <c r="D1460" t="s">
        <v>18112</v>
      </c>
      <c r="E1460" t="s">
        <v>4215</v>
      </c>
      <c r="F1460" t="s">
        <v>17334</v>
      </c>
      <c r="G1460">
        <v>3</v>
      </c>
      <c r="O1460" t="s">
        <v>18112</v>
      </c>
    </row>
    <row r="1461" spans="1:15">
      <c r="A1461" t="s">
        <v>17344</v>
      </c>
      <c r="B1461" t="s">
        <v>17889</v>
      </c>
      <c r="D1461" t="s">
        <v>18113</v>
      </c>
      <c r="E1461" t="s">
        <v>4215</v>
      </c>
      <c r="F1461" t="s">
        <v>17334</v>
      </c>
      <c r="G1461">
        <v>3</v>
      </c>
      <c r="O1461" t="s">
        <v>18113</v>
      </c>
    </row>
    <row r="1462" spans="1:15">
      <c r="A1462" t="s">
        <v>17344</v>
      </c>
      <c r="B1462" t="s">
        <v>17890</v>
      </c>
      <c r="D1462" t="s">
        <v>18114</v>
      </c>
      <c r="E1462" t="s">
        <v>4215</v>
      </c>
      <c r="F1462" t="s">
        <v>17334</v>
      </c>
      <c r="G1462">
        <v>3</v>
      </c>
      <c r="O1462" t="s">
        <v>18114</v>
      </c>
    </row>
    <row r="1463" spans="1:15">
      <c r="A1463" t="s">
        <v>17344</v>
      </c>
      <c r="B1463" t="s">
        <v>17891</v>
      </c>
      <c r="D1463" t="s">
        <v>18115</v>
      </c>
      <c r="E1463" t="s">
        <v>4215</v>
      </c>
      <c r="F1463" t="s">
        <v>17334</v>
      </c>
      <c r="G1463">
        <v>3</v>
      </c>
      <c r="O1463" t="s">
        <v>18115</v>
      </c>
    </row>
    <row r="1464" spans="1:15">
      <c r="A1464" t="s">
        <v>17344</v>
      </c>
      <c r="B1464" t="s">
        <v>17892</v>
      </c>
      <c r="D1464" t="s">
        <v>18116</v>
      </c>
      <c r="E1464" t="s">
        <v>4215</v>
      </c>
      <c r="F1464" t="s">
        <v>17334</v>
      </c>
      <c r="G1464">
        <v>3</v>
      </c>
      <c r="O1464" t="s">
        <v>18116</v>
      </c>
    </row>
    <row r="1465" spans="1:15">
      <c r="A1465" t="s">
        <v>17344</v>
      </c>
      <c r="B1465" t="s">
        <v>17893</v>
      </c>
      <c r="D1465" t="s">
        <v>18117</v>
      </c>
      <c r="E1465" t="s">
        <v>4215</v>
      </c>
      <c r="F1465" t="s">
        <v>17334</v>
      </c>
      <c r="G1465">
        <v>3</v>
      </c>
      <c r="O1465" t="s">
        <v>18117</v>
      </c>
    </row>
    <row r="1466" spans="1:15">
      <c r="A1466" t="s">
        <v>17344</v>
      </c>
      <c r="B1466" t="s">
        <v>17894</v>
      </c>
      <c r="D1466" t="s">
        <v>18115</v>
      </c>
      <c r="E1466" t="s">
        <v>4215</v>
      </c>
      <c r="F1466" t="s">
        <v>17334</v>
      </c>
      <c r="G1466">
        <v>3</v>
      </c>
      <c r="O1466" t="s">
        <v>18115</v>
      </c>
    </row>
    <row r="1467" spans="1:15">
      <c r="A1467" t="s">
        <v>17344</v>
      </c>
      <c r="B1467" t="s">
        <v>17895</v>
      </c>
      <c r="D1467" t="s">
        <v>18118</v>
      </c>
      <c r="E1467" t="s">
        <v>4215</v>
      </c>
      <c r="F1467" t="s">
        <v>17334</v>
      </c>
      <c r="G1467">
        <v>3</v>
      </c>
      <c r="O1467" t="s">
        <v>18118</v>
      </c>
    </row>
    <row r="1468" spans="1:15">
      <c r="A1468" t="s">
        <v>17344</v>
      </c>
      <c r="B1468" t="s">
        <v>17896</v>
      </c>
      <c r="D1468" t="s">
        <v>18119</v>
      </c>
      <c r="E1468" t="s">
        <v>4215</v>
      </c>
      <c r="F1468" t="s">
        <v>17334</v>
      </c>
      <c r="G1468">
        <v>3</v>
      </c>
      <c r="O1468" t="s">
        <v>18119</v>
      </c>
    </row>
    <row r="1469" spans="1:15">
      <c r="A1469" t="s">
        <v>17344</v>
      </c>
      <c r="B1469" t="s">
        <v>17913</v>
      </c>
      <c r="D1469" t="s">
        <v>18120</v>
      </c>
      <c r="E1469" t="s">
        <v>4215</v>
      </c>
      <c r="F1469" t="s">
        <v>17334</v>
      </c>
      <c r="G1469">
        <v>3</v>
      </c>
      <c r="O1469" t="s">
        <v>18120</v>
      </c>
    </row>
    <row r="1470" spans="1:15">
      <c r="A1470" t="s">
        <v>17344</v>
      </c>
      <c r="B1470" t="s">
        <v>17897</v>
      </c>
      <c r="D1470" t="s">
        <v>18121</v>
      </c>
      <c r="E1470" t="s">
        <v>4215</v>
      </c>
      <c r="F1470" t="s">
        <v>17334</v>
      </c>
      <c r="G1470">
        <v>3</v>
      </c>
      <c r="O1470" t="s">
        <v>18121</v>
      </c>
    </row>
    <row r="1471" spans="1:15">
      <c r="A1471" t="s">
        <v>17344</v>
      </c>
      <c r="B1471" t="s">
        <v>17929</v>
      </c>
      <c r="D1471" t="s">
        <v>18122</v>
      </c>
      <c r="E1471" t="s">
        <v>4215</v>
      </c>
      <c r="F1471" t="s">
        <v>17334</v>
      </c>
      <c r="G1471">
        <v>3</v>
      </c>
      <c r="O1471" t="s">
        <v>18122</v>
      </c>
    </row>
    <row r="1472" spans="1:15">
      <c r="A1472" t="s">
        <v>4186</v>
      </c>
      <c r="B1472" t="s">
        <v>17590</v>
      </c>
      <c r="D1472" t="s">
        <v>18407</v>
      </c>
      <c r="E1472">
        <v>0</v>
      </c>
      <c r="F1472" t="s">
        <v>17334</v>
      </c>
      <c r="G1472">
        <v>0</v>
      </c>
      <c r="O1472" t="s">
        <v>18407</v>
      </c>
    </row>
    <row r="1473" spans="1:15">
      <c r="A1473" t="s">
        <v>4186</v>
      </c>
      <c r="B1473" t="s">
        <v>17591</v>
      </c>
      <c r="D1473" t="s">
        <v>18408</v>
      </c>
      <c r="E1473">
        <v>0</v>
      </c>
      <c r="F1473" t="s">
        <v>17334</v>
      </c>
      <c r="G1473">
        <v>0</v>
      </c>
      <c r="O1473" t="s">
        <v>18408</v>
      </c>
    </row>
    <row r="1474" spans="1:15">
      <c r="A1474" t="s">
        <v>4186</v>
      </c>
      <c r="B1474" t="s">
        <v>17592</v>
      </c>
      <c r="D1474" t="s">
        <v>18409</v>
      </c>
      <c r="E1474">
        <v>0</v>
      </c>
      <c r="F1474" t="s">
        <v>17334</v>
      </c>
      <c r="G1474">
        <v>0</v>
      </c>
      <c r="O1474" t="s">
        <v>18409</v>
      </c>
    </row>
    <row r="1475" spans="1:15">
      <c r="A1475" t="s">
        <v>4186</v>
      </c>
      <c r="B1475" t="s">
        <v>17593</v>
      </c>
      <c r="D1475" t="s">
        <v>18410</v>
      </c>
      <c r="E1475">
        <v>0</v>
      </c>
      <c r="F1475" t="s">
        <v>17334</v>
      </c>
      <c r="G1475">
        <v>0</v>
      </c>
      <c r="O1475" t="s">
        <v>18410</v>
      </c>
    </row>
    <row r="1476" spans="1:15">
      <c r="A1476" t="s">
        <v>4186</v>
      </c>
      <c r="B1476" t="s">
        <v>17594</v>
      </c>
      <c r="D1476" t="s">
        <v>18411</v>
      </c>
      <c r="E1476">
        <v>0</v>
      </c>
      <c r="F1476" t="s">
        <v>17334</v>
      </c>
      <c r="G1476">
        <v>0</v>
      </c>
      <c r="O1476" t="s">
        <v>18411</v>
      </c>
    </row>
    <row r="1477" spans="1:15">
      <c r="A1477" t="s">
        <v>4186</v>
      </c>
      <c r="B1477" t="s">
        <v>17595</v>
      </c>
      <c r="D1477" t="s">
        <v>18412</v>
      </c>
      <c r="E1477">
        <v>0</v>
      </c>
      <c r="F1477" t="s">
        <v>17334</v>
      </c>
      <c r="G1477">
        <v>0</v>
      </c>
      <c r="O1477" t="s">
        <v>18412</v>
      </c>
    </row>
    <row r="1478" spans="1:15">
      <c r="A1478" t="s">
        <v>4186</v>
      </c>
      <c r="B1478" t="s">
        <v>17596</v>
      </c>
      <c r="D1478" t="s">
        <v>18413</v>
      </c>
      <c r="E1478">
        <v>0</v>
      </c>
      <c r="F1478" t="s">
        <v>17334</v>
      </c>
      <c r="G1478">
        <v>0</v>
      </c>
      <c r="O1478" t="s">
        <v>18413</v>
      </c>
    </row>
    <row r="1479" spans="1:15">
      <c r="A1479" t="s">
        <v>4186</v>
      </c>
      <c r="B1479" t="s">
        <v>17597</v>
      </c>
      <c r="D1479" t="s">
        <v>18414</v>
      </c>
      <c r="E1479">
        <v>0</v>
      </c>
      <c r="F1479" t="s">
        <v>17334</v>
      </c>
      <c r="G1479">
        <v>0</v>
      </c>
      <c r="O1479" t="s">
        <v>18414</v>
      </c>
    </row>
    <row r="1480" spans="1:15">
      <c r="A1480" t="s">
        <v>4186</v>
      </c>
      <c r="B1480" t="s">
        <v>17598</v>
      </c>
      <c r="D1480" t="s">
        <v>18415</v>
      </c>
      <c r="E1480">
        <v>0</v>
      </c>
      <c r="F1480" t="s">
        <v>17334</v>
      </c>
      <c r="G1480">
        <v>0</v>
      </c>
      <c r="O1480" t="s">
        <v>18415</v>
      </c>
    </row>
    <row r="1481" spans="1:15">
      <c r="A1481" t="s">
        <v>4186</v>
      </c>
      <c r="B1481" t="s">
        <v>17599</v>
      </c>
      <c r="D1481" t="s">
        <v>18416</v>
      </c>
      <c r="E1481">
        <v>0</v>
      </c>
      <c r="F1481" t="s">
        <v>17334</v>
      </c>
      <c r="G1481">
        <v>0</v>
      </c>
      <c r="O1481" t="s">
        <v>18416</v>
      </c>
    </row>
    <row r="1482" spans="1:15">
      <c r="A1482" t="s">
        <v>4186</v>
      </c>
      <c r="B1482" t="s">
        <v>17600</v>
      </c>
      <c r="D1482" t="s">
        <v>18417</v>
      </c>
      <c r="E1482">
        <v>0</v>
      </c>
      <c r="F1482" t="s">
        <v>17334</v>
      </c>
      <c r="G1482">
        <v>0</v>
      </c>
      <c r="O1482" t="s">
        <v>18417</v>
      </c>
    </row>
    <row r="1483" spans="1:15">
      <c r="A1483" t="s">
        <v>4186</v>
      </c>
      <c r="B1483" t="s">
        <v>17601</v>
      </c>
      <c r="D1483" t="s">
        <v>18418</v>
      </c>
      <c r="E1483">
        <v>0</v>
      </c>
      <c r="F1483" t="s">
        <v>17334</v>
      </c>
      <c r="G1483">
        <v>0</v>
      </c>
      <c r="O1483" t="s">
        <v>18418</v>
      </c>
    </row>
    <row r="1484" spans="1:15">
      <c r="A1484" t="s">
        <v>4186</v>
      </c>
      <c r="B1484" t="s">
        <v>17602</v>
      </c>
      <c r="D1484" t="s">
        <v>18419</v>
      </c>
      <c r="E1484">
        <v>0</v>
      </c>
      <c r="F1484" t="s">
        <v>17334</v>
      </c>
      <c r="G1484">
        <v>0</v>
      </c>
      <c r="O1484" t="s">
        <v>18419</v>
      </c>
    </row>
    <row r="1485" spans="1:15">
      <c r="A1485" t="s">
        <v>4186</v>
      </c>
      <c r="B1485" t="s">
        <v>17603</v>
      </c>
      <c r="D1485" t="s">
        <v>18420</v>
      </c>
      <c r="E1485">
        <v>0</v>
      </c>
      <c r="F1485" t="s">
        <v>17334</v>
      </c>
      <c r="G1485">
        <v>0</v>
      </c>
      <c r="O1485" t="s">
        <v>18420</v>
      </c>
    </row>
    <row r="1486" spans="1:15">
      <c r="A1486" t="s">
        <v>4186</v>
      </c>
      <c r="B1486" t="s">
        <v>17604</v>
      </c>
      <c r="D1486" t="s">
        <v>18421</v>
      </c>
      <c r="E1486">
        <v>0</v>
      </c>
      <c r="F1486" t="s">
        <v>17334</v>
      </c>
      <c r="G1486">
        <v>0</v>
      </c>
      <c r="O1486" t="s">
        <v>18421</v>
      </c>
    </row>
    <row r="1487" spans="1:15">
      <c r="A1487" t="s">
        <v>4186</v>
      </c>
      <c r="B1487" t="s">
        <v>17605</v>
      </c>
      <c r="D1487" t="s">
        <v>18422</v>
      </c>
      <c r="E1487">
        <v>0</v>
      </c>
      <c r="F1487" t="s">
        <v>17334</v>
      </c>
      <c r="G1487">
        <v>0</v>
      </c>
      <c r="O1487" t="s">
        <v>18422</v>
      </c>
    </row>
    <row r="1488" spans="1:15">
      <c r="A1488" t="s">
        <v>4186</v>
      </c>
      <c r="B1488" t="s">
        <v>17606</v>
      </c>
      <c r="D1488" t="s">
        <v>18423</v>
      </c>
      <c r="E1488">
        <v>0</v>
      </c>
      <c r="F1488" t="s">
        <v>17334</v>
      </c>
      <c r="G1488">
        <v>0</v>
      </c>
      <c r="O1488" t="s">
        <v>18423</v>
      </c>
    </row>
    <row r="1489" spans="1:15">
      <c r="A1489" t="s">
        <v>4186</v>
      </c>
      <c r="B1489" t="s">
        <v>17607</v>
      </c>
      <c r="D1489" t="s">
        <v>18424</v>
      </c>
      <c r="E1489">
        <v>0</v>
      </c>
      <c r="F1489" t="s">
        <v>17334</v>
      </c>
      <c r="G1489">
        <v>0</v>
      </c>
      <c r="O1489" t="s">
        <v>18424</v>
      </c>
    </row>
    <row r="1490" spans="1:15">
      <c r="A1490" t="s">
        <v>4186</v>
      </c>
      <c r="B1490" t="s">
        <v>17608</v>
      </c>
      <c r="D1490" t="s">
        <v>18425</v>
      </c>
      <c r="E1490">
        <v>0</v>
      </c>
      <c r="F1490" t="s">
        <v>17334</v>
      </c>
      <c r="G1490">
        <v>0</v>
      </c>
      <c r="O1490" t="s">
        <v>18425</v>
      </c>
    </row>
    <row r="1491" spans="1:15">
      <c r="A1491" t="s">
        <v>4186</v>
      </c>
      <c r="B1491" t="s">
        <v>17609</v>
      </c>
      <c r="D1491" t="s">
        <v>18426</v>
      </c>
      <c r="E1491">
        <v>0</v>
      </c>
      <c r="F1491" t="s">
        <v>17334</v>
      </c>
      <c r="G1491">
        <v>0</v>
      </c>
      <c r="O1491" t="s">
        <v>18426</v>
      </c>
    </row>
    <row r="1492" spans="1:15">
      <c r="A1492" t="s">
        <v>4186</v>
      </c>
      <c r="B1492" t="s">
        <v>17610</v>
      </c>
      <c r="D1492" t="s">
        <v>18427</v>
      </c>
      <c r="E1492">
        <v>0</v>
      </c>
      <c r="F1492" t="s">
        <v>17334</v>
      </c>
      <c r="G1492">
        <v>0</v>
      </c>
      <c r="O1492" t="s">
        <v>18427</v>
      </c>
    </row>
    <row r="1493" spans="1:15">
      <c r="A1493" t="s">
        <v>4186</v>
      </c>
      <c r="B1493" t="s">
        <v>17611</v>
      </c>
      <c r="D1493" t="s">
        <v>18428</v>
      </c>
      <c r="E1493">
        <v>0</v>
      </c>
      <c r="F1493" t="s">
        <v>17334</v>
      </c>
      <c r="G1493">
        <v>0</v>
      </c>
      <c r="O1493" t="s">
        <v>18428</v>
      </c>
    </row>
    <row r="1494" spans="1:15">
      <c r="A1494" t="s">
        <v>4186</v>
      </c>
      <c r="B1494" t="s">
        <v>17612</v>
      </c>
      <c r="D1494" t="s">
        <v>18429</v>
      </c>
      <c r="E1494">
        <v>0</v>
      </c>
      <c r="F1494" t="s">
        <v>17334</v>
      </c>
      <c r="G1494">
        <v>0</v>
      </c>
      <c r="O1494" t="s">
        <v>18429</v>
      </c>
    </row>
    <row r="1495" spans="1:15">
      <c r="A1495" t="s">
        <v>4186</v>
      </c>
      <c r="B1495" t="s">
        <v>17613</v>
      </c>
      <c r="D1495" t="s">
        <v>18430</v>
      </c>
      <c r="E1495">
        <v>0</v>
      </c>
      <c r="F1495" t="s">
        <v>17334</v>
      </c>
      <c r="G1495">
        <v>0</v>
      </c>
      <c r="O1495" t="s">
        <v>18430</v>
      </c>
    </row>
    <row r="1496" spans="1:15">
      <c r="A1496" t="s">
        <v>4186</v>
      </c>
      <c r="B1496" t="s">
        <v>17614</v>
      </c>
      <c r="D1496" t="s">
        <v>18431</v>
      </c>
      <c r="E1496">
        <v>0</v>
      </c>
      <c r="F1496" t="s">
        <v>17334</v>
      </c>
      <c r="G1496">
        <v>0</v>
      </c>
      <c r="O1496" t="s">
        <v>18431</v>
      </c>
    </row>
    <row r="1497" spans="1:15">
      <c r="A1497" t="s">
        <v>4186</v>
      </c>
      <c r="B1497" t="s">
        <v>17615</v>
      </c>
      <c r="D1497" t="s">
        <v>18432</v>
      </c>
      <c r="E1497">
        <v>0</v>
      </c>
      <c r="F1497" t="s">
        <v>17334</v>
      </c>
      <c r="G1497">
        <v>0</v>
      </c>
      <c r="O1497" t="s">
        <v>18432</v>
      </c>
    </row>
    <row r="1498" spans="1:15">
      <c r="A1498" t="s">
        <v>4186</v>
      </c>
      <c r="B1498" t="s">
        <v>17616</v>
      </c>
      <c r="D1498" t="s">
        <v>18433</v>
      </c>
      <c r="E1498">
        <v>0</v>
      </c>
      <c r="F1498" t="s">
        <v>17334</v>
      </c>
      <c r="G1498">
        <v>0</v>
      </c>
      <c r="O1498" t="s">
        <v>18433</v>
      </c>
    </row>
    <row r="1499" spans="1:15">
      <c r="A1499" t="s">
        <v>4186</v>
      </c>
      <c r="B1499" t="s">
        <v>17617</v>
      </c>
      <c r="D1499" t="s">
        <v>18434</v>
      </c>
      <c r="E1499">
        <v>0</v>
      </c>
      <c r="F1499" t="s">
        <v>17334</v>
      </c>
      <c r="G1499">
        <v>0</v>
      </c>
      <c r="O1499" t="s">
        <v>18434</v>
      </c>
    </row>
    <row r="1500" spans="1:15">
      <c r="A1500" t="s">
        <v>4186</v>
      </c>
      <c r="B1500" t="s">
        <v>17618</v>
      </c>
      <c r="D1500" t="s">
        <v>18435</v>
      </c>
      <c r="E1500">
        <v>0</v>
      </c>
      <c r="F1500" t="s">
        <v>17334</v>
      </c>
      <c r="G1500">
        <v>0</v>
      </c>
      <c r="O1500" t="s">
        <v>18435</v>
      </c>
    </row>
    <row r="1501" spans="1:15">
      <c r="A1501" t="s">
        <v>4186</v>
      </c>
      <c r="B1501" t="s">
        <v>17619</v>
      </c>
      <c r="D1501" t="s">
        <v>18436</v>
      </c>
      <c r="E1501">
        <v>0</v>
      </c>
      <c r="F1501" t="s">
        <v>17334</v>
      </c>
      <c r="G1501">
        <v>0</v>
      </c>
      <c r="O1501" t="s">
        <v>18436</v>
      </c>
    </row>
    <row r="1502" spans="1:15">
      <c r="A1502" t="s">
        <v>4186</v>
      </c>
      <c r="B1502" t="s">
        <v>17620</v>
      </c>
      <c r="D1502" t="s">
        <v>18437</v>
      </c>
      <c r="E1502">
        <v>0</v>
      </c>
      <c r="F1502" t="s">
        <v>17334</v>
      </c>
      <c r="G1502">
        <v>0</v>
      </c>
      <c r="O1502" t="s">
        <v>18437</v>
      </c>
    </row>
    <row r="1503" spans="1:15">
      <c r="A1503" t="s">
        <v>4186</v>
      </c>
      <c r="B1503" t="s">
        <v>17621</v>
      </c>
      <c r="D1503" t="s">
        <v>18438</v>
      </c>
      <c r="E1503">
        <v>0</v>
      </c>
      <c r="F1503" t="s">
        <v>17334</v>
      </c>
      <c r="G1503">
        <v>0</v>
      </c>
      <c r="O1503" t="s">
        <v>18438</v>
      </c>
    </row>
    <row r="1504" spans="1:15">
      <c r="A1504" t="s">
        <v>4186</v>
      </c>
      <c r="B1504" t="s">
        <v>17622</v>
      </c>
      <c r="D1504" t="s">
        <v>18439</v>
      </c>
      <c r="E1504">
        <v>0</v>
      </c>
      <c r="F1504" t="s">
        <v>17334</v>
      </c>
      <c r="G1504">
        <v>0</v>
      </c>
      <c r="O1504" t="s">
        <v>18439</v>
      </c>
    </row>
    <row r="1505" spans="1:15">
      <c r="A1505" t="s">
        <v>4186</v>
      </c>
      <c r="B1505" t="s">
        <v>17623</v>
      </c>
      <c r="D1505" t="s">
        <v>18440</v>
      </c>
      <c r="E1505">
        <v>0</v>
      </c>
      <c r="F1505" t="s">
        <v>17334</v>
      </c>
      <c r="G1505">
        <v>0</v>
      </c>
      <c r="O1505" t="s">
        <v>18440</v>
      </c>
    </row>
    <row r="1506" spans="1:15">
      <c r="A1506" t="s">
        <v>4186</v>
      </c>
      <c r="B1506" t="s">
        <v>17624</v>
      </c>
      <c r="D1506" t="s">
        <v>18441</v>
      </c>
      <c r="E1506">
        <v>0</v>
      </c>
      <c r="F1506" t="s">
        <v>17334</v>
      </c>
      <c r="G1506">
        <v>0</v>
      </c>
      <c r="O1506" t="s">
        <v>18441</v>
      </c>
    </row>
    <row r="1507" spans="1:15">
      <c r="A1507" t="s">
        <v>4186</v>
      </c>
      <c r="B1507" t="s">
        <v>17625</v>
      </c>
      <c r="D1507" t="s">
        <v>18442</v>
      </c>
      <c r="E1507">
        <v>0</v>
      </c>
      <c r="F1507" t="s">
        <v>17334</v>
      </c>
      <c r="G1507">
        <v>0</v>
      </c>
      <c r="O1507" t="s">
        <v>18442</v>
      </c>
    </row>
    <row r="1508" spans="1:15">
      <c r="A1508" t="s">
        <v>4186</v>
      </c>
      <c r="B1508" t="s">
        <v>17626</v>
      </c>
      <c r="D1508" t="s">
        <v>18443</v>
      </c>
      <c r="E1508">
        <v>0</v>
      </c>
      <c r="F1508" t="s">
        <v>17334</v>
      </c>
      <c r="G1508">
        <v>0</v>
      </c>
      <c r="O1508" t="s">
        <v>18443</v>
      </c>
    </row>
    <row r="1509" spans="1:15">
      <c r="A1509" t="s">
        <v>4186</v>
      </c>
      <c r="B1509" t="s">
        <v>17627</v>
      </c>
      <c r="D1509" t="s">
        <v>18444</v>
      </c>
      <c r="E1509">
        <v>0</v>
      </c>
      <c r="F1509" t="s">
        <v>17334</v>
      </c>
      <c r="G1509">
        <v>0</v>
      </c>
      <c r="O1509" t="s">
        <v>18444</v>
      </c>
    </row>
    <row r="1510" spans="1:15">
      <c r="A1510" t="s">
        <v>4186</v>
      </c>
      <c r="B1510" t="s">
        <v>17628</v>
      </c>
      <c r="D1510" t="s">
        <v>18445</v>
      </c>
      <c r="E1510">
        <v>0</v>
      </c>
      <c r="F1510" t="s">
        <v>17334</v>
      </c>
      <c r="G1510">
        <v>0</v>
      </c>
      <c r="O1510" t="s">
        <v>18445</v>
      </c>
    </row>
    <row r="1511" spans="1:15">
      <c r="A1511" t="s">
        <v>4186</v>
      </c>
      <c r="B1511" t="s">
        <v>17629</v>
      </c>
      <c r="D1511" t="s">
        <v>18446</v>
      </c>
      <c r="E1511">
        <v>0</v>
      </c>
      <c r="F1511" t="s">
        <v>17334</v>
      </c>
      <c r="G1511">
        <v>0</v>
      </c>
      <c r="O1511" t="s">
        <v>18446</v>
      </c>
    </row>
    <row r="1512" spans="1:15">
      <c r="A1512" t="s">
        <v>4186</v>
      </c>
      <c r="B1512" t="s">
        <v>17630</v>
      </c>
      <c r="D1512" t="s">
        <v>18447</v>
      </c>
      <c r="E1512">
        <v>0</v>
      </c>
      <c r="F1512" t="s">
        <v>17334</v>
      </c>
      <c r="G1512">
        <v>0</v>
      </c>
      <c r="O1512" t="s">
        <v>18447</v>
      </c>
    </row>
    <row r="1513" spans="1:15">
      <c r="A1513" t="s">
        <v>4186</v>
      </c>
      <c r="B1513" t="s">
        <v>17631</v>
      </c>
      <c r="D1513" t="s">
        <v>18448</v>
      </c>
      <c r="E1513">
        <v>0</v>
      </c>
      <c r="F1513" t="s">
        <v>17334</v>
      </c>
      <c r="G1513">
        <v>0</v>
      </c>
      <c r="O1513" t="s">
        <v>18448</v>
      </c>
    </row>
    <row r="1514" spans="1:15">
      <c r="A1514" t="s">
        <v>4186</v>
      </c>
      <c r="B1514" t="s">
        <v>17632</v>
      </c>
      <c r="D1514" t="s">
        <v>18449</v>
      </c>
      <c r="E1514">
        <v>0</v>
      </c>
      <c r="F1514" t="s">
        <v>17334</v>
      </c>
      <c r="G1514">
        <v>0</v>
      </c>
      <c r="O1514" t="s">
        <v>18449</v>
      </c>
    </row>
    <row r="1515" spans="1:15">
      <c r="A1515" t="s">
        <v>4186</v>
      </c>
      <c r="B1515" t="s">
        <v>17633</v>
      </c>
      <c r="D1515" t="s">
        <v>18450</v>
      </c>
      <c r="E1515">
        <v>0</v>
      </c>
      <c r="F1515" t="s">
        <v>17334</v>
      </c>
      <c r="G1515">
        <v>0</v>
      </c>
      <c r="O1515" t="s">
        <v>18450</v>
      </c>
    </row>
    <row r="1516" spans="1:15">
      <c r="A1516" t="s">
        <v>4186</v>
      </c>
      <c r="B1516" t="s">
        <v>17634</v>
      </c>
      <c r="D1516" t="s">
        <v>18451</v>
      </c>
      <c r="E1516">
        <v>0</v>
      </c>
      <c r="F1516" t="s">
        <v>17334</v>
      </c>
      <c r="G1516">
        <v>0</v>
      </c>
      <c r="O1516" t="s">
        <v>18451</v>
      </c>
    </row>
    <row r="1517" spans="1:15">
      <c r="A1517" t="s">
        <v>4186</v>
      </c>
      <c r="B1517" t="s">
        <v>17635</v>
      </c>
      <c r="D1517" t="s">
        <v>18452</v>
      </c>
      <c r="E1517">
        <v>0</v>
      </c>
      <c r="F1517" t="s">
        <v>17334</v>
      </c>
      <c r="G1517">
        <v>0</v>
      </c>
      <c r="O1517" t="s">
        <v>18452</v>
      </c>
    </row>
    <row r="1518" spans="1:15">
      <c r="A1518" t="s">
        <v>4186</v>
      </c>
      <c r="B1518" t="s">
        <v>17636</v>
      </c>
      <c r="D1518" t="s">
        <v>18453</v>
      </c>
      <c r="E1518">
        <v>0</v>
      </c>
      <c r="F1518" t="s">
        <v>17334</v>
      </c>
      <c r="G1518">
        <v>0</v>
      </c>
      <c r="O1518" t="s">
        <v>18453</v>
      </c>
    </row>
    <row r="1519" spans="1:15">
      <c r="A1519" t="s">
        <v>4186</v>
      </c>
      <c r="B1519" t="s">
        <v>17637</v>
      </c>
      <c r="D1519" t="s">
        <v>18454</v>
      </c>
      <c r="E1519">
        <v>0</v>
      </c>
      <c r="F1519" t="s">
        <v>17334</v>
      </c>
      <c r="G1519">
        <v>0</v>
      </c>
      <c r="O1519" t="s">
        <v>18454</v>
      </c>
    </row>
    <row r="1520" spans="1:15">
      <c r="A1520" t="s">
        <v>4186</v>
      </c>
      <c r="B1520" t="s">
        <v>17638</v>
      </c>
      <c r="D1520" t="s">
        <v>18455</v>
      </c>
      <c r="E1520">
        <v>0</v>
      </c>
      <c r="F1520" t="s">
        <v>17334</v>
      </c>
      <c r="G1520">
        <v>0</v>
      </c>
      <c r="O1520" t="s">
        <v>18455</v>
      </c>
    </row>
    <row r="1521" spans="1:15">
      <c r="A1521" t="s">
        <v>4186</v>
      </c>
      <c r="B1521" t="s">
        <v>17639</v>
      </c>
      <c r="D1521" t="s">
        <v>18456</v>
      </c>
      <c r="E1521">
        <v>0</v>
      </c>
      <c r="F1521" t="s">
        <v>17334</v>
      </c>
      <c r="G1521">
        <v>0</v>
      </c>
      <c r="O1521" t="s">
        <v>18456</v>
      </c>
    </row>
    <row r="1522" spans="1:15">
      <c r="A1522" t="s">
        <v>4186</v>
      </c>
      <c r="B1522" t="s">
        <v>17640</v>
      </c>
      <c r="D1522" t="s">
        <v>18457</v>
      </c>
      <c r="E1522">
        <v>0</v>
      </c>
      <c r="F1522" t="s">
        <v>17334</v>
      </c>
      <c r="G1522">
        <v>0</v>
      </c>
      <c r="O1522" t="s">
        <v>18457</v>
      </c>
    </row>
    <row r="1523" spans="1:15">
      <c r="A1523" t="s">
        <v>4186</v>
      </c>
      <c r="B1523" t="s">
        <v>17641</v>
      </c>
      <c r="D1523" t="s">
        <v>18458</v>
      </c>
      <c r="E1523">
        <v>0</v>
      </c>
      <c r="F1523" t="s">
        <v>17334</v>
      </c>
      <c r="G1523">
        <v>0</v>
      </c>
      <c r="O1523" t="s">
        <v>18458</v>
      </c>
    </row>
    <row r="1524" spans="1:15">
      <c r="A1524" t="s">
        <v>4186</v>
      </c>
      <c r="B1524" t="s">
        <v>17642</v>
      </c>
      <c r="D1524" t="s">
        <v>18459</v>
      </c>
      <c r="E1524">
        <v>0</v>
      </c>
      <c r="F1524" t="s">
        <v>17334</v>
      </c>
      <c r="G1524">
        <v>0</v>
      </c>
      <c r="O1524" t="s">
        <v>18459</v>
      </c>
    </row>
    <row r="1525" spans="1:15">
      <c r="A1525" t="s">
        <v>4186</v>
      </c>
      <c r="B1525" t="s">
        <v>17643</v>
      </c>
      <c r="D1525" t="s">
        <v>18460</v>
      </c>
      <c r="E1525">
        <v>0</v>
      </c>
      <c r="F1525" t="s">
        <v>17334</v>
      </c>
      <c r="G1525">
        <v>0</v>
      </c>
      <c r="O1525" t="s">
        <v>18460</v>
      </c>
    </row>
    <row r="1526" spans="1:15">
      <c r="A1526" t="s">
        <v>4186</v>
      </c>
      <c r="B1526" t="str">
        <f>'11A'!$T$96</f>
        <v>BO_214895</v>
      </c>
      <c r="D1526" t="str">
        <f>_xlfn.CONCAT('11A'!$B$96, " - ", '11A'!$C$5, " - ", '11A'!$C$6, )</f>
        <v>Purchased goods and services - Operational emissions - Water</v>
      </c>
      <c r="E1526" t="str">
        <f>'11A'!C7</f>
        <v>tCO2e</v>
      </c>
      <c r="F1526" t="s">
        <v>17334</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17334</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17334</v>
      </c>
      <c r="G1528">
        <f>'11A'!E8</f>
        <v>3</v>
      </c>
      <c r="O1528" t="str">
        <f>D1528</f>
        <v>Purchased goods and services - Operational emissions - Total</v>
      </c>
    </row>
  </sheetData>
  <conditionalFormatting sqref="B1:B1525 B1527:B1048576">
    <cfRule type="duplicateValues" dxfId="255" priority="6"/>
  </conditionalFormatting>
  <conditionalFormatting sqref="B1:B1048576">
    <cfRule type="duplicateValues" dxfId="254" priority="1"/>
  </conditionalFormatting>
  <conditionalFormatting sqref="B1526:B1528">
    <cfRule type="duplicateValues" dxfId="253" priority="2"/>
    <cfRule type="duplicateValues" dxfId="252" priority="3"/>
    <cfRule type="duplicateValues" dxfId="251" priority="4"/>
    <cfRule type="duplicateValues" dxfId="250"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5" zoomScaleNormal="100" zoomScaleSheetLayoutView="100" workbookViewId="0">
      <selection activeCell="J33" sqref="J33"/>
    </sheetView>
  </sheetViews>
  <sheetFormatPr defaultColWidth="9.09765625" defaultRowHeight="15.6"/>
  <cols>
    <col min="1" max="1" width="1.59765625" style="224" customWidth="1"/>
    <col min="2" max="2" width="48.5" style="224" customWidth="1"/>
    <col min="3" max="3" width="7" style="224" customWidth="1"/>
    <col min="4" max="4" width="5.5" style="224" customWidth="1"/>
    <col min="5" max="5" width="16" style="224" customWidth="1"/>
    <col min="6" max="6" width="12.5" style="224" customWidth="1"/>
    <col min="7" max="7" width="1.59765625" style="224" customWidth="1"/>
    <col min="8" max="8" width="12.5" style="261" customWidth="1"/>
    <col min="9" max="9" width="1.59765625" style="224" customWidth="1"/>
    <col min="10" max="10" width="33.59765625" style="224" customWidth="1"/>
    <col min="11" max="12" width="1.59765625" style="224" customWidth="1"/>
    <col min="13" max="13" width="25" style="224" customWidth="1"/>
    <col min="14" max="14" width="1.59765625" style="224" customWidth="1"/>
    <col min="15" max="16" width="12.59765625" style="224" hidden="1" customWidth="1"/>
    <col min="17" max="17" width="1.59765625" style="224" hidden="1" customWidth="1"/>
    <col min="18" max="18" width="1.59765625" style="224" customWidth="1"/>
    <col min="19" max="19" width="36.09765625" style="224" customWidth="1"/>
    <col min="20" max="21" width="12.5" style="224" customWidth="1"/>
    <col min="22" max="22" width="1.59765625" style="224" customWidth="1"/>
    <col min="23" max="16384" width="9.09765625" style="224"/>
  </cols>
  <sheetData>
    <row r="1" spans="1:22" s="649" customFormat="1" ht="22.8">
      <c r="B1" s="902" t="s">
        <v>8403</v>
      </c>
      <c r="C1" s="902"/>
      <c r="D1" s="902"/>
      <c r="E1" s="219"/>
      <c r="F1" s="219"/>
      <c r="H1" s="261"/>
      <c r="L1" s="906"/>
      <c r="N1" s="906"/>
      <c r="Q1" s="906"/>
      <c r="S1" s="902" t="s">
        <v>4198</v>
      </c>
      <c r="T1" s="219"/>
      <c r="U1" s="219"/>
      <c r="V1" s="261"/>
    </row>
    <row r="2" spans="1:22" s="649" customFormat="1" ht="22.8">
      <c r="B2" s="902" t="str">
        <f>SelectCompany!B4</f>
        <v>Dŵr Cymru</v>
      </c>
      <c r="C2" s="219"/>
      <c r="D2" s="219"/>
      <c r="E2" s="219"/>
      <c r="F2" s="219"/>
      <c r="H2" s="261"/>
      <c r="L2" s="906"/>
      <c r="N2" s="906"/>
      <c r="Q2" s="906"/>
      <c r="S2" s="902"/>
      <c r="T2" s="219"/>
      <c r="U2" s="219"/>
      <c r="V2" s="261"/>
    </row>
    <row r="3" spans="1:22" s="651" customFormat="1" ht="19.2">
      <c r="B3" s="2858" t="s">
        <v>8404</v>
      </c>
      <c r="C3" s="2723"/>
      <c r="D3" s="2723"/>
      <c r="E3" s="2723"/>
      <c r="F3" s="2723"/>
      <c r="G3" s="2723"/>
      <c r="H3" s="2723"/>
      <c r="I3" s="2723"/>
      <c r="J3" s="2723"/>
      <c r="L3" s="907"/>
      <c r="M3" s="650" t="s">
        <v>4200</v>
      </c>
      <c r="N3" s="907"/>
      <c r="Q3" s="907"/>
      <c r="S3" s="2858" t="s">
        <v>8404</v>
      </c>
      <c r="T3" s="2723"/>
      <c r="U3" s="2723"/>
      <c r="V3" s="261"/>
    </row>
    <row r="4" spans="1:22" s="651" customFormat="1" ht="23.4" thickBot="1">
      <c r="B4" s="690"/>
      <c r="C4" s="690"/>
      <c r="D4" s="690"/>
      <c r="E4" s="690"/>
      <c r="F4" s="908"/>
      <c r="H4" s="261"/>
      <c r="L4" s="907"/>
      <c r="M4" s="284"/>
      <c r="N4" s="907"/>
      <c r="Q4" s="907"/>
      <c r="S4" s="690"/>
      <c r="T4" s="690"/>
      <c r="U4" s="908"/>
      <c r="V4" s="261"/>
    </row>
    <row r="5" spans="1:22" ht="46.2" thickTop="1" thickBot="1">
      <c r="A5" s="197"/>
      <c r="B5" s="909" t="s">
        <v>4202</v>
      </c>
      <c r="C5" s="120" t="s">
        <v>4203</v>
      </c>
      <c r="D5" s="120" t="s">
        <v>4204</v>
      </c>
      <c r="E5" s="120" t="s">
        <v>4321</v>
      </c>
      <c r="F5" s="121" t="s">
        <v>8405</v>
      </c>
      <c r="G5" s="197"/>
      <c r="H5" s="910" t="s">
        <v>4208</v>
      </c>
      <c r="I5" s="197"/>
      <c r="J5" s="910" t="s">
        <v>4209</v>
      </c>
      <c r="K5" s="197"/>
      <c r="L5" s="363"/>
      <c r="M5" s="284"/>
      <c r="N5" s="363"/>
      <c r="Q5" s="363"/>
      <c r="S5" s="909" t="s">
        <v>4202</v>
      </c>
      <c r="T5" s="120" t="s">
        <v>4321</v>
      </c>
      <c r="U5" s="121" t="s">
        <v>8405</v>
      </c>
      <c r="V5" s="317"/>
    </row>
    <row r="6" spans="1:22" ht="15.75" customHeight="1" thickTop="1" thickBot="1">
      <c r="A6" s="197"/>
      <c r="B6" s="911"/>
      <c r="C6" s="911"/>
      <c r="D6" s="911"/>
      <c r="E6" s="912"/>
      <c r="F6" s="912"/>
      <c r="G6" s="197"/>
      <c r="H6" s="260"/>
      <c r="I6" s="197"/>
      <c r="J6" s="347"/>
      <c r="K6" s="197"/>
      <c r="L6" s="363"/>
      <c r="M6" s="284"/>
      <c r="N6" s="363"/>
      <c r="O6" s="2710" t="s">
        <v>4201</v>
      </c>
      <c r="P6" s="2710"/>
      <c r="Q6" s="913"/>
      <c r="R6" s="914"/>
      <c r="S6" s="911"/>
      <c r="T6" s="912"/>
      <c r="U6" s="912"/>
      <c r="V6" s="261"/>
    </row>
    <row r="7" spans="1:22" ht="15.75" customHeight="1" thickTop="1" thickBot="1">
      <c r="A7" s="197"/>
      <c r="B7" s="33" t="s">
        <v>8406</v>
      </c>
      <c r="C7" s="394"/>
      <c r="D7" s="394"/>
      <c r="E7" s="482"/>
      <c r="F7" s="146"/>
      <c r="G7" s="197"/>
      <c r="I7" s="197"/>
      <c r="J7" s="197"/>
      <c r="K7" s="197"/>
      <c r="L7" s="363"/>
      <c r="M7" s="284"/>
      <c r="N7" s="363"/>
      <c r="O7" s="269" t="s">
        <v>4210</v>
      </c>
      <c r="P7" s="242"/>
      <c r="Q7" s="886"/>
      <c r="R7" s="242"/>
      <c r="S7" s="33" t="s">
        <v>8406</v>
      </c>
      <c r="T7" s="482"/>
      <c r="U7" s="146"/>
      <c r="V7" s="261"/>
    </row>
    <row r="8" spans="1:22" s="197" customFormat="1" ht="15.75" customHeight="1" thickTop="1">
      <c r="B8" s="915" t="s">
        <v>8407</v>
      </c>
      <c r="C8" s="916" t="s">
        <v>4215</v>
      </c>
      <c r="D8" s="916">
        <v>3</v>
      </c>
      <c r="E8" s="917">
        <f>IFERROR('1E'!I14, 0)</f>
        <v>4172.2560000000003</v>
      </c>
      <c r="F8" s="918"/>
      <c r="G8" s="261"/>
      <c r="H8" s="919" t="s">
        <v>8408</v>
      </c>
      <c r="J8" s="920"/>
      <c r="L8" s="828"/>
      <c r="M8" s="284"/>
      <c r="N8" s="828"/>
      <c r="O8" s="270"/>
      <c r="P8" s="270"/>
      <c r="Q8" s="828"/>
      <c r="S8" s="915" t="s">
        <v>8407</v>
      </c>
      <c r="T8" s="917" t="s">
        <v>4803</v>
      </c>
      <c r="U8" s="918"/>
      <c r="V8" s="921"/>
    </row>
    <row r="9" spans="1:22" s="197" customFormat="1" ht="15.75" customHeight="1">
      <c r="B9" s="922" t="s">
        <v>8409</v>
      </c>
      <c r="C9" s="923" t="s">
        <v>4215</v>
      </c>
      <c r="D9" s="923">
        <v>3</v>
      </c>
      <c r="E9" s="1602">
        <f>IFERROR(SUM('4C'!J46:N46) - E8, 0)</f>
        <v>2988.3500000000004</v>
      </c>
      <c r="F9" s="925"/>
      <c r="G9" s="261"/>
      <c r="H9" s="926" t="s">
        <v>8410</v>
      </c>
      <c r="J9" s="927"/>
      <c r="L9" s="828"/>
      <c r="M9" s="284"/>
      <c r="N9" s="828"/>
      <c r="O9" s="270"/>
      <c r="P9" s="270"/>
      <c r="Q9" s="828"/>
      <c r="S9" s="922" t="s">
        <v>8409</v>
      </c>
      <c r="T9" s="924" t="s">
        <v>8411</v>
      </c>
      <c r="U9" s="925"/>
      <c r="V9" s="921"/>
    </row>
    <row r="10" spans="1:22" s="197" customFormat="1" ht="15.75" customHeight="1">
      <c r="B10" s="922" t="s">
        <v>8412</v>
      </c>
      <c r="C10" s="923" t="s">
        <v>4805</v>
      </c>
      <c r="D10" s="923">
        <v>2</v>
      </c>
      <c r="E10" s="928">
        <f>IFERROR(E8 / SUM('4C'!J46:N46), 0)</f>
        <v>0.58266800323883206</v>
      </c>
      <c r="F10" s="929"/>
      <c r="G10" s="261"/>
      <c r="H10" s="926" t="s">
        <v>8413</v>
      </c>
      <c r="J10" s="927"/>
      <c r="L10" s="828"/>
      <c r="M10" s="284"/>
      <c r="N10" s="828"/>
      <c r="O10" s="270"/>
      <c r="P10" s="270"/>
      <c r="Q10" s="828"/>
      <c r="S10" s="922" t="s">
        <v>8412</v>
      </c>
      <c r="T10" s="928" t="s">
        <v>4807</v>
      </c>
      <c r="U10" s="929"/>
      <c r="V10" s="921"/>
    </row>
    <row r="11" spans="1:22" s="197" customFormat="1" ht="15.75" customHeight="1">
      <c r="B11" s="922" t="s">
        <v>8414</v>
      </c>
      <c r="C11" s="923" t="s">
        <v>4805</v>
      </c>
      <c r="D11" s="923">
        <v>2</v>
      </c>
      <c r="E11" s="930">
        <v>-0.18129999999999999</v>
      </c>
      <c r="F11" s="929"/>
      <c r="G11" s="261"/>
      <c r="H11" s="926" t="s">
        <v>8415</v>
      </c>
      <c r="J11" s="927"/>
      <c r="L11" s="828"/>
      <c r="M11" s="284">
        <f t="shared" ref="M11:M23" si="0">IF( SUM( O11:P11 ) = 0, 0, $O$7 )</f>
        <v>0</v>
      </c>
      <c r="N11" s="828"/>
      <c r="O11" s="285">
        <f t="shared" ref="O11:O23" si="1" xml:space="preserve"> IF( ISNUMBER(E11), 0, 1 )</f>
        <v>0</v>
      </c>
      <c r="P11" s="270"/>
      <c r="Q11" s="828"/>
      <c r="S11" s="922" t="s">
        <v>8414</v>
      </c>
      <c r="T11" s="930" t="s">
        <v>8416</v>
      </c>
      <c r="U11" s="929"/>
      <c r="V11" s="921"/>
    </row>
    <row r="12" spans="1:22" s="197" customFormat="1" ht="15.75" customHeight="1">
      <c r="B12" s="922" t="s">
        <v>8417</v>
      </c>
      <c r="C12" s="923" t="s">
        <v>4805</v>
      </c>
      <c r="D12" s="923">
        <v>2</v>
      </c>
      <c r="E12" s="931">
        <f>IFERROR('1F'!F36, 0)</f>
        <v>-1.2311376248920737E-2</v>
      </c>
      <c r="F12" s="932">
        <f>IFERROR('1F'!L36,0)</f>
        <v>3.8211662373867569E-3</v>
      </c>
      <c r="G12" s="261"/>
      <c r="H12" s="926" t="s">
        <v>8418</v>
      </c>
      <c r="J12" s="927"/>
      <c r="L12" s="828"/>
      <c r="M12" s="284"/>
      <c r="N12" s="828"/>
      <c r="O12" s="270"/>
      <c r="P12" s="270"/>
      <c r="Q12" s="828"/>
      <c r="S12" s="922" t="s">
        <v>8417</v>
      </c>
      <c r="T12" s="931" t="s">
        <v>8419</v>
      </c>
      <c r="U12" s="932" t="s">
        <v>8420</v>
      </c>
      <c r="V12" s="921"/>
    </row>
    <row r="13" spans="1:22" s="197" customFormat="1" ht="15.75" customHeight="1">
      <c r="B13" s="922" t="s">
        <v>8421</v>
      </c>
      <c r="C13" s="923" t="s">
        <v>4805</v>
      </c>
      <c r="D13" s="923">
        <v>2</v>
      </c>
      <c r="E13" s="928">
        <f>- IFERROR('1A'!J22 / E9, 0)</f>
        <v>0</v>
      </c>
      <c r="F13" s="929"/>
      <c r="G13" s="933"/>
      <c r="H13" s="926" t="s">
        <v>8422</v>
      </c>
      <c r="J13" s="927"/>
      <c r="L13" s="828"/>
      <c r="M13" s="284"/>
      <c r="N13" s="828"/>
      <c r="O13" s="270"/>
      <c r="P13" s="270"/>
      <c r="Q13" s="828"/>
      <c r="S13" s="922" t="s">
        <v>8421</v>
      </c>
      <c r="T13" s="928" t="s">
        <v>8423</v>
      </c>
      <c r="U13" s="929"/>
      <c r="V13" s="921"/>
    </row>
    <row r="14" spans="1:22" s="197" customFormat="1" ht="15.75" customHeight="1">
      <c r="B14" s="922" t="s">
        <v>8424</v>
      </c>
      <c r="C14" s="923" t="s">
        <v>4805</v>
      </c>
      <c r="D14" s="923">
        <v>2</v>
      </c>
      <c r="E14" s="928">
        <f xml:space="preserve"> IF(  '2I'!E36 = 0, 0, IFERROR(( '2I'!E36 - '2C'!E30-'2C'!E32) / ( '2C'!E30 +'2C'!E32 + '2I'!E30 ),0) )</f>
        <v>-4.3883899809746184E-2</v>
      </c>
      <c r="F14" s="929"/>
      <c r="G14" s="261"/>
      <c r="H14" s="926" t="s">
        <v>8425</v>
      </c>
      <c r="J14" s="927"/>
      <c r="L14" s="828"/>
      <c r="M14" s="284"/>
      <c r="N14" s="828"/>
      <c r="O14" s="270"/>
      <c r="P14" s="270"/>
      <c r="Q14" s="828"/>
      <c r="S14" s="922" t="s">
        <v>8424</v>
      </c>
      <c r="T14" s="928" t="s">
        <v>8426</v>
      </c>
      <c r="U14" s="929"/>
      <c r="V14" s="921"/>
    </row>
    <row r="15" spans="1:22" s="197" customFormat="1" ht="15.75" customHeight="1">
      <c r="B15" s="922" t="s">
        <v>8427</v>
      </c>
      <c r="C15" s="923" t="s">
        <v>4805</v>
      </c>
      <c r="D15" s="923">
        <v>2</v>
      </c>
      <c r="E15" s="928">
        <f xml:space="preserve"> IF(  '2I'!F36 = 0, 0, IFERROR(( '2I'!F36 - '2C'!F30-'2C'!F32) / ( '2C'!F30 +'2C'!F32 + '2I'!F30 ),0) )</f>
        <v>7.0152772111156479E-3</v>
      </c>
      <c r="F15" s="929"/>
      <c r="G15" s="261"/>
      <c r="H15" s="926" t="s">
        <v>8428</v>
      </c>
      <c r="J15" s="927"/>
      <c r="L15" s="828"/>
      <c r="M15" s="284"/>
      <c r="N15" s="828"/>
      <c r="O15" s="270"/>
      <c r="P15" s="270"/>
      <c r="Q15" s="828"/>
      <c r="S15" s="922" t="s">
        <v>8427</v>
      </c>
      <c r="T15" s="928" t="s">
        <v>8429</v>
      </c>
      <c r="U15" s="929"/>
      <c r="V15" s="921"/>
    </row>
    <row r="16" spans="1:22" s="197" customFormat="1" ht="15.75" customHeight="1">
      <c r="B16" s="922" t="s">
        <v>8430</v>
      </c>
      <c r="C16" s="923" t="s">
        <v>6861</v>
      </c>
      <c r="D16" s="923" t="s">
        <v>8431</v>
      </c>
      <c r="E16" s="934" t="s">
        <v>18778</v>
      </c>
      <c r="F16" s="925"/>
      <c r="G16" s="261"/>
      <c r="H16" s="926" t="s">
        <v>8432</v>
      </c>
      <c r="J16" s="927"/>
      <c r="L16" s="828"/>
      <c r="M16" s="270"/>
      <c r="N16" s="828"/>
      <c r="O16" s="270"/>
      <c r="P16" s="270"/>
      <c r="Q16" s="828"/>
      <c r="S16" s="922" t="s">
        <v>8430</v>
      </c>
      <c r="T16" s="934" t="s">
        <v>8433</v>
      </c>
      <c r="U16" s="925"/>
      <c r="V16" s="921"/>
    </row>
    <row r="17" spans="2:22" s="200" customFormat="1" ht="15.75" customHeight="1">
      <c r="B17" s="922" t="s">
        <v>8434</v>
      </c>
      <c r="C17" s="923" t="s">
        <v>6861</v>
      </c>
      <c r="D17" s="923" t="s">
        <v>8431</v>
      </c>
      <c r="E17" s="934" t="s">
        <v>18779</v>
      </c>
      <c r="F17" s="925"/>
      <c r="G17" s="933"/>
      <c r="H17" s="926" t="s">
        <v>8435</v>
      </c>
      <c r="J17" s="927"/>
      <c r="L17" s="935"/>
      <c r="M17" s="270"/>
      <c r="N17" s="935"/>
      <c r="O17" s="270"/>
      <c r="P17" s="270"/>
      <c r="Q17" s="935"/>
      <c r="S17" s="922" t="s">
        <v>8434</v>
      </c>
      <c r="T17" s="934" t="s">
        <v>8436</v>
      </c>
      <c r="U17" s="925"/>
      <c r="V17" s="921"/>
    </row>
    <row r="18" spans="2:22" s="200" customFormat="1" ht="15.75" customHeight="1">
      <c r="B18" s="922" t="s">
        <v>8437</v>
      </c>
      <c r="C18" s="923" t="s">
        <v>6861</v>
      </c>
      <c r="D18" s="923" t="s">
        <v>8431</v>
      </c>
      <c r="E18" s="934" t="s">
        <v>18780</v>
      </c>
      <c r="F18" s="925"/>
      <c r="G18" s="933"/>
      <c r="H18" s="926" t="s">
        <v>8438</v>
      </c>
      <c r="J18" s="927"/>
      <c r="L18" s="935"/>
      <c r="M18" s="270"/>
      <c r="N18" s="935"/>
      <c r="O18" s="270"/>
      <c r="P18" s="270"/>
      <c r="Q18" s="935"/>
      <c r="S18" s="922" t="s">
        <v>8437</v>
      </c>
      <c r="T18" s="934" t="s">
        <v>8439</v>
      </c>
      <c r="U18" s="925"/>
      <c r="V18" s="921"/>
    </row>
    <row r="19" spans="2:22" s="197" customFormat="1" ht="15.75" customHeight="1">
      <c r="B19" s="922" t="s">
        <v>8440</v>
      </c>
      <c r="C19" s="923" t="s">
        <v>4805</v>
      </c>
      <c r="D19" s="923">
        <v>2</v>
      </c>
      <c r="E19" s="930">
        <v>2.9999999999999997E-4</v>
      </c>
      <c r="F19" s="925"/>
      <c r="G19" s="261"/>
      <c r="H19" s="926" t="s">
        <v>8441</v>
      </c>
      <c r="J19" s="927"/>
      <c r="L19" s="828"/>
      <c r="M19" s="284">
        <f t="shared" si="0"/>
        <v>0</v>
      </c>
      <c r="N19" s="828"/>
      <c r="O19" s="285">
        <f t="shared" si="1"/>
        <v>0</v>
      </c>
      <c r="P19" s="270"/>
      <c r="Q19" s="828"/>
      <c r="S19" s="922" t="s">
        <v>8440</v>
      </c>
      <c r="T19" s="930" t="s">
        <v>8442</v>
      </c>
      <c r="U19" s="925"/>
      <c r="V19" s="921"/>
    </row>
    <row r="20" spans="2:22" s="197" customFormat="1" ht="15.75" customHeight="1">
      <c r="B20" s="922" t="s">
        <v>8443</v>
      </c>
      <c r="C20" s="923" t="s">
        <v>8444</v>
      </c>
      <c r="D20" s="923">
        <v>2</v>
      </c>
      <c r="E20" s="924">
        <f xml:space="preserve"> IFERROR('1A'!J21 / -'1A'!J22, 0)</f>
        <v>0</v>
      </c>
      <c r="F20" s="925"/>
      <c r="G20" s="933"/>
      <c r="H20" s="926" t="s">
        <v>8445</v>
      </c>
      <c r="J20" s="927"/>
      <c r="L20" s="828"/>
      <c r="M20" s="284"/>
      <c r="N20" s="828"/>
      <c r="O20" s="270"/>
      <c r="P20" s="270"/>
      <c r="Q20" s="828"/>
      <c r="S20" s="922" t="s">
        <v>8443</v>
      </c>
      <c r="T20" s="924" t="s">
        <v>8446</v>
      </c>
      <c r="U20" s="925"/>
      <c r="V20" s="921"/>
    </row>
    <row r="21" spans="2:22" s="197" customFormat="1" ht="15.75" customHeight="1">
      <c r="B21" s="922" t="s">
        <v>8447</v>
      </c>
      <c r="C21" s="923" t="s">
        <v>4215</v>
      </c>
      <c r="D21" s="923">
        <v>3</v>
      </c>
      <c r="E21" s="1602">
        <f>IFERROR('1D'!J20 - '1D'!J13, 0)</f>
        <v>250.32900000000012</v>
      </c>
      <c r="F21" s="925"/>
      <c r="G21" s="261"/>
      <c r="H21" s="926" t="s">
        <v>8448</v>
      </c>
      <c r="J21" s="927"/>
      <c r="L21" s="828"/>
      <c r="M21" s="284"/>
      <c r="N21" s="828"/>
      <c r="O21" s="270"/>
      <c r="P21" s="270"/>
      <c r="Q21" s="828"/>
      <c r="S21" s="922" t="s">
        <v>8447</v>
      </c>
      <c r="T21" s="924" t="s">
        <v>8449</v>
      </c>
      <c r="U21" s="925"/>
      <c r="V21" s="921"/>
    </row>
    <row r="22" spans="2:22" s="197" customFormat="1" ht="15.75" customHeight="1">
      <c r="B22" s="922" t="s">
        <v>8450</v>
      </c>
      <c r="C22" s="923" t="s">
        <v>8444</v>
      </c>
      <c r="D22" s="923">
        <v>2</v>
      </c>
      <c r="E22" s="936">
        <v>2.82</v>
      </c>
      <c r="F22" s="925"/>
      <c r="G22" s="261"/>
      <c r="H22" s="926" t="s">
        <v>8451</v>
      </c>
      <c r="J22" s="927"/>
      <c r="L22" s="828"/>
      <c r="M22" s="284">
        <f t="shared" si="0"/>
        <v>0</v>
      </c>
      <c r="N22" s="828"/>
      <c r="O22" s="285">
        <f t="shared" si="1"/>
        <v>0</v>
      </c>
      <c r="P22" s="270"/>
      <c r="Q22" s="828"/>
      <c r="S22" s="922" t="s">
        <v>8450</v>
      </c>
      <c r="T22" s="936" t="s">
        <v>8452</v>
      </c>
      <c r="U22" s="925"/>
      <c r="V22" s="921"/>
    </row>
    <row r="23" spans="2:22" s="197" customFormat="1" ht="15.75" customHeight="1">
      <c r="B23" s="922" t="s">
        <v>8453</v>
      </c>
      <c r="C23" s="923" t="s">
        <v>8444</v>
      </c>
      <c r="D23" s="923">
        <v>2</v>
      </c>
      <c r="E23" s="936">
        <v>0.63</v>
      </c>
      <c r="F23" s="925"/>
      <c r="G23" s="261"/>
      <c r="H23" s="926" t="s">
        <v>8454</v>
      </c>
      <c r="J23" s="927"/>
      <c r="L23" s="828"/>
      <c r="M23" s="284">
        <f t="shared" si="0"/>
        <v>0</v>
      </c>
      <c r="N23" s="828"/>
      <c r="O23" s="285">
        <f t="shared" si="1"/>
        <v>0</v>
      </c>
      <c r="P23" s="270"/>
      <c r="Q23" s="828"/>
      <c r="S23" s="922" t="s">
        <v>8455</v>
      </c>
      <c r="T23" s="936" t="s">
        <v>8456</v>
      </c>
      <c r="U23" s="925"/>
      <c r="V23" s="921"/>
    </row>
    <row r="24" spans="2:22" s="197" customFormat="1" ht="15.75" customHeight="1">
      <c r="B24" s="922" t="s">
        <v>8457</v>
      </c>
      <c r="C24" s="923" t="s">
        <v>8444</v>
      </c>
      <c r="D24" s="923">
        <v>2</v>
      </c>
      <c r="E24" s="924">
        <f>IFERROR(E21 / E8, 0)</f>
        <v>5.9998475644831024E-2</v>
      </c>
      <c r="F24" s="925"/>
      <c r="G24" s="261"/>
      <c r="H24" s="926" t="s">
        <v>8458</v>
      </c>
      <c r="J24" s="927"/>
      <c r="L24" s="828"/>
      <c r="M24" s="284"/>
      <c r="N24" s="828"/>
      <c r="O24" s="270"/>
      <c r="P24" s="270"/>
      <c r="Q24" s="828"/>
      <c r="S24" s="922" t="s">
        <v>8459</v>
      </c>
      <c r="T24" s="924" t="s">
        <v>8460</v>
      </c>
      <c r="U24" s="925"/>
      <c r="V24" s="921"/>
    </row>
    <row r="25" spans="2:22" s="197" customFormat="1" ht="15.75" customHeight="1">
      <c r="B25" s="922" t="s">
        <v>8461</v>
      </c>
      <c r="C25" s="923" t="s">
        <v>4805</v>
      </c>
      <c r="D25" s="923">
        <v>2</v>
      </c>
      <c r="E25" s="928">
        <f>IFERROR('1A'!J25 / '1A'!J16, 0)</f>
        <v>-1.986422895934583E-4</v>
      </c>
      <c r="F25" s="925"/>
      <c r="G25" s="261"/>
      <c r="H25" s="926" t="s">
        <v>8462</v>
      </c>
      <c r="J25" s="927"/>
      <c r="L25" s="828"/>
      <c r="M25" s="284"/>
      <c r="N25" s="828"/>
      <c r="O25" s="270"/>
      <c r="P25" s="270"/>
      <c r="Q25" s="828"/>
      <c r="S25" s="922" t="s">
        <v>8461</v>
      </c>
      <c r="T25" s="928" t="s">
        <v>8463</v>
      </c>
      <c r="U25" s="925"/>
      <c r="V25" s="921"/>
    </row>
    <row r="26" spans="2:22" s="197" customFormat="1" ht="15.75" customHeight="1">
      <c r="B26" s="922" t="s">
        <v>8464</v>
      </c>
      <c r="C26" s="923" t="s">
        <v>4215</v>
      </c>
      <c r="D26" s="923">
        <v>3</v>
      </c>
      <c r="E26" s="1602">
        <f>IFERROR(E21 - ABS('1D'!J32), 0)</f>
        <v>250.32900000000012</v>
      </c>
      <c r="F26" s="925"/>
      <c r="G26" s="261"/>
      <c r="H26" s="926" t="s">
        <v>8465</v>
      </c>
      <c r="J26" s="927"/>
      <c r="L26" s="828"/>
      <c r="M26" s="284"/>
      <c r="N26" s="828"/>
      <c r="O26" s="270"/>
      <c r="P26" s="270"/>
      <c r="Q26" s="828"/>
      <c r="S26" s="922" t="s">
        <v>8466</v>
      </c>
      <c r="T26" s="924" t="s">
        <v>8467</v>
      </c>
      <c r="U26" s="925"/>
      <c r="V26" s="921"/>
    </row>
    <row r="27" spans="2:22" s="197" customFormat="1" ht="15.75" customHeight="1" thickBot="1">
      <c r="B27" s="937" t="s">
        <v>8468</v>
      </c>
      <c r="C27" s="938" t="s">
        <v>8444</v>
      </c>
      <c r="D27" s="938">
        <v>2</v>
      </c>
      <c r="E27" s="939">
        <f>IFERROR(E26 / E8, 0)</f>
        <v>5.9998475644831024E-2</v>
      </c>
      <c r="F27" s="940"/>
      <c r="G27" s="261"/>
      <c r="H27" s="941" t="s">
        <v>8469</v>
      </c>
      <c r="J27" s="942"/>
      <c r="L27" s="828"/>
      <c r="M27" s="284"/>
      <c r="N27" s="828"/>
      <c r="O27" s="270"/>
      <c r="P27" s="270"/>
      <c r="Q27" s="828"/>
      <c r="S27" s="937" t="s">
        <v>8468</v>
      </c>
      <c r="T27" s="939" t="s">
        <v>8470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8471</v>
      </c>
      <c r="C30" s="94" t="s">
        <v>4805</v>
      </c>
      <c r="D30" s="94">
        <v>2</v>
      </c>
      <c r="E30" s="946">
        <f>IFERROR(('1E'!E9 + '1E'!E10) / '1E'!I11, 0)</f>
        <v>0.11018454462165547</v>
      </c>
      <c r="F30" s="947"/>
      <c r="G30" s="261"/>
      <c r="H30" s="919" t="s">
        <v>8472</v>
      </c>
      <c r="J30" s="920"/>
      <c r="L30" s="828"/>
      <c r="M30" s="284"/>
      <c r="N30" s="828"/>
      <c r="O30" s="270"/>
      <c r="P30" s="270"/>
      <c r="Q30" s="828"/>
      <c r="S30" s="945" t="s">
        <v>8471</v>
      </c>
      <c r="T30" s="946" t="s">
        <v>8473</v>
      </c>
      <c r="U30" s="947"/>
      <c r="V30" s="921"/>
    </row>
    <row r="31" spans="2:22" s="197" customFormat="1" ht="15.75" customHeight="1">
      <c r="B31" s="948" t="s">
        <v>8474</v>
      </c>
      <c r="C31" s="97" t="s">
        <v>4805</v>
      </c>
      <c r="D31" s="97">
        <v>2</v>
      </c>
      <c r="E31" s="928">
        <f>IFERROR('1E'!F9 / '1E'!I11, 0)</f>
        <v>3.9675268420851131E-2</v>
      </c>
      <c r="F31" s="949"/>
      <c r="G31" s="261"/>
      <c r="H31" s="926" t="s">
        <v>8475</v>
      </c>
      <c r="J31" s="927"/>
      <c r="L31" s="828"/>
      <c r="M31" s="284"/>
      <c r="N31" s="828"/>
      <c r="O31" s="270"/>
      <c r="P31" s="270"/>
      <c r="Q31" s="828"/>
      <c r="S31" s="948" t="s">
        <v>8474</v>
      </c>
      <c r="T31" s="928" t="s">
        <v>8476</v>
      </c>
      <c r="U31" s="949"/>
      <c r="V31" s="921"/>
    </row>
    <row r="32" spans="2:22" s="197" customFormat="1" ht="15.75" customHeight="1">
      <c r="B32" s="948" t="s">
        <v>8477</v>
      </c>
      <c r="C32" s="97" t="s">
        <v>4805</v>
      </c>
      <c r="D32" s="97">
        <v>2</v>
      </c>
      <c r="E32" s="928">
        <f>IFERROR(('1E'!G9 + '1E'!H9) / '1E'!I11, 0)</f>
        <v>0.85014018695749327</v>
      </c>
      <c r="F32" s="949"/>
      <c r="G32" s="261"/>
      <c r="H32" s="926" t="s">
        <v>8478</v>
      </c>
      <c r="J32" s="927"/>
      <c r="L32" s="828"/>
      <c r="M32" s="284"/>
      <c r="N32" s="828"/>
      <c r="O32" s="270"/>
      <c r="P32" s="270"/>
      <c r="Q32" s="828"/>
      <c r="S32" s="948" t="s">
        <v>8477</v>
      </c>
      <c r="T32" s="928" t="s">
        <v>8479</v>
      </c>
      <c r="U32" s="949"/>
      <c r="V32" s="921"/>
    </row>
    <row r="33" spans="1:22" s="197" customFormat="1" ht="15.75" customHeight="1">
      <c r="B33" s="948" t="s">
        <v>8480</v>
      </c>
      <c r="C33" s="97" t="s">
        <v>4805</v>
      </c>
      <c r="D33" s="97">
        <v>2</v>
      </c>
      <c r="E33" s="930">
        <v>1.4500000000000001E-2</v>
      </c>
      <c r="F33" s="949"/>
      <c r="G33" s="261"/>
      <c r="H33" s="926" t="s">
        <v>8481</v>
      </c>
      <c r="J33" s="927"/>
      <c r="L33" s="828"/>
      <c r="M33" s="284">
        <f t="shared" ref="M33:M37" si="2">IF( SUM( O33:P33 ) = 0, 0, $O$7 )</f>
        <v>0</v>
      </c>
      <c r="N33" s="828"/>
      <c r="O33" s="285">
        <f t="shared" ref="O33:O37" si="3" xml:space="preserve"> IF( ISNUMBER(E33), 0, 1 )</f>
        <v>0</v>
      </c>
      <c r="P33" s="270"/>
      <c r="Q33" s="828"/>
      <c r="S33" s="948" t="s">
        <v>8480</v>
      </c>
      <c r="T33" s="930" t="s">
        <v>8482</v>
      </c>
      <c r="U33" s="949"/>
      <c r="V33" s="921"/>
    </row>
    <row r="34" spans="1:22" s="197" customFormat="1" ht="30">
      <c r="B34" s="948" t="s">
        <v>8483</v>
      </c>
      <c r="C34" s="97" t="s">
        <v>4805</v>
      </c>
      <c r="D34" s="97">
        <v>2</v>
      </c>
      <c r="E34" s="930">
        <v>7.6200000000000004E-2</v>
      </c>
      <c r="F34" s="949"/>
      <c r="G34" s="261"/>
      <c r="H34" s="926" t="s">
        <v>8484</v>
      </c>
      <c r="J34" s="927"/>
      <c r="L34" s="828"/>
      <c r="M34" s="284">
        <f t="shared" si="2"/>
        <v>0</v>
      </c>
      <c r="N34" s="828"/>
      <c r="O34" s="285">
        <f t="shared" si="3"/>
        <v>0</v>
      </c>
      <c r="P34" s="270"/>
      <c r="Q34" s="828"/>
      <c r="S34" s="948" t="s">
        <v>8483</v>
      </c>
      <c r="T34" s="930" t="s">
        <v>8485</v>
      </c>
      <c r="U34" s="949"/>
      <c r="V34" s="921"/>
    </row>
    <row r="35" spans="1:22" s="197" customFormat="1" ht="31.5" customHeight="1">
      <c r="B35" s="948" t="s">
        <v>8486</v>
      </c>
      <c r="C35" s="97" t="s">
        <v>4805</v>
      </c>
      <c r="D35" s="97">
        <v>2</v>
      </c>
      <c r="E35" s="930">
        <v>0.29670000000000002</v>
      </c>
      <c r="F35" s="949"/>
      <c r="G35" s="261"/>
      <c r="H35" s="926" t="s">
        <v>8487</v>
      </c>
      <c r="J35" s="927"/>
      <c r="L35" s="828"/>
      <c r="M35" s="284">
        <f t="shared" si="2"/>
        <v>0</v>
      </c>
      <c r="N35" s="828"/>
      <c r="O35" s="285">
        <f t="shared" si="3"/>
        <v>0</v>
      </c>
      <c r="P35" s="270"/>
      <c r="Q35" s="828"/>
      <c r="S35" s="948" t="s">
        <v>8488</v>
      </c>
      <c r="T35" s="930" t="s">
        <v>8489</v>
      </c>
      <c r="U35" s="949"/>
      <c r="V35" s="921"/>
    </row>
    <row r="36" spans="1:22" s="197" customFormat="1" ht="33" customHeight="1">
      <c r="B36" s="948" t="s">
        <v>8490</v>
      </c>
      <c r="C36" s="97" t="s">
        <v>4805</v>
      </c>
      <c r="D36" s="97">
        <v>2</v>
      </c>
      <c r="E36" s="930">
        <v>0.4582</v>
      </c>
      <c r="F36" s="949"/>
      <c r="G36" s="261"/>
      <c r="H36" s="926" t="s">
        <v>8491</v>
      </c>
      <c r="J36" s="927"/>
      <c r="L36" s="828"/>
      <c r="M36" s="284">
        <f t="shared" si="2"/>
        <v>0</v>
      </c>
      <c r="N36" s="828"/>
      <c r="O36" s="285">
        <f t="shared" si="3"/>
        <v>0</v>
      </c>
      <c r="P36" s="270"/>
      <c r="Q36" s="828"/>
      <c r="S36" s="948" t="s">
        <v>8490</v>
      </c>
      <c r="T36" s="930" t="s">
        <v>8492</v>
      </c>
      <c r="U36" s="949"/>
      <c r="V36" s="921"/>
    </row>
    <row r="37" spans="1:22" s="197" customFormat="1" ht="15.75" customHeight="1" thickBot="1">
      <c r="B37" s="950" t="s">
        <v>8493</v>
      </c>
      <c r="C37" s="101" t="s">
        <v>4805</v>
      </c>
      <c r="D37" s="101">
        <v>2</v>
      </c>
      <c r="E37" s="951">
        <v>0.15440000000000001</v>
      </c>
      <c r="F37" s="952"/>
      <c r="H37" s="941" t="s">
        <v>8494</v>
      </c>
      <c r="J37" s="942"/>
      <c r="L37" s="828"/>
      <c r="M37" s="284">
        <f t="shared" si="2"/>
        <v>0</v>
      </c>
      <c r="N37" s="828"/>
      <c r="O37" s="285">
        <f t="shared" si="3"/>
        <v>0</v>
      </c>
      <c r="P37" s="270"/>
      <c r="Q37" s="828"/>
      <c r="S37" s="950" t="s">
        <v>8493</v>
      </c>
      <c r="T37" s="951" t="s">
        <v>8495</v>
      </c>
      <c r="U37" s="952"/>
      <c r="V37" s="921"/>
    </row>
    <row r="38" spans="1:22" s="197" customFormat="1" ht="15.75" customHeight="1" thickTop="1">
      <c r="B38" s="953" t="s">
        <v>8496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8" priority="5" operator="equal">
      <formula>0</formula>
    </cfRule>
  </conditionalFormatting>
  <conditionalFormatting sqref="M19:M45">
    <cfRule type="cellIs" dxfId="127"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175" zoomScaleNormal="100" zoomScaleSheetLayoutView="100" workbookViewId="0">
      <selection activeCell="O195" sqref="O195"/>
    </sheetView>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2.79687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20.59765625" style="17" bestFit="1"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59"/>
      <c r="B1" s="902" t="s">
        <v>8497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2.8">
      <c r="A2" s="259"/>
      <c r="B2" s="902" t="str">
        <f>SelectCompany!B4</f>
        <v>Dŵr Cymru</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2">
      <c r="A3" s="264"/>
      <c r="B3" s="2858" t="s">
        <v>8498</v>
      </c>
      <c r="C3" s="2723"/>
      <c r="D3" s="2723"/>
      <c r="E3" s="2723"/>
      <c r="F3" s="2723"/>
      <c r="G3" s="2723"/>
      <c r="H3" s="2723"/>
      <c r="I3" s="2723"/>
      <c r="J3" s="2723"/>
      <c r="K3" s="2723"/>
      <c r="L3" s="2858"/>
      <c r="M3" s="2723"/>
      <c r="N3" s="2723"/>
      <c r="O3" s="2723"/>
      <c r="P3" s="264"/>
      <c r="Q3" s="907"/>
      <c r="R3" s="2209" t="s">
        <v>4200</v>
      </c>
      <c r="S3" s="907"/>
      <c r="T3" s="264"/>
      <c r="U3" s="264"/>
      <c r="V3" s="264"/>
      <c r="W3" s="264"/>
      <c r="X3" s="264"/>
      <c r="Y3" s="264"/>
      <c r="Z3" s="264"/>
      <c r="AA3" s="264"/>
      <c r="AB3" s="651"/>
      <c r="AC3" s="907"/>
      <c r="AD3" s="651"/>
      <c r="AE3" s="2858" t="s">
        <v>8498</v>
      </c>
      <c r="AF3" s="2723"/>
      <c r="AG3" s="2723"/>
      <c r="AH3" s="2723"/>
      <c r="AI3" s="2723"/>
      <c r="AJ3" s="2723"/>
      <c r="AK3" s="2723"/>
      <c r="AL3" s="2723"/>
      <c r="AM3" s="2723"/>
      <c r="AN3" s="2723"/>
      <c r="AO3" s="261"/>
      <c r="AP3" s="264"/>
      <c r="AQ3" s="264"/>
      <c r="AR3" s="264"/>
      <c r="AS3" s="264"/>
    </row>
    <row r="4" spans="1:45" s="7" customFormat="1" ht="19.2"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34" t="s">
        <v>4202</v>
      </c>
      <c r="C5" s="2715" t="s">
        <v>8499</v>
      </c>
      <c r="D5" s="2715"/>
      <c r="E5" s="2715"/>
      <c r="F5" s="2715"/>
      <c r="G5" s="2715"/>
      <c r="H5" s="2715"/>
      <c r="I5" s="2715"/>
      <c r="J5" s="2715"/>
      <c r="K5" s="2717"/>
      <c r="L5" s="651"/>
      <c r="M5" s="2860" t="s">
        <v>4208</v>
      </c>
      <c r="N5" s="651"/>
      <c r="O5" s="2860" t="s">
        <v>4209</v>
      </c>
      <c r="P5" s="651"/>
      <c r="Q5" s="907"/>
      <c r="R5" s="284"/>
      <c r="S5" s="907"/>
      <c r="T5" s="651"/>
      <c r="U5" s="651"/>
      <c r="V5" s="651"/>
      <c r="W5" s="651"/>
      <c r="X5" s="651"/>
      <c r="Y5" s="651"/>
      <c r="Z5" s="651"/>
      <c r="AA5" s="651"/>
      <c r="AB5" s="651"/>
      <c r="AC5" s="907"/>
      <c r="AD5" s="651"/>
      <c r="AE5" s="2734" t="s">
        <v>4202</v>
      </c>
      <c r="AF5" s="2715" t="s">
        <v>8499</v>
      </c>
      <c r="AG5" s="2715"/>
      <c r="AH5" s="2715"/>
      <c r="AI5" s="2715"/>
      <c r="AJ5" s="2715"/>
      <c r="AK5" s="2715"/>
      <c r="AL5" s="2715"/>
      <c r="AM5" s="2715"/>
      <c r="AN5" s="2717"/>
      <c r="AO5" s="261"/>
      <c r="AP5" s="651"/>
      <c r="AQ5" s="651"/>
      <c r="AR5" s="651"/>
      <c r="AS5" s="651"/>
    </row>
    <row r="6" spans="1:45" s="4" customFormat="1" ht="16.05" customHeight="1">
      <c r="A6" s="197"/>
      <c r="B6" s="2817"/>
      <c r="C6" s="2818" t="s">
        <v>8500</v>
      </c>
      <c r="D6" s="2818"/>
      <c r="E6" s="2818"/>
      <c r="F6" s="2818"/>
      <c r="G6" s="2818" t="s">
        <v>8501</v>
      </c>
      <c r="H6" s="2818"/>
      <c r="I6" s="2818" t="s">
        <v>8502</v>
      </c>
      <c r="J6" s="2818" t="s">
        <v>8503</v>
      </c>
      <c r="K6" s="2859"/>
      <c r="L6" s="197"/>
      <c r="M6" s="2861"/>
      <c r="N6" s="197"/>
      <c r="O6" s="2861"/>
      <c r="P6" s="197"/>
      <c r="Q6" s="828"/>
      <c r="R6" s="284"/>
      <c r="S6" s="828"/>
      <c r="T6" s="197"/>
      <c r="U6" s="197"/>
      <c r="V6" s="197"/>
      <c r="W6" s="197"/>
      <c r="X6" s="197"/>
      <c r="Y6" s="197"/>
      <c r="Z6" s="197"/>
      <c r="AA6" s="197"/>
      <c r="AB6" s="197"/>
      <c r="AC6" s="828"/>
      <c r="AD6" s="197"/>
      <c r="AE6" s="2817"/>
      <c r="AF6" s="2818" t="s">
        <v>8500</v>
      </c>
      <c r="AG6" s="2818"/>
      <c r="AH6" s="2818"/>
      <c r="AI6" s="2818"/>
      <c r="AJ6" s="2818" t="s">
        <v>8501</v>
      </c>
      <c r="AK6" s="2818"/>
      <c r="AL6" s="2818" t="s">
        <v>8502</v>
      </c>
      <c r="AM6" s="2818" t="s">
        <v>8503</v>
      </c>
      <c r="AN6" s="2859"/>
      <c r="AO6" s="317"/>
      <c r="AP6" s="197"/>
      <c r="AQ6" s="197"/>
      <c r="AR6" s="197"/>
      <c r="AS6" s="197"/>
    </row>
    <row r="7" spans="1:45" s="4" customFormat="1" ht="30">
      <c r="A7" s="197"/>
      <c r="B7" s="2817"/>
      <c r="C7" s="427" t="s">
        <v>8504</v>
      </c>
      <c r="D7" s="427" t="s">
        <v>8505</v>
      </c>
      <c r="E7" s="427" t="s">
        <v>8506</v>
      </c>
      <c r="F7" s="427" t="s">
        <v>8507</v>
      </c>
      <c r="G7" s="427" t="s">
        <v>8508</v>
      </c>
      <c r="H7" s="427" t="s">
        <v>8509</v>
      </c>
      <c r="I7" s="2818"/>
      <c r="J7" s="427" t="s">
        <v>8510</v>
      </c>
      <c r="K7" s="428" t="s">
        <v>8511</v>
      </c>
      <c r="L7" s="197"/>
      <c r="M7" s="2861"/>
      <c r="N7" s="197"/>
      <c r="O7" s="2861"/>
      <c r="P7" s="197"/>
      <c r="Q7" s="828"/>
      <c r="R7" s="284"/>
      <c r="S7" s="828"/>
      <c r="T7" s="197"/>
      <c r="U7" s="197"/>
      <c r="V7" s="197"/>
      <c r="W7" s="197"/>
      <c r="X7" s="197"/>
      <c r="Y7" s="197"/>
      <c r="Z7" s="197"/>
      <c r="AA7" s="197"/>
      <c r="AB7" s="197"/>
      <c r="AC7" s="828"/>
      <c r="AD7" s="197"/>
      <c r="AE7" s="2817"/>
      <c r="AF7" s="427" t="s">
        <v>8504</v>
      </c>
      <c r="AG7" s="427" t="s">
        <v>8505</v>
      </c>
      <c r="AH7" s="427" t="s">
        <v>8506</v>
      </c>
      <c r="AI7" s="427" t="s">
        <v>8507</v>
      </c>
      <c r="AJ7" s="427" t="s">
        <v>8508</v>
      </c>
      <c r="AK7" s="427" t="s">
        <v>8509</v>
      </c>
      <c r="AL7" s="2818"/>
      <c r="AM7" s="427" t="s">
        <v>8510</v>
      </c>
      <c r="AN7" s="428" t="s">
        <v>8511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61"/>
      <c r="N8" s="197"/>
      <c r="O8" s="2861"/>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2" thickBot="1">
      <c r="A9" s="197"/>
      <c r="B9" s="430" t="s">
        <v>4204</v>
      </c>
      <c r="C9" s="271">
        <v>3</v>
      </c>
      <c r="D9" s="271">
        <v>3</v>
      </c>
      <c r="E9" s="271">
        <v>3</v>
      </c>
      <c r="F9" s="271">
        <v>3</v>
      </c>
      <c r="G9" s="271">
        <v>3</v>
      </c>
      <c r="H9" s="271">
        <v>3</v>
      </c>
      <c r="I9" s="271">
        <v>3</v>
      </c>
      <c r="J9" s="271">
        <v>3</v>
      </c>
      <c r="K9" s="672">
        <v>3</v>
      </c>
      <c r="L9" s="197"/>
      <c r="M9" s="2862"/>
      <c r="N9" s="197"/>
      <c r="O9" s="2862"/>
      <c r="P9" s="197"/>
      <c r="Q9" s="828"/>
      <c r="R9" s="284"/>
      <c r="S9" s="828"/>
      <c r="T9" s="2710" t="s">
        <v>4201</v>
      </c>
      <c r="U9" s="2710"/>
      <c r="V9" s="2843"/>
      <c r="W9" s="2843"/>
      <c r="X9" s="2843"/>
      <c r="Y9" s="2843"/>
      <c r="Z9" s="2843"/>
      <c r="AA9" s="2843"/>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6.8"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8512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8512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8513</v>
      </c>
      <c r="C12" s="2091">
        <v>0</v>
      </c>
      <c r="D12" s="694">
        <v>0</v>
      </c>
      <c r="E12" s="694">
        <v>0</v>
      </c>
      <c r="F12" s="694">
        <v>192</v>
      </c>
      <c r="G12" s="1595">
        <f>IFERROR(SUM(C12:F12),0)</f>
        <v>192</v>
      </c>
      <c r="H12" s="2091">
        <v>26.155999999999999</v>
      </c>
      <c r="I12" s="694">
        <v>0</v>
      </c>
      <c r="J12" s="1609">
        <v>5.67E-2</v>
      </c>
      <c r="K12" s="1610">
        <v>9.5999999999999992E-3</v>
      </c>
      <c r="L12" s="197"/>
      <c r="M12" s="281" t="s">
        <v>8514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8513</v>
      </c>
      <c r="AF12" s="958" t="s">
        <v>8515</v>
      </c>
      <c r="AG12" s="904" t="s">
        <v>8516</v>
      </c>
      <c r="AH12" s="904" t="s">
        <v>8517</v>
      </c>
      <c r="AI12" s="904" t="s">
        <v>8518</v>
      </c>
      <c r="AJ12" s="959" t="s">
        <v>8519</v>
      </c>
      <c r="AK12" s="958" t="s">
        <v>8520</v>
      </c>
      <c r="AL12" s="904" t="s">
        <v>8521</v>
      </c>
      <c r="AM12" s="904" t="s">
        <v>8522</v>
      </c>
      <c r="AN12" s="960" t="s">
        <v>8523</v>
      </c>
      <c r="AO12" s="961"/>
      <c r="AP12" s="197"/>
      <c r="AQ12" s="197"/>
      <c r="AR12" s="197"/>
      <c r="AS12" s="197"/>
    </row>
    <row r="13" spans="1:45" s="4" customFormat="1" ht="15.75" customHeight="1">
      <c r="A13" s="197"/>
      <c r="B13" s="403" t="s">
        <v>8524</v>
      </c>
      <c r="C13" s="2092">
        <v>0</v>
      </c>
      <c r="D13" s="697">
        <v>0</v>
      </c>
      <c r="E13" s="697">
        <v>0</v>
      </c>
      <c r="F13" s="697">
        <v>0</v>
      </c>
      <c r="G13" s="1597">
        <f t="shared" ref="G13:G18" si="8">IFERROR(SUM(C13:F13),0)</f>
        <v>0</v>
      </c>
      <c r="H13" s="2092">
        <v>0</v>
      </c>
      <c r="I13" s="697">
        <v>0</v>
      </c>
      <c r="J13" s="1611">
        <v>0</v>
      </c>
      <c r="K13" s="1612">
        <v>0</v>
      </c>
      <c r="L13" s="197"/>
      <c r="M13" s="290" t="s">
        <v>8525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8524</v>
      </c>
      <c r="AF13" s="962" t="s">
        <v>8526</v>
      </c>
      <c r="AG13" s="905" t="s">
        <v>8527</v>
      </c>
      <c r="AH13" s="905" t="s">
        <v>8528</v>
      </c>
      <c r="AI13" s="905" t="s">
        <v>8529</v>
      </c>
      <c r="AJ13" s="963" t="s">
        <v>8530</v>
      </c>
      <c r="AK13" s="962" t="s">
        <v>8531</v>
      </c>
      <c r="AL13" s="905" t="s">
        <v>8532</v>
      </c>
      <c r="AM13" s="905" t="s">
        <v>8533</v>
      </c>
      <c r="AN13" s="964" t="s">
        <v>8534</v>
      </c>
      <c r="AO13" s="961"/>
      <c r="AP13" s="197"/>
      <c r="AQ13" s="197"/>
      <c r="AR13" s="197"/>
      <c r="AS13" s="197"/>
    </row>
    <row r="14" spans="1:45" s="4" customFormat="1" ht="15.75" customHeight="1">
      <c r="A14" s="197"/>
      <c r="B14" s="403" t="s">
        <v>8535</v>
      </c>
      <c r="C14" s="2092">
        <v>0</v>
      </c>
      <c r="D14" s="697">
        <v>0</v>
      </c>
      <c r="E14" s="697">
        <v>550</v>
      </c>
      <c r="F14" s="697">
        <v>1138.4839999999999</v>
      </c>
      <c r="G14" s="1597">
        <f t="shared" si="8"/>
        <v>1688.4839999999999</v>
      </c>
      <c r="H14" s="2092">
        <v>418.45499999999998</v>
      </c>
      <c r="I14" s="697">
        <v>344.654</v>
      </c>
      <c r="J14" s="1611">
        <v>0.1555</v>
      </c>
      <c r="K14" s="1612">
        <v>5.16E-2</v>
      </c>
      <c r="L14" s="197"/>
      <c r="M14" s="290" t="s">
        <v>8536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8535</v>
      </c>
      <c r="AF14" s="962" t="s">
        <v>8537</v>
      </c>
      <c r="AG14" s="905" t="s">
        <v>8538</v>
      </c>
      <c r="AH14" s="905" t="s">
        <v>8539</v>
      </c>
      <c r="AI14" s="905" t="s">
        <v>8540</v>
      </c>
      <c r="AJ14" s="963" t="s">
        <v>8541</v>
      </c>
      <c r="AK14" s="962" t="s">
        <v>8542</v>
      </c>
      <c r="AL14" s="905" t="s">
        <v>8543</v>
      </c>
      <c r="AM14" s="905" t="s">
        <v>8544</v>
      </c>
      <c r="AN14" s="964" t="s">
        <v>8545</v>
      </c>
      <c r="AO14" s="961"/>
      <c r="AP14" s="197"/>
      <c r="AQ14" s="197"/>
      <c r="AR14" s="197"/>
      <c r="AS14" s="197"/>
    </row>
    <row r="15" spans="1:45" s="4" customFormat="1" ht="15.75" customHeight="1">
      <c r="A15" s="197"/>
      <c r="B15" s="403" t="s">
        <v>8546</v>
      </c>
      <c r="C15" s="2092">
        <v>0</v>
      </c>
      <c r="D15" s="697">
        <v>0</v>
      </c>
      <c r="E15" s="697">
        <v>0</v>
      </c>
      <c r="F15" s="697">
        <v>0</v>
      </c>
      <c r="G15" s="1597">
        <f t="shared" si="8"/>
        <v>0</v>
      </c>
      <c r="H15" s="2092">
        <v>0</v>
      </c>
      <c r="I15" s="697">
        <v>0</v>
      </c>
      <c r="J15" s="1611">
        <v>0</v>
      </c>
      <c r="K15" s="1612">
        <v>0</v>
      </c>
      <c r="L15" s="197"/>
      <c r="M15" s="290" t="s">
        <v>8547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8546</v>
      </c>
      <c r="AF15" s="962" t="s">
        <v>8548</v>
      </c>
      <c r="AG15" s="905" t="s">
        <v>8549</v>
      </c>
      <c r="AH15" s="905" t="s">
        <v>8550</v>
      </c>
      <c r="AI15" s="905" t="s">
        <v>8551</v>
      </c>
      <c r="AJ15" s="963" t="s">
        <v>8552</v>
      </c>
      <c r="AK15" s="962" t="s">
        <v>8553</v>
      </c>
      <c r="AL15" s="905" t="s">
        <v>8554</v>
      </c>
      <c r="AM15" s="905" t="s">
        <v>8555</v>
      </c>
      <c r="AN15" s="964" t="s">
        <v>8556</v>
      </c>
      <c r="AO15" s="961"/>
      <c r="AP15" s="197"/>
      <c r="AQ15" s="197"/>
      <c r="AR15" s="197"/>
      <c r="AS15" s="197"/>
    </row>
    <row r="16" spans="1:45" s="4" customFormat="1" ht="15.75" customHeight="1">
      <c r="A16" s="197"/>
      <c r="B16" s="403" t="s">
        <v>8557</v>
      </c>
      <c r="C16" s="2092">
        <v>0</v>
      </c>
      <c r="D16" s="697">
        <v>0</v>
      </c>
      <c r="E16" s="697">
        <v>0</v>
      </c>
      <c r="F16" s="697">
        <v>0</v>
      </c>
      <c r="G16" s="1597">
        <f t="shared" si="8"/>
        <v>0</v>
      </c>
      <c r="H16" s="2092">
        <v>0</v>
      </c>
      <c r="I16" s="697">
        <v>0</v>
      </c>
      <c r="J16" s="1611">
        <v>0</v>
      </c>
      <c r="K16" s="1612">
        <v>0</v>
      </c>
      <c r="L16" s="197"/>
      <c r="M16" s="290" t="s">
        <v>8558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8557</v>
      </c>
      <c r="AF16" s="962" t="s">
        <v>8559</v>
      </c>
      <c r="AG16" s="905" t="s">
        <v>8560</v>
      </c>
      <c r="AH16" s="905" t="s">
        <v>8561</v>
      </c>
      <c r="AI16" s="905" t="s">
        <v>8562</v>
      </c>
      <c r="AJ16" s="963" t="s">
        <v>8563</v>
      </c>
      <c r="AK16" s="962" t="s">
        <v>8564</v>
      </c>
      <c r="AL16" s="905" t="s">
        <v>8565</v>
      </c>
      <c r="AM16" s="905" t="s">
        <v>8566</v>
      </c>
      <c r="AN16" s="964" t="s">
        <v>8567</v>
      </c>
      <c r="AO16" s="961"/>
      <c r="AP16" s="197"/>
      <c r="AQ16" s="197"/>
      <c r="AR16" s="197"/>
      <c r="AS16" s="197"/>
    </row>
    <row r="17" spans="1:45" s="4" customFormat="1" ht="15.75" customHeight="1">
      <c r="A17" s="197"/>
      <c r="B17" s="403" t="s">
        <v>8568</v>
      </c>
      <c r="C17" s="2092">
        <v>0</v>
      </c>
      <c r="D17" s="697">
        <v>0</v>
      </c>
      <c r="E17" s="697">
        <v>0</v>
      </c>
      <c r="F17" s="697">
        <v>0</v>
      </c>
      <c r="G17" s="1597">
        <f t="shared" si="8"/>
        <v>0</v>
      </c>
      <c r="H17" s="2092">
        <v>0</v>
      </c>
      <c r="I17" s="697">
        <v>0</v>
      </c>
      <c r="J17" s="1611">
        <v>0</v>
      </c>
      <c r="K17" s="1612">
        <v>0</v>
      </c>
      <c r="L17" s="197"/>
      <c r="M17" s="290" t="s">
        <v>8569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8568</v>
      </c>
      <c r="AF17" s="962" t="s">
        <v>8570</v>
      </c>
      <c r="AG17" s="905" t="s">
        <v>8571</v>
      </c>
      <c r="AH17" s="905" t="s">
        <v>8572</v>
      </c>
      <c r="AI17" s="905" t="s">
        <v>8573</v>
      </c>
      <c r="AJ17" s="963" t="s">
        <v>8574</v>
      </c>
      <c r="AK17" s="962" t="s">
        <v>8575</v>
      </c>
      <c r="AL17" s="905" t="s">
        <v>8576</v>
      </c>
      <c r="AM17" s="905" t="s">
        <v>8577</v>
      </c>
      <c r="AN17" s="964" t="s">
        <v>8578</v>
      </c>
      <c r="AO17" s="961"/>
      <c r="AP17" s="197"/>
      <c r="AQ17" s="197"/>
      <c r="AR17" s="197"/>
      <c r="AS17" s="197"/>
    </row>
    <row r="18" spans="1:45" s="4" customFormat="1" ht="15.75" customHeight="1">
      <c r="A18" s="197"/>
      <c r="B18" s="403" t="s">
        <v>8579</v>
      </c>
      <c r="C18" s="2092">
        <v>0</v>
      </c>
      <c r="D18" s="697">
        <v>0</v>
      </c>
      <c r="E18" s="697">
        <v>0</v>
      </c>
      <c r="F18" s="697">
        <v>0</v>
      </c>
      <c r="G18" s="1597">
        <f t="shared" si="8"/>
        <v>0</v>
      </c>
      <c r="H18" s="2092">
        <v>0</v>
      </c>
      <c r="I18" s="697">
        <v>0</v>
      </c>
      <c r="J18" s="1611">
        <v>0</v>
      </c>
      <c r="K18" s="1612">
        <v>0</v>
      </c>
      <c r="L18" s="197"/>
      <c r="M18" s="290" t="s">
        <v>8580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8579</v>
      </c>
      <c r="AF18" s="962" t="s">
        <v>8581</v>
      </c>
      <c r="AG18" s="905" t="s">
        <v>8582</v>
      </c>
      <c r="AH18" s="905" t="s">
        <v>8583</v>
      </c>
      <c r="AI18" s="905" t="s">
        <v>8584</v>
      </c>
      <c r="AJ18" s="963" t="s">
        <v>8585</v>
      </c>
      <c r="AK18" s="962" t="s">
        <v>8586</v>
      </c>
      <c r="AL18" s="905" t="s">
        <v>8587</v>
      </c>
      <c r="AM18" s="905" t="s">
        <v>8588</v>
      </c>
      <c r="AN18" s="964" t="s">
        <v>8589</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550</v>
      </c>
      <c r="F19" s="1589">
        <f t="shared" si="10"/>
        <v>1330.4839999999999</v>
      </c>
      <c r="G19" s="1589">
        <f>IFERROR(SUM(C19:F19),0)</f>
        <v>1880.4839999999999</v>
      </c>
      <c r="H19" s="1589">
        <f>IFERROR(SUM(H12:H18), 0)</f>
        <v>444.61099999999999</v>
      </c>
      <c r="I19" s="1589">
        <f>IFERROR(SUM(I12:I18), 0)</f>
        <v>344.654</v>
      </c>
      <c r="J19" s="1613"/>
      <c r="K19" s="1614"/>
      <c r="L19" s="197"/>
      <c r="M19" s="576" t="s">
        <v>8590</v>
      </c>
      <c r="N19" s="197"/>
      <c r="O19" s="302"/>
      <c r="P19" s="197"/>
      <c r="Q19" s="828"/>
      <c r="R19" s="284"/>
      <c r="S19" s="828"/>
      <c r="T19" s="197"/>
      <c r="U19" s="197"/>
      <c r="V19" s="197"/>
      <c r="W19" s="197"/>
      <c r="X19" s="197"/>
      <c r="Y19" s="197"/>
      <c r="Z19" s="197"/>
      <c r="AA19" s="197"/>
      <c r="AB19" s="197"/>
      <c r="AC19" s="828"/>
      <c r="AD19" s="197"/>
      <c r="AE19" s="406" t="s">
        <v>4425</v>
      </c>
      <c r="AF19" s="965" t="s">
        <v>8591</v>
      </c>
      <c r="AG19" s="679" t="s">
        <v>8592</v>
      </c>
      <c r="AH19" s="679" t="s">
        <v>8593</v>
      </c>
      <c r="AI19" s="679" t="s">
        <v>8594</v>
      </c>
      <c r="AJ19" s="679" t="s">
        <v>8595</v>
      </c>
      <c r="AK19" s="679" t="s">
        <v>8596</v>
      </c>
      <c r="AL19" s="679" t="s">
        <v>8597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8598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8598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8599</v>
      </c>
      <c r="C22" s="2091">
        <v>0</v>
      </c>
      <c r="D22" s="694">
        <v>0</v>
      </c>
      <c r="E22" s="694">
        <v>0</v>
      </c>
      <c r="F22" s="694">
        <v>0</v>
      </c>
      <c r="G22" s="1595">
        <f t="shared" ref="G22:G26" si="11">IFERROR(SUM(C22:F22),0)</f>
        <v>0</v>
      </c>
      <c r="H22" s="694">
        <v>0</v>
      </c>
      <c r="I22" s="694">
        <v>0</v>
      </c>
      <c r="J22" s="1616"/>
      <c r="K22" s="1617"/>
      <c r="L22" s="197"/>
      <c r="M22" s="281" t="s">
        <v>8600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8599</v>
      </c>
      <c r="AF22" s="958" t="s">
        <v>8601</v>
      </c>
      <c r="AG22" s="904" t="s">
        <v>8602</v>
      </c>
      <c r="AH22" s="904" t="s">
        <v>8603</v>
      </c>
      <c r="AI22" s="904" t="s">
        <v>8604</v>
      </c>
      <c r="AJ22" s="959" t="s">
        <v>8605</v>
      </c>
      <c r="AK22" s="904" t="s">
        <v>8606</v>
      </c>
      <c r="AL22" s="904" t="s">
        <v>8607</v>
      </c>
      <c r="AM22" s="973"/>
      <c r="AN22" s="974"/>
      <c r="AO22" s="961"/>
      <c r="AP22" s="197"/>
      <c r="AQ22" s="197"/>
      <c r="AR22" s="197"/>
      <c r="AS22" s="197"/>
    </row>
    <row r="23" spans="1:45" s="4" customFormat="1" ht="15.75" customHeight="1">
      <c r="A23" s="197"/>
      <c r="B23" s="403" t="s">
        <v>8608</v>
      </c>
      <c r="C23" s="2092">
        <v>0</v>
      </c>
      <c r="D23" s="697">
        <v>0</v>
      </c>
      <c r="E23" s="697">
        <v>0</v>
      </c>
      <c r="F23" s="697">
        <v>0</v>
      </c>
      <c r="G23" s="1597">
        <f t="shared" si="11"/>
        <v>0</v>
      </c>
      <c r="H23" s="697">
        <v>0</v>
      </c>
      <c r="I23" s="697">
        <v>0</v>
      </c>
      <c r="J23" s="1618"/>
      <c r="K23" s="1619"/>
      <c r="L23" s="197"/>
      <c r="M23" s="290" t="s">
        <v>8609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8608</v>
      </c>
      <c r="AF23" s="962" t="s">
        <v>8610</v>
      </c>
      <c r="AG23" s="905" t="s">
        <v>8611</v>
      </c>
      <c r="AH23" s="905" t="s">
        <v>8612</v>
      </c>
      <c r="AI23" s="905" t="s">
        <v>8613</v>
      </c>
      <c r="AJ23" s="963" t="s">
        <v>8614</v>
      </c>
      <c r="AK23" s="905" t="s">
        <v>8615</v>
      </c>
      <c r="AL23" s="905" t="s">
        <v>8616</v>
      </c>
      <c r="AM23" s="975"/>
      <c r="AN23" s="976"/>
      <c r="AO23" s="961"/>
      <c r="AP23" s="197"/>
      <c r="AQ23" s="197"/>
      <c r="AR23" s="197"/>
      <c r="AS23" s="197"/>
    </row>
    <row r="24" spans="1:45" s="4" customFormat="1" ht="15.75" customHeight="1">
      <c r="A24" s="197"/>
      <c r="B24" s="403" t="s">
        <v>8617</v>
      </c>
      <c r="C24" s="2092">
        <v>0</v>
      </c>
      <c r="D24" s="697">
        <v>0</v>
      </c>
      <c r="E24" s="697">
        <v>0</v>
      </c>
      <c r="F24" s="697">
        <v>0</v>
      </c>
      <c r="G24" s="1597">
        <f t="shared" si="11"/>
        <v>0</v>
      </c>
      <c r="H24" s="697">
        <v>0</v>
      </c>
      <c r="I24" s="697">
        <v>0</v>
      </c>
      <c r="J24" s="1618"/>
      <c r="K24" s="1619"/>
      <c r="L24" s="197"/>
      <c r="M24" s="290" t="s">
        <v>8618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8617</v>
      </c>
      <c r="AF24" s="962" t="s">
        <v>8619</v>
      </c>
      <c r="AG24" s="905" t="s">
        <v>8620</v>
      </c>
      <c r="AH24" s="905" t="s">
        <v>8621</v>
      </c>
      <c r="AI24" s="905" t="s">
        <v>8622</v>
      </c>
      <c r="AJ24" s="963" t="s">
        <v>8623</v>
      </c>
      <c r="AK24" s="905" t="s">
        <v>8624</v>
      </c>
      <c r="AL24" s="905" t="s">
        <v>8625</v>
      </c>
      <c r="AM24" s="975"/>
      <c r="AN24" s="976"/>
      <c r="AO24" s="961"/>
      <c r="AP24" s="197"/>
      <c r="AQ24" s="197"/>
      <c r="AR24" s="197"/>
      <c r="AS24" s="197"/>
    </row>
    <row r="25" spans="1:45" s="4" customFormat="1" ht="15.75" customHeight="1">
      <c r="A25" s="197"/>
      <c r="B25" s="403" t="s">
        <v>8626</v>
      </c>
      <c r="C25" s="2092">
        <v>0</v>
      </c>
      <c r="D25" s="697">
        <v>0</v>
      </c>
      <c r="E25" s="697">
        <v>0</v>
      </c>
      <c r="F25" s="697">
        <v>0</v>
      </c>
      <c r="G25" s="1597">
        <f t="shared" si="11"/>
        <v>0</v>
      </c>
      <c r="H25" s="697">
        <v>0</v>
      </c>
      <c r="I25" s="697">
        <v>0</v>
      </c>
      <c r="J25" s="1618"/>
      <c r="K25" s="1619"/>
      <c r="L25" s="197"/>
      <c r="M25" s="290" t="s">
        <v>8627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8626</v>
      </c>
      <c r="AF25" s="962" t="s">
        <v>8628</v>
      </c>
      <c r="AG25" s="905" t="s">
        <v>8629</v>
      </c>
      <c r="AH25" s="905" t="s">
        <v>8630</v>
      </c>
      <c r="AI25" s="905" t="s">
        <v>8631</v>
      </c>
      <c r="AJ25" s="963" t="s">
        <v>8632</v>
      </c>
      <c r="AK25" s="905" t="s">
        <v>8633</v>
      </c>
      <c r="AL25" s="905" t="s">
        <v>8634</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8635</v>
      </c>
      <c r="N26" s="197"/>
      <c r="O26" s="302"/>
      <c r="P26" s="197"/>
      <c r="Q26" s="828"/>
      <c r="R26" s="284"/>
      <c r="S26" s="828"/>
      <c r="T26" s="197"/>
      <c r="U26" s="197"/>
      <c r="V26" s="197"/>
      <c r="W26" s="197"/>
      <c r="X26" s="197"/>
      <c r="Y26" s="197"/>
      <c r="Z26" s="197"/>
      <c r="AA26" s="197"/>
      <c r="AB26" s="197"/>
      <c r="AC26" s="828"/>
      <c r="AD26" s="197"/>
      <c r="AE26" s="406" t="s">
        <v>4425</v>
      </c>
      <c r="AF26" s="965" t="s">
        <v>8636</v>
      </c>
      <c r="AG26" s="679" t="s">
        <v>8637</v>
      </c>
      <c r="AH26" s="679" t="s">
        <v>8638</v>
      </c>
      <c r="AI26" s="679" t="s">
        <v>8639</v>
      </c>
      <c r="AJ26" s="679" t="s">
        <v>8640</v>
      </c>
      <c r="AK26" s="679" t="s">
        <v>8641</v>
      </c>
      <c r="AL26" s="679" t="s">
        <v>8642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8643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8643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8644</v>
      </c>
      <c r="C29" s="2091">
        <v>0</v>
      </c>
      <c r="D29" s="694">
        <v>0</v>
      </c>
      <c r="E29" s="694">
        <v>0</v>
      </c>
      <c r="F29" s="694">
        <v>0</v>
      </c>
      <c r="G29" s="1595">
        <f t="shared" ref="G29:G33" si="19">IFERROR(SUM(C29:F29),0)</f>
        <v>0</v>
      </c>
      <c r="H29" s="694">
        <v>0</v>
      </c>
      <c r="I29" s="694">
        <v>0</v>
      </c>
      <c r="J29" s="1616"/>
      <c r="K29" s="1617"/>
      <c r="L29" s="197"/>
      <c r="M29" s="281" t="s">
        <v>8645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8644</v>
      </c>
      <c r="AF29" s="958" t="s">
        <v>8646</v>
      </c>
      <c r="AG29" s="904" t="s">
        <v>8647</v>
      </c>
      <c r="AH29" s="904" t="s">
        <v>8648</v>
      </c>
      <c r="AI29" s="904" t="s">
        <v>8649</v>
      </c>
      <c r="AJ29" s="959" t="s">
        <v>8650</v>
      </c>
      <c r="AK29" s="904" t="s">
        <v>8651</v>
      </c>
      <c r="AL29" s="904" t="s">
        <v>8652</v>
      </c>
      <c r="AM29" s="973"/>
      <c r="AN29" s="974"/>
      <c r="AO29" s="961"/>
      <c r="AP29" s="197"/>
      <c r="AQ29" s="197"/>
      <c r="AR29" s="197"/>
      <c r="AS29" s="197"/>
    </row>
    <row r="30" spans="1:45" s="4" customFormat="1" ht="15.75" customHeight="1">
      <c r="A30" s="197"/>
      <c r="B30" s="403" t="s">
        <v>8653</v>
      </c>
      <c r="C30" s="2092">
        <v>0</v>
      </c>
      <c r="D30" s="697">
        <v>0</v>
      </c>
      <c r="E30" s="697">
        <v>0</v>
      </c>
      <c r="F30" s="697">
        <v>0</v>
      </c>
      <c r="G30" s="1597">
        <f t="shared" si="19"/>
        <v>0</v>
      </c>
      <c r="H30" s="697">
        <v>0</v>
      </c>
      <c r="I30" s="697">
        <v>0</v>
      </c>
      <c r="J30" s="1618"/>
      <c r="K30" s="1619"/>
      <c r="L30" s="197"/>
      <c r="M30" s="290" t="s">
        <v>8654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8653</v>
      </c>
      <c r="AF30" s="962" t="s">
        <v>8655</v>
      </c>
      <c r="AG30" s="905" t="s">
        <v>8656</v>
      </c>
      <c r="AH30" s="905" t="s">
        <v>8657</v>
      </c>
      <c r="AI30" s="905" t="s">
        <v>8658</v>
      </c>
      <c r="AJ30" s="963" t="s">
        <v>8659</v>
      </c>
      <c r="AK30" s="905" t="s">
        <v>8660</v>
      </c>
      <c r="AL30" s="905" t="s">
        <v>8661</v>
      </c>
      <c r="AM30" s="975"/>
      <c r="AN30" s="976"/>
      <c r="AO30" s="961"/>
      <c r="AP30" s="197"/>
      <c r="AQ30" s="197"/>
      <c r="AR30" s="197"/>
      <c r="AS30" s="197"/>
    </row>
    <row r="31" spans="1:45" s="4" customFormat="1" ht="15.75" customHeight="1">
      <c r="A31" s="197"/>
      <c r="B31" s="403" t="s">
        <v>8662</v>
      </c>
      <c r="C31" s="2092">
        <v>0</v>
      </c>
      <c r="D31" s="697">
        <v>0</v>
      </c>
      <c r="E31" s="697">
        <v>0</v>
      </c>
      <c r="F31" s="697">
        <v>0</v>
      </c>
      <c r="G31" s="1597">
        <f t="shared" si="19"/>
        <v>0</v>
      </c>
      <c r="H31" s="697">
        <v>0</v>
      </c>
      <c r="I31" s="697">
        <v>0</v>
      </c>
      <c r="J31" s="1618"/>
      <c r="K31" s="1619"/>
      <c r="L31" s="197"/>
      <c r="M31" s="290" t="s">
        <v>8663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8662</v>
      </c>
      <c r="AF31" s="962" t="s">
        <v>8664</v>
      </c>
      <c r="AG31" s="905" t="s">
        <v>8665</v>
      </c>
      <c r="AH31" s="905" t="s">
        <v>8666</v>
      </c>
      <c r="AI31" s="905" t="s">
        <v>8667</v>
      </c>
      <c r="AJ31" s="963" t="s">
        <v>8668</v>
      </c>
      <c r="AK31" s="905" t="s">
        <v>8669</v>
      </c>
      <c r="AL31" s="905" t="s">
        <v>8670</v>
      </c>
      <c r="AM31" s="975"/>
      <c r="AN31" s="976"/>
      <c r="AO31" s="961"/>
      <c r="AP31" s="197"/>
      <c r="AQ31" s="197"/>
      <c r="AR31" s="197"/>
      <c r="AS31" s="197"/>
    </row>
    <row r="32" spans="1:45" s="4" customFormat="1" ht="15.75" customHeight="1">
      <c r="A32" s="197"/>
      <c r="B32" s="403" t="s">
        <v>8671</v>
      </c>
      <c r="C32" s="2092">
        <v>0</v>
      </c>
      <c r="D32" s="697">
        <v>0</v>
      </c>
      <c r="E32" s="697">
        <v>0</v>
      </c>
      <c r="F32" s="697">
        <v>0</v>
      </c>
      <c r="G32" s="1597">
        <f t="shared" si="19"/>
        <v>0</v>
      </c>
      <c r="H32" s="697">
        <v>0</v>
      </c>
      <c r="I32" s="697">
        <v>0</v>
      </c>
      <c r="J32" s="1618"/>
      <c r="K32" s="1619"/>
      <c r="L32" s="197"/>
      <c r="M32" s="290" t="s">
        <v>8672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8671</v>
      </c>
      <c r="AF32" s="962" t="s">
        <v>8673</v>
      </c>
      <c r="AG32" s="905" t="s">
        <v>8674</v>
      </c>
      <c r="AH32" s="905" t="s">
        <v>8675</v>
      </c>
      <c r="AI32" s="905" t="s">
        <v>8676</v>
      </c>
      <c r="AJ32" s="963" t="s">
        <v>8677</v>
      </c>
      <c r="AK32" s="905" t="s">
        <v>8678</v>
      </c>
      <c r="AL32" s="905" t="s">
        <v>8679</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8680</v>
      </c>
      <c r="N33" s="197"/>
      <c r="O33" s="302"/>
      <c r="P33" s="197"/>
      <c r="Q33" s="828"/>
      <c r="R33" s="284"/>
      <c r="S33" s="828"/>
      <c r="T33" s="197"/>
      <c r="U33" s="197"/>
      <c r="V33" s="197"/>
      <c r="W33" s="197"/>
      <c r="X33" s="197"/>
      <c r="Y33" s="197"/>
      <c r="Z33" s="197"/>
      <c r="AA33" s="197"/>
      <c r="AB33" s="197"/>
      <c r="AC33" s="828"/>
      <c r="AD33" s="197"/>
      <c r="AE33" s="406" t="s">
        <v>4425</v>
      </c>
      <c r="AF33" s="965" t="s">
        <v>8681</v>
      </c>
      <c r="AG33" s="679" t="s">
        <v>8682</v>
      </c>
      <c r="AH33" s="679" t="s">
        <v>8683</v>
      </c>
      <c r="AI33" s="679" t="s">
        <v>8684</v>
      </c>
      <c r="AJ33" s="679" t="s">
        <v>8685</v>
      </c>
      <c r="AK33" s="679" t="s">
        <v>8686</v>
      </c>
      <c r="AL33" s="679" t="s">
        <v>8687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8688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8688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8689</v>
      </c>
      <c r="C36" s="2091">
        <v>0</v>
      </c>
      <c r="D36" s="694">
        <v>0</v>
      </c>
      <c r="E36" s="694">
        <v>0</v>
      </c>
      <c r="F36" s="694">
        <v>0</v>
      </c>
      <c r="G36" s="1595">
        <f t="shared" ref="G36:G43" si="27">IFERROR(SUM(C36:F36),0)</f>
        <v>0</v>
      </c>
      <c r="H36" s="694">
        <v>0</v>
      </c>
      <c r="I36" s="694">
        <v>0</v>
      </c>
      <c r="J36" s="1616"/>
      <c r="K36" s="1617"/>
      <c r="L36" s="197"/>
      <c r="M36" s="281" t="s">
        <v>8690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8689</v>
      </c>
      <c r="AF36" s="958" t="s">
        <v>8691</v>
      </c>
      <c r="AG36" s="904" t="s">
        <v>8692</v>
      </c>
      <c r="AH36" s="904" t="s">
        <v>8693</v>
      </c>
      <c r="AI36" s="904" t="s">
        <v>8694</v>
      </c>
      <c r="AJ36" s="959" t="s">
        <v>8695</v>
      </c>
      <c r="AK36" s="904" t="s">
        <v>8696</v>
      </c>
      <c r="AL36" s="904" t="s">
        <v>8697</v>
      </c>
      <c r="AM36" s="973"/>
      <c r="AN36" s="974"/>
      <c r="AO36" s="961"/>
      <c r="AP36" s="197"/>
      <c r="AQ36" s="197"/>
      <c r="AR36" s="197"/>
      <c r="AS36" s="197"/>
    </row>
    <row r="37" spans="1:45" s="4" customFormat="1" ht="15.75" customHeight="1">
      <c r="A37" s="197"/>
      <c r="B37" s="403" t="s">
        <v>8698</v>
      </c>
      <c r="C37" s="2092">
        <v>0</v>
      </c>
      <c r="D37" s="697">
        <v>0</v>
      </c>
      <c r="E37" s="697">
        <v>0</v>
      </c>
      <c r="F37" s="697">
        <v>0</v>
      </c>
      <c r="G37" s="1597">
        <f t="shared" si="27"/>
        <v>0</v>
      </c>
      <c r="H37" s="697">
        <v>0</v>
      </c>
      <c r="I37" s="697">
        <v>0</v>
      </c>
      <c r="J37" s="1618"/>
      <c r="K37" s="1619"/>
      <c r="L37" s="197"/>
      <c r="M37" s="290" t="s">
        <v>8699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8698</v>
      </c>
      <c r="AF37" s="962" t="s">
        <v>8700</v>
      </c>
      <c r="AG37" s="905" t="s">
        <v>8701</v>
      </c>
      <c r="AH37" s="905" t="s">
        <v>8702</v>
      </c>
      <c r="AI37" s="905" t="s">
        <v>8703</v>
      </c>
      <c r="AJ37" s="963" t="s">
        <v>8704</v>
      </c>
      <c r="AK37" s="905" t="s">
        <v>8705</v>
      </c>
      <c r="AL37" s="905" t="s">
        <v>8706</v>
      </c>
      <c r="AM37" s="975"/>
      <c r="AN37" s="976"/>
      <c r="AO37" s="961"/>
      <c r="AP37" s="197"/>
      <c r="AQ37" s="197"/>
      <c r="AR37" s="197"/>
      <c r="AS37" s="197"/>
    </row>
    <row r="38" spans="1:45" s="4" customFormat="1" ht="15.75" customHeight="1">
      <c r="A38" s="197"/>
      <c r="B38" s="403" t="s">
        <v>8707</v>
      </c>
      <c r="C38" s="2092">
        <v>0</v>
      </c>
      <c r="D38" s="697">
        <v>0</v>
      </c>
      <c r="E38" s="697">
        <v>0</v>
      </c>
      <c r="F38" s="697">
        <v>0</v>
      </c>
      <c r="G38" s="1597">
        <f t="shared" si="27"/>
        <v>0</v>
      </c>
      <c r="H38" s="697">
        <v>0</v>
      </c>
      <c r="I38" s="697">
        <v>0</v>
      </c>
      <c r="J38" s="1618"/>
      <c r="K38" s="1619"/>
      <c r="L38" s="197"/>
      <c r="M38" s="290" t="s">
        <v>8708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8707</v>
      </c>
      <c r="AF38" s="962" t="s">
        <v>8709</v>
      </c>
      <c r="AG38" s="905" t="s">
        <v>8710</v>
      </c>
      <c r="AH38" s="905" t="s">
        <v>8711</v>
      </c>
      <c r="AI38" s="905" t="s">
        <v>8712</v>
      </c>
      <c r="AJ38" s="963" t="s">
        <v>8713</v>
      </c>
      <c r="AK38" s="905" t="s">
        <v>8714</v>
      </c>
      <c r="AL38" s="905" t="s">
        <v>8715</v>
      </c>
      <c r="AM38" s="975"/>
      <c r="AN38" s="976"/>
      <c r="AO38" s="961"/>
      <c r="AP38" s="197"/>
      <c r="AQ38" s="197"/>
      <c r="AR38" s="197"/>
      <c r="AS38" s="197"/>
    </row>
    <row r="39" spans="1:45" s="4" customFormat="1" ht="15.75" customHeight="1">
      <c r="A39" s="197"/>
      <c r="B39" s="403" t="s">
        <v>8716</v>
      </c>
      <c r="C39" s="2092">
        <v>0</v>
      </c>
      <c r="D39" s="697">
        <v>0</v>
      </c>
      <c r="E39" s="697">
        <v>0</v>
      </c>
      <c r="F39" s="697">
        <v>0</v>
      </c>
      <c r="G39" s="1597">
        <f t="shared" si="27"/>
        <v>0</v>
      </c>
      <c r="H39" s="697">
        <v>0</v>
      </c>
      <c r="I39" s="697">
        <v>0</v>
      </c>
      <c r="J39" s="1618"/>
      <c r="K39" s="1619"/>
      <c r="L39" s="197"/>
      <c r="M39" s="290" t="s">
        <v>8717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8716</v>
      </c>
      <c r="AF39" s="962" t="s">
        <v>8718</v>
      </c>
      <c r="AG39" s="905" t="s">
        <v>8719</v>
      </c>
      <c r="AH39" s="905" t="s">
        <v>8720</v>
      </c>
      <c r="AI39" s="905" t="s">
        <v>8721</v>
      </c>
      <c r="AJ39" s="963" t="s">
        <v>8722</v>
      </c>
      <c r="AK39" s="905" t="s">
        <v>8723</v>
      </c>
      <c r="AL39" s="905" t="s">
        <v>8724</v>
      </c>
      <c r="AM39" s="975"/>
      <c r="AN39" s="976"/>
      <c r="AO39" s="961"/>
      <c r="AP39" s="197"/>
      <c r="AQ39" s="197"/>
      <c r="AR39" s="197"/>
      <c r="AS39" s="197"/>
    </row>
    <row r="40" spans="1:45" s="4" customFormat="1" ht="15.75" customHeight="1">
      <c r="A40" s="197"/>
      <c r="B40" s="403" t="s">
        <v>8725</v>
      </c>
      <c r="C40" s="2092">
        <v>0</v>
      </c>
      <c r="D40" s="697">
        <v>0</v>
      </c>
      <c r="E40" s="697">
        <v>0</v>
      </c>
      <c r="F40" s="697">
        <v>0</v>
      </c>
      <c r="G40" s="1597">
        <f t="shared" si="27"/>
        <v>0</v>
      </c>
      <c r="H40" s="697">
        <v>0</v>
      </c>
      <c r="I40" s="697">
        <v>0</v>
      </c>
      <c r="J40" s="1618"/>
      <c r="K40" s="1619"/>
      <c r="L40" s="197"/>
      <c r="M40" s="290" t="s">
        <v>8726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8725</v>
      </c>
      <c r="AF40" s="962" t="s">
        <v>8727</v>
      </c>
      <c r="AG40" s="905" t="s">
        <v>8728</v>
      </c>
      <c r="AH40" s="905" t="s">
        <v>8729</v>
      </c>
      <c r="AI40" s="905" t="s">
        <v>8730</v>
      </c>
      <c r="AJ40" s="963" t="s">
        <v>8731</v>
      </c>
      <c r="AK40" s="905" t="s">
        <v>8732</v>
      </c>
      <c r="AL40" s="905" t="s">
        <v>8733</v>
      </c>
      <c r="AM40" s="975"/>
      <c r="AN40" s="976"/>
      <c r="AO40" s="961"/>
      <c r="AP40" s="197"/>
      <c r="AQ40" s="197"/>
      <c r="AR40" s="197"/>
      <c r="AS40" s="197"/>
    </row>
    <row r="41" spans="1:45" s="4" customFormat="1" ht="15.75" customHeight="1">
      <c r="A41" s="197"/>
      <c r="B41" s="403" t="s">
        <v>8734</v>
      </c>
      <c r="C41" s="2092">
        <v>0</v>
      </c>
      <c r="D41" s="697">
        <v>0</v>
      </c>
      <c r="E41" s="697">
        <v>0</v>
      </c>
      <c r="F41" s="697">
        <v>0</v>
      </c>
      <c r="G41" s="1597">
        <f t="shared" si="27"/>
        <v>0</v>
      </c>
      <c r="H41" s="697">
        <v>0</v>
      </c>
      <c r="I41" s="697">
        <v>0</v>
      </c>
      <c r="J41" s="1618"/>
      <c r="K41" s="1619"/>
      <c r="L41" s="197"/>
      <c r="M41" s="290" t="s">
        <v>8735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8734</v>
      </c>
      <c r="AF41" s="962" t="s">
        <v>8736</v>
      </c>
      <c r="AG41" s="905" t="s">
        <v>8737</v>
      </c>
      <c r="AH41" s="905" t="s">
        <v>8738</v>
      </c>
      <c r="AI41" s="905" t="s">
        <v>8739</v>
      </c>
      <c r="AJ41" s="963" t="s">
        <v>8740</v>
      </c>
      <c r="AK41" s="905" t="s">
        <v>8741</v>
      </c>
      <c r="AL41" s="905" t="s">
        <v>8742</v>
      </c>
      <c r="AM41" s="975"/>
      <c r="AN41" s="976"/>
      <c r="AO41" s="961"/>
      <c r="AP41" s="197"/>
      <c r="AQ41" s="197"/>
      <c r="AR41" s="197"/>
      <c r="AS41" s="197"/>
    </row>
    <row r="42" spans="1:45" s="4" customFormat="1" ht="15.75" customHeight="1">
      <c r="A42" s="197"/>
      <c r="B42" s="403" t="s">
        <v>8743</v>
      </c>
      <c r="C42" s="2092">
        <v>0</v>
      </c>
      <c r="D42" s="697">
        <v>0</v>
      </c>
      <c r="E42" s="697">
        <v>0</v>
      </c>
      <c r="F42" s="697">
        <v>0</v>
      </c>
      <c r="G42" s="1597">
        <f t="shared" si="27"/>
        <v>0</v>
      </c>
      <c r="H42" s="697">
        <v>0</v>
      </c>
      <c r="I42" s="697">
        <v>0</v>
      </c>
      <c r="J42" s="1618"/>
      <c r="K42" s="1619"/>
      <c r="L42" s="197"/>
      <c r="M42" s="290" t="s">
        <v>8744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8743</v>
      </c>
      <c r="AF42" s="962" t="s">
        <v>8745</v>
      </c>
      <c r="AG42" s="905" t="s">
        <v>8746</v>
      </c>
      <c r="AH42" s="905" t="s">
        <v>8747</v>
      </c>
      <c r="AI42" s="905" t="s">
        <v>8748</v>
      </c>
      <c r="AJ42" s="963" t="s">
        <v>8749</v>
      </c>
      <c r="AK42" s="905" t="s">
        <v>8750</v>
      </c>
      <c r="AL42" s="905" t="s">
        <v>8751</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8752</v>
      </c>
      <c r="N43" s="197"/>
      <c r="O43" s="302"/>
      <c r="P43" s="197"/>
      <c r="Q43" s="828"/>
      <c r="R43" s="284"/>
      <c r="S43" s="828"/>
      <c r="T43" s="197"/>
      <c r="U43" s="197"/>
      <c r="V43" s="197"/>
      <c r="W43" s="197"/>
      <c r="X43" s="197"/>
      <c r="Y43" s="197"/>
      <c r="Z43" s="197"/>
      <c r="AA43" s="197"/>
      <c r="AB43" s="197"/>
      <c r="AC43" s="828"/>
      <c r="AD43" s="197"/>
      <c r="AE43" s="406" t="s">
        <v>4425</v>
      </c>
      <c r="AF43" s="965" t="s">
        <v>8753</v>
      </c>
      <c r="AG43" s="679" t="s">
        <v>8754</v>
      </c>
      <c r="AH43" s="679" t="s">
        <v>8755</v>
      </c>
      <c r="AI43" s="679" t="s">
        <v>8756</v>
      </c>
      <c r="AJ43" s="679" t="s">
        <v>8757</v>
      </c>
      <c r="AK43" s="679" t="s">
        <v>8758</v>
      </c>
      <c r="AL43" s="679" t="s">
        <v>8759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8760</v>
      </c>
      <c r="C46" s="701">
        <v>2.718</v>
      </c>
      <c r="D46" s="701">
        <v>2.1589999999999998</v>
      </c>
      <c r="E46" s="701">
        <v>0</v>
      </c>
      <c r="F46" s="701">
        <v>0</v>
      </c>
      <c r="G46" s="1586">
        <f>IFERROR(SUM(C46:F46),0)</f>
        <v>4.8769999999999998</v>
      </c>
      <c r="H46" s="701">
        <v>-9.9619999999999997</v>
      </c>
      <c r="I46" s="701">
        <v>0</v>
      </c>
      <c r="J46" s="1620"/>
      <c r="K46" s="1621"/>
      <c r="L46" s="197"/>
      <c r="M46" s="374" t="s">
        <v>8761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8760</v>
      </c>
      <c r="AF46" s="978" t="s">
        <v>8762</v>
      </c>
      <c r="AG46" s="978" t="s">
        <v>8763</v>
      </c>
      <c r="AH46" s="978" t="s">
        <v>8764</v>
      </c>
      <c r="AI46" s="978" t="s">
        <v>8765</v>
      </c>
      <c r="AJ46" s="979" t="s">
        <v>8766</v>
      </c>
      <c r="AK46" s="978" t="s">
        <v>8767</v>
      </c>
      <c r="AL46" s="978" t="s">
        <v>8768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8769</v>
      </c>
      <c r="C48" s="2038">
        <f t="shared" ref="C48:I48" si="42">IFERROR(SUM(C19,C26,C33,C43,C46), 0)</f>
        <v>2.718</v>
      </c>
      <c r="D48" s="1586">
        <f t="shared" si="42"/>
        <v>2.1589999999999998</v>
      </c>
      <c r="E48" s="1586">
        <f t="shared" si="42"/>
        <v>550</v>
      </c>
      <c r="F48" s="1586">
        <f t="shared" si="42"/>
        <v>1330.4839999999999</v>
      </c>
      <c r="G48" s="1586">
        <f>IFERROR(SUM(C48:F48),0)</f>
        <v>1885.3609999999999</v>
      </c>
      <c r="H48" s="1586">
        <f t="shared" si="42"/>
        <v>434.649</v>
      </c>
      <c r="I48" s="1586">
        <f t="shared" si="42"/>
        <v>344.654</v>
      </c>
      <c r="J48" s="1622"/>
      <c r="K48" s="1623"/>
      <c r="L48" s="389"/>
      <c r="M48" s="374" t="s">
        <v>8770</v>
      </c>
      <c r="N48" s="389"/>
      <c r="O48" s="982"/>
      <c r="P48" s="389"/>
      <c r="Q48" s="825"/>
      <c r="R48" s="284"/>
      <c r="S48" s="825"/>
      <c r="T48" s="197"/>
      <c r="U48" s="197"/>
      <c r="V48" s="197"/>
      <c r="W48" s="197"/>
      <c r="X48" s="197"/>
      <c r="Y48" s="197"/>
      <c r="Z48" s="197"/>
      <c r="AA48" s="197"/>
      <c r="AB48" s="197"/>
      <c r="AC48" s="825"/>
      <c r="AD48" s="389"/>
      <c r="AE48" s="420" t="s">
        <v>8769</v>
      </c>
      <c r="AF48" s="985" t="s">
        <v>8771</v>
      </c>
      <c r="AG48" s="372" t="s">
        <v>8772</v>
      </c>
      <c r="AH48" s="372" t="s">
        <v>8773</v>
      </c>
      <c r="AI48" s="372" t="s">
        <v>8774</v>
      </c>
      <c r="AJ48" s="372" t="s">
        <v>8775</v>
      </c>
      <c r="AK48" s="372" t="s">
        <v>8776</v>
      </c>
      <c r="AL48" s="372" t="s">
        <v>8777</v>
      </c>
      <c r="AM48" s="986"/>
      <c r="AN48" s="987"/>
      <c r="AO48" s="961"/>
      <c r="AP48" s="389"/>
      <c r="AQ48" s="389"/>
      <c r="AR48" s="389"/>
      <c r="AS48" s="389"/>
    </row>
    <row r="49" spans="1:45" s="4" customFormat="1" ht="16.8"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6.05" customHeight="1" thickTop="1">
      <c r="A50" s="197"/>
      <c r="B50" s="2734" t="s">
        <v>4202</v>
      </c>
      <c r="C50" s="2715" t="s">
        <v>8778</v>
      </c>
      <c r="D50" s="2715"/>
      <c r="E50" s="2715"/>
      <c r="F50" s="2715"/>
      <c r="G50" s="2715"/>
      <c r="H50" s="2715"/>
      <c r="I50" s="2715"/>
      <c r="J50" s="2715"/>
      <c r="K50" s="2717"/>
      <c r="L50" s="651"/>
      <c r="M50" s="197"/>
      <c r="N50" s="197"/>
      <c r="O50" s="197"/>
      <c r="P50" s="651"/>
      <c r="Q50" s="907"/>
      <c r="R50" s="284"/>
      <c r="S50" s="907"/>
      <c r="T50" s="651"/>
      <c r="U50" s="651"/>
      <c r="V50" s="651"/>
      <c r="W50" s="651"/>
      <c r="X50" s="651"/>
      <c r="Y50" s="651"/>
      <c r="Z50" s="651"/>
      <c r="AA50" s="651"/>
      <c r="AB50" s="651"/>
      <c r="AC50" s="907"/>
      <c r="AD50" s="651"/>
      <c r="AE50" s="2734" t="s">
        <v>4202</v>
      </c>
      <c r="AF50" s="2715" t="s">
        <v>8778</v>
      </c>
      <c r="AG50" s="2715"/>
      <c r="AH50" s="2715"/>
      <c r="AI50" s="2715"/>
      <c r="AJ50" s="2715"/>
      <c r="AK50" s="2715"/>
      <c r="AL50" s="2715"/>
      <c r="AM50" s="2715"/>
      <c r="AN50" s="2717"/>
      <c r="AO50" s="317"/>
      <c r="AP50" s="197"/>
      <c r="AQ50" s="197"/>
      <c r="AR50" s="197"/>
      <c r="AS50" s="197"/>
    </row>
    <row r="51" spans="1:45" s="4" customFormat="1">
      <c r="A51" s="197"/>
      <c r="B51" s="2817"/>
      <c r="C51" s="2818" t="s">
        <v>8500</v>
      </c>
      <c r="D51" s="2818"/>
      <c r="E51" s="2818"/>
      <c r="F51" s="2818"/>
      <c r="G51" s="2818" t="s">
        <v>8501</v>
      </c>
      <c r="H51" s="2818"/>
      <c r="I51" s="2818" t="s">
        <v>8502</v>
      </c>
      <c r="J51" s="2818" t="s">
        <v>8503</v>
      </c>
      <c r="K51" s="2859"/>
      <c r="L51" s="197"/>
      <c r="M51" s="197"/>
      <c r="N51" s="197"/>
      <c r="O51" s="197"/>
      <c r="P51" s="197"/>
      <c r="Q51" s="828"/>
      <c r="R51" s="284"/>
      <c r="S51" s="828"/>
      <c r="T51" s="197"/>
      <c r="U51" s="197"/>
      <c r="V51" s="197"/>
      <c r="W51" s="197"/>
      <c r="X51" s="197"/>
      <c r="Y51" s="197"/>
      <c r="Z51" s="197"/>
      <c r="AA51" s="197"/>
      <c r="AB51" s="197"/>
      <c r="AC51" s="828"/>
      <c r="AD51" s="197"/>
      <c r="AE51" s="2817"/>
      <c r="AF51" s="2818" t="s">
        <v>8500</v>
      </c>
      <c r="AG51" s="2818"/>
      <c r="AH51" s="2818"/>
      <c r="AI51" s="2818"/>
      <c r="AJ51" s="2818" t="s">
        <v>8501</v>
      </c>
      <c r="AK51" s="2818"/>
      <c r="AL51" s="2818" t="s">
        <v>8502</v>
      </c>
      <c r="AM51" s="2818" t="s">
        <v>8503</v>
      </c>
      <c r="AN51" s="2859"/>
      <c r="AO51" s="317"/>
      <c r="AP51" s="197"/>
      <c r="AQ51" s="197"/>
      <c r="AR51" s="197"/>
      <c r="AS51" s="197"/>
    </row>
    <row r="52" spans="1:45" s="4" customFormat="1" ht="30">
      <c r="A52" s="197"/>
      <c r="B52" s="2817"/>
      <c r="C52" s="427" t="s">
        <v>8504</v>
      </c>
      <c r="D52" s="427" t="s">
        <v>8505</v>
      </c>
      <c r="E52" s="427" t="s">
        <v>8506</v>
      </c>
      <c r="F52" s="427" t="s">
        <v>8507</v>
      </c>
      <c r="G52" s="427" t="s">
        <v>8508</v>
      </c>
      <c r="H52" s="427" t="s">
        <v>8509</v>
      </c>
      <c r="I52" s="2818"/>
      <c r="J52" s="427" t="s">
        <v>8510</v>
      </c>
      <c r="K52" s="428" t="s">
        <v>8511</v>
      </c>
      <c r="L52" s="197"/>
      <c r="M52" s="197"/>
      <c r="N52" s="197"/>
      <c r="O52" s="197"/>
      <c r="P52" s="197"/>
      <c r="Q52" s="828"/>
      <c r="R52" s="284"/>
      <c r="S52" s="828"/>
      <c r="T52" s="197"/>
      <c r="U52" s="197"/>
      <c r="V52" s="197"/>
      <c r="W52" s="197"/>
      <c r="X52" s="197"/>
      <c r="Y52" s="197"/>
      <c r="Z52" s="197"/>
      <c r="AA52" s="197"/>
      <c r="AB52" s="197"/>
      <c r="AC52" s="828"/>
      <c r="AD52" s="197"/>
      <c r="AE52" s="2817"/>
      <c r="AF52" s="427" t="s">
        <v>8504</v>
      </c>
      <c r="AG52" s="427" t="s">
        <v>8505</v>
      </c>
      <c r="AH52" s="427" t="s">
        <v>8506</v>
      </c>
      <c r="AI52" s="427" t="s">
        <v>8507</v>
      </c>
      <c r="AJ52" s="427" t="s">
        <v>8508</v>
      </c>
      <c r="AK52" s="427" t="s">
        <v>8509</v>
      </c>
      <c r="AL52" s="2818"/>
      <c r="AM52" s="427" t="s">
        <v>8510</v>
      </c>
      <c r="AN52" s="428" t="s">
        <v>8511</v>
      </c>
      <c r="AO52" s="317"/>
      <c r="AP52" s="197"/>
      <c r="AQ52" s="197"/>
      <c r="AR52" s="197"/>
      <c r="AS52" s="197"/>
    </row>
    <row r="53" spans="1:45" s="4" customFormat="1" ht="16.05"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2" thickBot="1">
      <c r="A54" s="197"/>
      <c r="B54" s="430" t="s">
        <v>4204</v>
      </c>
      <c r="C54" s="271">
        <v>3</v>
      </c>
      <c r="D54" s="271">
        <v>3</v>
      </c>
      <c r="E54" s="271">
        <v>3</v>
      </c>
      <c r="F54" s="271">
        <v>3</v>
      </c>
      <c r="G54" s="271">
        <v>3</v>
      </c>
      <c r="H54" s="271">
        <v>3</v>
      </c>
      <c r="I54" s="271">
        <v>3</v>
      </c>
      <c r="J54" s="271">
        <v>3</v>
      </c>
      <c r="K54" s="672">
        <v>3</v>
      </c>
      <c r="L54" s="197"/>
      <c r="M54" s="197"/>
      <c r="N54" s="197"/>
      <c r="O54" s="197"/>
      <c r="P54" s="197"/>
      <c r="Q54" s="828"/>
      <c r="R54" s="284"/>
      <c r="S54" s="828"/>
      <c r="T54" s="2710" t="s">
        <v>4201</v>
      </c>
      <c r="U54" s="2710"/>
      <c r="V54" s="2843"/>
      <c r="W54" s="2843"/>
      <c r="X54" s="2843"/>
      <c r="Y54" s="2843"/>
      <c r="Z54" s="2843"/>
      <c r="AA54" s="2843"/>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8"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8512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8512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8513</v>
      </c>
      <c r="C57" s="2091">
        <v>0</v>
      </c>
      <c r="D57" s="694">
        <v>0</v>
      </c>
      <c r="E57" s="694">
        <v>0</v>
      </c>
      <c r="F57" s="694">
        <v>0</v>
      </c>
      <c r="G57" s="1595">
        <f t="shared" ref="G57:G64" si="43">IFERROR(SUM(C57:F57),0)</f>
        <v>0</v>
      </c>
      <c r="H57" s="2091">
        <v>0</v>
      </c>
      <c r="I57" s="694">
        <v>0</v>
      </c>
      <c r="J57" s="1609">
        <v>0</v>
      </c>
      <c r="K57" s="1610">
        <v>0</v>
      </c>
      <c r="L57" s="197"/>
      <c r="M57" s="281" t="s">
        <v>8779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8513</v>
      </c>
      <c r="AF57" s="958" t="s">
        <v>16476</v>
      </c>
      <c r="AG57" s="904" t="s">
        <v>16477</v>
      </c>
      <c r="AH57" s="904" t="s">
        <v>16478</v>
      </c>
      <c r="AI57" s="904" t="s">
        <v>16479</v>
      </c>
      <c r="AJ57" s="959" t="s">
        <v>16480</v>
      </c>
      <c r="AK57" s="958" t="s">
        <v>16481</v>
      </c>
      <c r="AL57" s="904" t="s">
        <v>16482</v>
      </c>
      <c r="AM57" s="904" t="s">
        <v>16483</v>
      </c>
      <c r="AN57" s="960" t="s">
        <v>16484</v>
      </c>
      <c r="AO57" s="961"/>
      <c r="AP57" s="197"/>
      <c r="AQ57" s="197"/>
      <c r="AR57" s="197"/>
      <c r="AS57" s="197"/>
    </row>
    <row r="58" spans="1:45" s="4" customFormat="1" ht="15.75" customHeight="1">
      <c r="A58" s="197"/>
      <c r="B58" s="403" t="s">
        <v>8524</v>
      </c>
      <c r="C58" s="2092">
        <v>0</v>
      </c>
      <c r="D58" s="697">
        <v>0</v>
      </c>
      <c r="E58" s="697">
        <v>0</v>
      </c>
      <c r="F58" s="697">
        <v>0</v>
      </c>
      <c r="G58" s="1597">
        <f t="shared" si="43"/>
        <v>0</v>
      </c>
      <c r="H58" s="2092">
        <v>0</v>
      </c>
      <c r="I58" s="697">
        <v>0</v>
      </c>
      <c r="J58" s="1611">
        <v>0</v>
      </c>
      <c r="K58" s="1612">
        <v>0</v>
      </c>
      <c r="L58" s="197"/>
      <c r="M58" s="290" t="s">
        <v>8780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8524</v>
      </c>
      <c r="AF58" s="962" t="s">
        <v>16485</v>
      </c>
      <c r="AG58" s="905" t="s">
        <v>16486</v>
      </c>
      <c r="AH58" s="905" t="s">
        <v>16487</v>
      </c>
      <c r="AI58" s="905" t="s">
        <v>16488</v>
      </c>
      <c r="AJ58" s="963" t="s">
        <v>16489</v>
      </c>
      <c r="AK58" s="962" t="s">
        <v>16490</v>
      </c>
      <c r="AL58" s="905" t="s">
        <v>16491</v>
      </c>
      <c r="AM58" s="905" t="s">
        <v>16492</v>
      </c>
      <c r="AN58" s="964" t="s">
        <v>16493</v>
      </c>
      <c r="AO58" s="961"/>
      <c r="AP58" s="197"/>
      <c r="AQ58" s="197"/>
      <c r="AR58" s="197"/>
      <c r="AS58" s="197"/>
    </row>
    <row r="59" spans="1:45" s="4" customFormat="1" ht="15.75" customHeight="1">
      <c r="A59" s="197"/>
      <c r="B59" s="403" t="s">
        <v>8535</v>
      </c>
      <c r="C59" s="2092">
        <v>0</v>
      </c>
      <c r="D59" s="697">
        <v>0</v>
      </c>
      <c r="E59" s="697">
        <v>0</v>
      </c>
      <c r="F59" s="697">
        <v>438.48399999999998</v>
      </c>
      <c r="G59" s="1597">
        <f t="shared" si="43"/>
        <v>438.48399999999998</v>
      </c>
      <c r="H59" s="2092">
        <v>50.524999999999999</v>
      </c>
      <c r="I59" s="697">
        <v>0</v>
      </c>
      <c r="J59" s="1611">
        <v>0.156</v>
      </c>
      <c r="K59" s="1612">
        <v>1.95E-2</v>
      </c>
      <c r="L59" s="197"/>
      <c r="M59" s="290" t="s">
        <v>8781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8535</v>
      </c>
      <c r="AF59" s="962" t="s">
        <v>16494</v>
      </c>
      <c r="AG59" s="905" t="s">
        <v>16495</v>
      </c>
      <c r="AH59" s="905" t="s">
        <v>16496</v>
      </c>
      <c r="AI59" s="905" t="s">
        <v>16497</v>
      </c>
      <c r="AJ59" s="963" t="s">
        <v>16498</v>
      </c>
      <c r="AK59" s="962" t="s">
        <v>16499</v>
      </c>
      <c r="AL59" s="905" t="s">
        <v>16500</v>
      </c>
      <c r="AM59" s="905" t="s">
        <v>16501</v>
      </c>
      <c r="AN59" s="964" t="s">
        <v>16502</v>
      </c>
      <c r="AO59" s="961"/>
      <c r="AP59" s="197"/>
      <c r="AQ59" s="197"/>
      <c r="AR59" s="197"/>
      <c r="AS59" s="197"/>
    </row>
    <row r="60" spans="1:45" s="4" customFormat="1" ht="15.75" customHeight="1">
      <c r="A60" s="197"/>
      <c r="B60" s="403" t="s">
        <v>8546</v>
      </c>
      <c r="C60" s="2092">
        <v>0</v>
      </c>
      <c r="D60" s="697">
        <v>0</v>
      </c>
      <c r="E60" s="697">
        <v>0</v>
      </c>
      <c r="F60" s="697">
        <v>0</v>
      </c>
      <c r="G60" s="1597">
        <f t="shared" si="43"/>
        <v>0</v>
      </c>
      <c r="H60" s="2092">
        <v>0</v>
      </c>
      <c r="I60" s="697">
        <v>0</v>
      </c>
      <c r="J60" s="1611">
        <v>0</v>
      </c>
      <c r="K60" s="1612">
        <v>0</v>
      </c>
      <c r="L60" s="197"/>
      <c r="M60" s="290" t="s">
        <v>8782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8546</v>
      </c>
      <c r="AF60" s="962" t="s">
        <v>16503</v>
      </c>
      <c r="AG60" s="905" t="s">
        <v>16504</v>
      </c>
      <c r="AH60" s="905" t="s">
        <v>16505</v>
      </c>
      <c r="AI60" s="905" t="s">
        <v>16506</v>
      </c>
      <c r="AJ60" s="963" t="s">
        <v>16507</v>
      </c>
      <c r="AK60" s="962" t="s">
        <v>16508</v>
      </c>
      <c r="AL60" s="905" t="s">
        <v>16509</v>
      </c>
      <c r="AM60" s="905" t="s">
        <v>16510</v>
      </c>
      <c r="AN60" s="964" t="s">
        <v>16511</v>
      </c>
      <c r="AO60" s="961"/>
      <c r="AP60" s="197"/>
      <c r="AQ60" s="197"/>
      <c r="AR60" s="197"/>
      <c r="AS60" s="197"/>
    </row>
    <row r="61" spans="1:45" s="4" customFormat="1" ht="15.75" customHeight="1">
      <c r="A61" s="197"/>
      <c r="B61" s="403" t="s">
        <v>8557</v>
      </c>
      <c r="C61" s="2092">
        <v>0</v>
      </c>
      <c r="D61" s="697">
        <v>0</v>
      </c>
      <c r="E61" s="697">
        <v>0</v>
      </c>
      <c r="F61" s="697">
        <v>0</v>
      </c>
      <c r="G61" s="1597">
        <f t="shared" si="43"/>
        <v>0</v>
      </c>
      <c r="H61" s="2092">
        <v>0</v>
      </c>
      <c r="I61" s="697">
        <v>0</v>
      </c>
      <c r="J61" s="1611">
        <v>0</v>
      </c>
      <c r="K61" s="1612">
        <v>0</v>
      </c>
      <c r="L61" s="197"/>
      <c r="M61" s="290" t="s">
        <v>8783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8557</v>
      </c>
      <c r="AF61" s="962" t="s">
        <v>16512</v>
      </c>
      <c r="AG61" s="905" t="s">
        <v>16513</v>
      </c>
      <c r="AH61" s="905" t="s">
        <v>16514</v>
      </c>
      <c r="AI61" s="905" t="s">
        <v>16515</v>
      </c>
      <c r="AJ61" s="963" t="s">
        <v>16516</v>
      </c>
      <c r="AK61" s="962" t="s">
        <v>16517</v>
      </c>
      <c r="AL61" s="905" t="s">
        <v>16518</v>
      </c>
      <c r="AM61" s="905" t="s">
        <v>16519</v>
      </c>
      <c r="AN61" s="964" t="s">
        <v>16520</v>
      </c>
      <c r="AO61" s="961"/>
      <c r="AP61" s="197"/>
      <c r="AQ61" s="197"/>
      <c r="AR61" s="197"/>
      <c r="AS61" s="197"/>
    </row>
    <row r="62" spans="1:45" s="4" customFormat="1" ht="15.75" customHeight="1">
      <c r="A62" s="197"/>
      <c r="B62" s="403" t="s">
        <v>8568</v>
      </c>
      <c r="C62" s="2092">
        <v>0</v>
      </c>
      <c r="D62" s="697">
        <v>0</v>
      </c>
      <c r="E62" s="697">
        <v>0</v>
      </c>
      <c r="F62" s="697">
        <v>0</v>
      </c>
      <c r="G62" s="1597">
        <f t="shared" si="43"/>
        <v>0</v>
      </c>
      <c r="H62" s="2092">
        <v>0</v>
      </c>
      <c r="I62" s="697">
        <v>0</v>
      </c>
      <c r="J62" s="1611">
        <v>0</v>
      </c>
      <c r="K62" s="1612">
        <v>0</v>
      </c>
      <c r="L62" s="197"/>
      <c r="M62" s="290" t="s">
        <v>8784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8568</v>
      </c>
      <c r="AF62" s="962" t="s">
        <v>16521</v>
      </c>
      <c r="AG62" s="905" t="s">
        <v>16522</v>
      </c>
      <c r="AH62" s="905" t="s">
        <v>16523</v>
      </c>
      <c r="AI62" s="905" t="s">
        <v>16524</v>
      </c>
      <c r="AJ62" s="963" t="s">
        <v>16525</v>
      </c>
      <c r="AK62" s="962" t="s">
        <v>16526</v>
      </c>
      <c r="AL62" s="905" t="s">
        <v>16527</v>
      </c>
      <c r="AM62" s="905" t="s">
        <v>16528</v>
      </c>
      <c r="AN62" s="964" t="s">
        <v>16529</v>
      </c>
      <c r="AO62" s="961"/>
      <c r="AP62" s="197"/>
      <c r="AQ62" s="197"/>
      <c r="AR62" s="197"/>
      <c r="AS62" s="197"/>
    </row>
    <row r="63" spans="1:45" s="4" customFormat="1" ht="15.75" customHeight="1">
      <c r="A63" s="197"/>
      <c r="B63" s="403" t="s">
        <v>8579</v>
      </c>
      <c r="C63" s="2092">
        <v>0</v>
      </c>
      <c r="D63" s="697">
        <v>0</v>
      </c>
      <c r="E63" s="697">
        <v>0</v>
      </c>
      <c r="F63" s="697">
        <v>0</v>
      </c>
      <c r="G63" s="1597">
        <f t="shared" si="43"/>
        <v>0</v>
      </c>
      <c r="H63" s="2092">
        <v>0</v>
      </c>
      <c r="I63" s="697">
        <v>0</v>
      </c>
      <c r="J63" s="1611">
        <v>0</v>
      </c>
      <c r="K63" s="1612">
        <v>0</v>
      </c>
      <c r="L63" s="197"/>
      <c r="M63" s="290" t="s">
        <v>8785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8579</v>
      </c>
      <c r="AF63" s="962" t="s">
        <v>16530</v>
      </c>
      <c r="AG63" s="905" t="s">
        <v>16531</v>
      </c>
      <c r="AH63" s="905" t="s">
        <v>16532</v>
      </c>
      <c r="AI63" s="905" t="s">
        <v>16533</v>
      </c>
      <c r="AJ63" s="963" t="s">
        <v>16534</v>
      </c>
      <c r="AK63" s="962" t="s">
        <v>16535</v>
      </c>
      <c r="AL63" s="905" t="s">
        <v>16536</v>
      </c>
      <c r="AM63" s="905" t="s">
        <v>16537</v>
      </c>
      <c r="AN63" s="964" t="s">
        <v>16538</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438.48399999999998</v>
      </c>
      <c r="G64" s="1589">
        <f t="shared" si="43"/>
        <v>438.48399999999998</v>
      </c>
      <c r="H64" s="1589">
        <f>IFERROR(SUM(H57:H63), 0)</f>
        <v>50.524999999999999</v>
      </c>
      <c r="I64" s="1589">
        <f>IFERROR(SUM(I57:I63), 0)</f>
        <v>0</v>
      </c>
      <c r="J64" s="1613"/>
      <c r="K64" s="1614"/>
      <c r="L64" s="197"/>
      <c r="M64" s="576" t="s">
        <v>8786</v>
      </c>
      <c r="N64" s="197"/>
      <c r="O64" s="302"/>
      <c r="P64" s="197"/>
      <c r="Q64" s="828"/>
      <c r="R64" s="284"/>
      <c r="S64" s="828"/>
      <c r="T64" s="197"/>
      <c r="U64" s="197"/>
      <c r="V64" s="197"/>
      <c r="W64" s="197"/>
      <c r="X64" s="197"/>
      <c r="Y64" s="197"/>
      <c r="Z64" s="197"/>
      <c r="AA64" s="197"/>
      <c r="AB64" s="197"/>
      <c r="AC64" s="828"/>
      <c r="AD64" s="197"/>
      <c r="AE64" s="406" t="s">
        <v>4425</v>
      </c>
      <c r="AF64" s="965" t="s">
        <v>16539</v>
      </c>
      <c r="AG64" s="679" t="s">
        <v>16540</v>
      </c>
      <c r="AH64" s="679" t="s">
        <v>16541</v>
      </c>
      <c r="AI64" s="679" t="s">
        <v>16542</v>
      </c>
      <c r="AJ64" s="679" t="s">
        <v>16543</v>
      </c>
      <c r="AK64" s="679" t="s">
        <v>16544</v>
      </c>
      <c r="AL64" s="679" t="s">
        <v>16545</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8787</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8598</v>
      </c>
      <c r="C66" s="729"/>
      <c r="D66" s="1603"/>
      <c r="E66" s="1603"/>
      <c r="F66" s="1603"/>
      <c r="G66" s="1603"/>
      <c r="H66" s="1603"/>
      <c r="I66" s="1603"/>
      <c r="J66" s="1615"/>
      <c r="K66" s="1615"/>
      <c r="L66" s="197"/>
      <c r="M66" s="242" t="s">
        <v>8787</v>
      </c>
      <c r="N66" s="197"/>
      <c r="O66" s="197"/>
      <c r="P66" s="197"/>
      <c r="Q66" s="828"/>
      <c r="R66" s="284"/>
      <c r="S66" s="828"/>
      <c r="T66" s="197"/>
      <c r="U66" s="197"/>
      <c r="V66" s="197"/>
      <c r="W66" s="197"/>
      <c r="X66" s="197"/>
      <c r="Y66" s="197"/>
      <c r="Z66" s="197"/>
      <c r="AA66" s="197"/>
      <c r="AB66" s="197"/>
      <c r="AC66" s="828"/>
      <c r="AD66" s="197"/>
      <c r="AE66" s="393" t="s">
        <v>8598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8599</v>
      </c>
      <c r="C67" s="2091">
        <v>0</v>
      </c>
      <c r="D67" s="694">
        <v>0</v>
      </c>
      <c r="E67" s="694">
        <v>0</v>
      </c>
      <c r="F67" s="694">
        <v>0</v>
      </c>
      <c r="G67" s="1595">
        <f>IFERROR(SUM(C67:F67),0)</f>
        <v>0</v>
      </c>
      <c r="H67" s="694">
        <v>0</v>
      </c>
      <c r="I67" s="694">
        <v>0</v>
      </c>
      <c r="J67" s="1616"/>
      <c r="K67" s="1617"/>
      <c r="L67" s="197"/>
      <c r="M67" s="281" t="s">
        <v>8788</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8599</v>
      </c>
      <c r="AF67" s="958" t="s">
        <v>16546</v>
      </c>
      <c r="AG67" s="904" t="s">
        <v>16547</v>
      </c>
      <c r="AH67" s="904" t="s">
        <v>16548</v>
      </c>
      <c r="AI67" s="904" t="s">
        <v>16549</v>
      </c>
      <c r="AJ67" s="959" t="s">
        <v>16550</v>
      </c>
      <c r="AK67" s="904" t="s">
        <v>16551</v>
      </c>
      <c r="AL67" s="904" t="s">
        <v>16552</v>
      </c>
      <c r="AM67" s="973"/>
      <c r="AN67" s="974"/>
      <c r="AO67" s="961"/>
      <c r="AP67" s="197"/>
      <c r="AQ67" s="197"/>
      <c r="AR67" s="197"/>
      <c r="AS67" s="197"/>
    </row>
    <row r="68" spans="1:45" s="4" customFormat="1" ht="15.75" customHeight="1">
      <c r="A68" s="197"/>
      <c r="B68" s="403" t="s">
        <v>8608</v>
      </c>
      <c r="C68" s="2092">
        <v>0</v>
      </c>
      <c r="D68" s="697">
        <v>0</v>
      </c>
      <c r="E68" s="697">
        <v>0</v>
      </c>
      <c r="F68" s="697">
        <v>0</v>
      </c>
      <c r="G68" s="1597">
        <f>IFERROR(SUM(C68:F68),0)</f>
        <v>0</v>
      </c>
      <c r="H68" s="697">
        <v>0</v>
      </c>
      <c r="I68" s="697">
        <v>0</v>
      </c>
      <c r="J68" s="1618"/>
      <c r="K68" s="1619"/>
      <c r="L68" s="197"/>
      <c r="M68" s="290" t="s">
        <v>8789</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8608</v>
      </c>
      <c r="AF68" s="962" t="s">
        <v>16553</v>
      </c>
      <c r="AG68" s="905" t="s">
        <v>16554</v>
      </c>
      <c r="AH68" s="905" t="s">
        <v>16555</v>
      </c>
      <c r="AI68" s="905" t="s">
        <v>16556</v>
      </c>
      <c r="AJ68" s="963" t="s">
        <v>16557</v>
      </c>
      <c r="AK68" s="905" t="s">
        <v>16558</v>
      </c>
      <c r="AL68" s="905" t="s">
        <v>16559</v>
      </c>
      <c r="AM68" s="975"/>
      <c r="AN68" s="976"/>
      <c r="AO68" s="961"/>
      <c r="AP68" s="197"/>
      <c r="AQ68" s="197"/>
      <c r="AR68" s="197"/>
      <c r="AS68" s="197"/>
    </row>
    <row r="69" spans="1:45" s="4" customFormat="1" ht="15.75" customHeight="1">
      <c r="A69" s="197"/>
      <c r="B69" s="403" t="s">
        <v>8617</v>
      </c>
      <c r="C69" s="2092">
        <v>0</v>
      </c>
      <c r="D69" s="697">
        <v>0</v>
      </c>
      <c r="E69" s="697">
        <v>0</v>
      </c>
      <c r="F69" s="697">
        <v>0</v>
      </c>
      <c r="G69" s="1597">
        <f>IFERROR(SUM(C69:F69),0)</f>
        <v>0</v>
      </c>
      <c r="H69" s="697">
        <v>0</v>
      </c>
      <c r="I69" s="697">
        <v>0</v>
      </c>
      <c r="J69" s="1618"/>
      <c r="K69" s="1619"/>
      <c r="L69" s="197"/>
      <c r="M69" s="290" t="s">
        <v>8790</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8617</v>
      </c>
      <c r="AF69" s="962" t="s">
        <v>16560</v>
      </c>
      <c r="AG69" s="905" t="s">
        <v>16561</v>
      </c>
      <c r="AH69" s="905" t="s">
        <v>16562</v>
      </c>
      <c r="AI69" s="905" t="s">
        <v>16563</v>
      </c>
      <c r="AJ69" s="963" t="s">
        <v>16564</v>
      </c>
      <c r="AK69" s="905" t="s">
        <v>16565</v>
      </c>
      <c r="AL69" s="905" t="s">
        <v>16566</v>
      </c>
      <c r="AM69" s="975"/>
      <c r="AN69" s="976"/>
      <c r="AO69" s="961"/>
      <c r="AP69" s="197"/>
      <c r="AQ69" s="197"/>
      <c r="AR69" s="197"/>
      <c r="AS69" s="197"/>
    </row>
    <row r="70" spans="1:45" s="4" customFormat="1" ht="15.75" customHeight="1">
      <c r="A70" s="197"/>
      <c r="B70" s="403" t="s">
        <v>8626</v>
      </c>
      <c r="C70" s="2092">
        <v>0</v>
      </c>
      <c r="D70" s="697">
        <v>0</v>
      </c>
      <c r="E70" s="697">
        <v>0</v>
      </c>
      <c r="F70" s="697">
        <v>0</v>
      </c>
      <c r="G70" s="1597">
        <f>IFERROR(SUM(C70:F70),0)</f>
        <v>0</v>
      </c>
      <c r="H70" s="697">
        <v>0</v>
      </c>
      <c r="I70" s="697">
        <v>0</v>
      </c>
      <c r="J70" s="1618"/>
      <c r="K70" s="1619"/>
      <c r="L70" s="197"/>
      <c r="M70" s="290" t="s">
        <v>8791</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8626</v>
      </c>
      <c r="AF70" s="962" t="s">
        <v>16567</v>
      </c>
      <c r="AG70" s="905" t="s">
        <v>16568</v>
      </c>
      <c r="AH70" s="905" t="s">
        <v>16569</v>
      </c>
      <c r="AI70" s="905" t="s">
        <v>16570</v>
      </c>
      <c r="AJ70" s="963" t="s">
        <v>16571</v>
      </c>
      <c r="AK70" s="905" t="s">
        <v>16572</v>
      </c>
      <c r="AL70" s="905" t="s">
        <v>16573</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8792</v>
      </c>
      <c r="N71" s="197"/>
      <c r="O71" s="302"/>
      <c r="P71" s="197"/>
      <c r="Q71" s="828"/>
      <c r="R71" s="284"/>
      <c r="S71" s="828"/>
      <c r="T71" s="197"/>
      <c r="U71" s="197"/>
      <c r="V71" s="197"/>
      <c r="W71" s="197"/>
      <c r="X71" s="197"/>
      <c r="Y71" s="197"/>
      <c r="Z71" s="197"/>
      <c r="AA71" s="197"/>
      <c r="AB71" s="197"/>
      <c r="AC71" s="828"/>
      <c r="AD71" s="197"/>
      <c r="AE71" s="406" t="s">
        <v>4425</v>
      </c>
      <c r="AF71" s="965" t="s">
        <v>16574</v>
      </c>
      <c r="AG71" s="679" t="s">
        <v>16575</v>
      </c>
      <c r="AH71" s="679" t="s">
        <v>16576</v>
      </c>
      <c r="AI71" s="679" t="s">
        <v>16577</v>
      </c>
      <c r="AJ71" s="679" t="s">
        <v>16578</v>
      </c>
      <c r="AK71" s="679" t="s">
        <v>16579</v>
      </c>
      <c r="AL71" s="679" t="s">
        <v>16580</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8787</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8643</v>
      </c>
      <c r="C73" s="729"/>
      <c r="D73" s="1603"/>
      <c r="E73" s="1603"/>
      <c r="F73" s="1603"/>
      <c r="G73" s="1603"/>
      <c r="H73" s="1603"/>
      <c r="I73" s="1603"/>
      <c r="J73" s="1615"/>
      <c r="K73" s="1615"/>
      <c r="L73" s="197"/>
      <c r="M73" s="242" t="s">
        <v>8787</v>
      </c>
      <c r="N73" s="197"/>
      <c r="O73" s="197"/>
      <c r="P73" s="197"/>
      <c r="Q73" s="828"/>
      <c r="R73" s="284"/>
      <c r="S73" s="828"/>
      <c r="T73" s="197"/>
      <c r="U73" s="197"/>
      <c r="V73" s="197"/>
      <c r="W73" s="197"/>
      <c r="X73" s="197"/>
      <c r="Y73" s="197"/>
      <c r="Z73" s="197"/>
      <c r="AA73" s="197"/>
      <c r="AB73" s="197"/>
      <c r="AC73" s="828"/>
      <c r="AD73" s="197"/>
      <c r="AE73" s="393" t="s">
        <v>8643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8644</v>
      </c>
      <c r="C74" s="2091">
        <v>0</v>
      </c>
      <c r="D74" s="694">
        <v>0</v>
      </c>
      <c r="E74" s="694">
        <v>0</v>
      </c>
      <c r="F74" s="694">
        <v>0</v>
      </c>
      <c r="G74" s="1595">
        <f>IFERROR(SUM(C74:F74),0)</f>
        <v>0</v>
      </c>
      <c r="H74" s="694">
        <v>0</v>
      </c>
      <c r="I74" s="694">
        <v>0</v>
      </c>
      <c r="J74" s="1616"/>
      <c r="K74" s="1617"/>
      <c r="L74" s="197"/>
      <c r="M74" s="281" t="s">
        <v>8793</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8644</v>
      </c>
      <c r="AF74" s="958" t="s">
        <v>16581</v>
      </c>
      <c r="AG74" s="904" t="s">
        <v>16582</v>
      </c>
      <c r="AH74" s="904" t="s">
        <v>16583</v>
      </c>
      <c r="AI74" s="904" t="s">
        <v>16584</v>
      </c>
      <c r="AJ74" s="959" t="s">
        <v>16585</v>
      </c>
      <c r="AK74" s="904" t="s">
        <v>16586</v>
      </c>
      <c r="AL74" s="904" t="s">
        <v>16587</v>
      </c>
      <c r="AM74" s="973"/>
      <c r="AN74" s="974"/>
      <c r="AO74" s="961"/>
      <c r="AP74" s="197"/>
      <c r="AQ74" s="197"/>
      <c r="AR74" s="197"/>
      <c r="AS74" s="197"/>
    </row>
    <row r="75" spans="1:45" s="4" customFormat="1" ht="15.75" customHeight="1">
      <c r="A75" s="197"/>
      <c r="B75" s="403" t="s">
        <v>8653</v>
      </c>
      <c r="C75" s="2092">
        <v>0</v>
      </c>
      <c r="D75" s="697">
        <v>0</v>
      </c>
      <c r="E75" s="697">
        <v>0</v>
      </c>
      <c r="F75" s="697">
        <v>0</v>
      </c>
      <c r="G75" s="1597">
        <f>IFERROR(SUM(C75:F75),0)</f>
        <v>0</v>
      </c>
      <c r="H75" s="697">
        <v>0</v>
      </c>
      <c r="I75" s="697">
        <v>0</v>
      </c>
      <c r="J75" s="1618"/>
      <c r="K75" s="1619"/>
      <c r="L75" s="197"/>
      <c r="M75" s="290" t="s">
        <v>8794</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8653</v>
      </c>
      <c r="AF75" s="962" t="s">
        <v>16588</v>
      </c>
      <c r="AG75" s="905" t="s">
        <v>16589</v>
      </c>
      <c r="AH75" s="905" t="s">
        <v>16590</v>
      </c>
      <c r="AI75" s="905" t="s">
        <v>16591</v>
      </c>
      <c r="AJ75" s="963" t="s">
        <v>16592</v>
      </c>
      <c r="AK75" s="905" t="s">
        <v>16593</v>
      </c>
      <c r="AL75" s="905" t="s">
        <v>16594</v>
      </c>
      <c r="AM75" s="975"/>
      <c r="AN75" s="976"/>
      <c r="AO75" s="961"/>
      <c r="AP75" s="197"/>
      <c r="AQ75" s="197"/>
      <c r="AR75" s="197"/>
      <c r="AS75" s="197"/>
    </row>
    <row r="76" spans="1:45" s="4" customFormat="1" ht="15.75" customHeight="1">
      <c r="A76" s="197"/>
      <c r="B76" s="403" t="s">
        <v>8662</v>
      </c>
      <c r="C76" s="2092">
        <v>0</v>
      </c>
      <c r="D76" s="697">
        <v>0</v>
      </c>
      <c r="E76" s="697">
        <v>0</v>
      </c>
      <c r="F76" s="697">
        <v>0</v>
      </c>
      <c r="G76" s="1597">
        <f>IFERROR(SUM(C76:F76),0)</f>
        <v>0</v>
      </c>
      <c r="H76" s="697">
        <v>0</v>
      </c>
      <c r="I76" s="697">
        <v>0</v>
      </c>
      <c r="J76" s="1618"/>
      <c r="K76" s="1619"/>
      <c r="L76" s="197"/>
      <c r="M76" s="290" t="s">
        <v>8795</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8662</v>
      </c>
      <c r="AF76" s="962" t="s">
        <v>16595</v>
      </c>
      <c r="AG76" s="905" t="s">
        <v>16596</v>
      </c>
      <c r="AH76" s="905" t="s">
        <v>16597</v>
      </c>
      <c r="AI76" s="905" t="s">
        <v>16598</v>
      </c>
      <c r="AJ76" s="963" t="s">
        <v>16599</v>
      </c>
      <c r="AK76" s="905" t="s">
        <v>16600</v>
      </c>
      <c r="AL76" s="905" t="s">
        <v>16601</v>
      </c>
      <c r="AM76" s="975"/>
      <c r="AN76" s="976"/>
      <c r="AO76" s="961"/>
      <c r="AP76" s="197"/>
      <c r="AQ76" s="197"/>
      <c r="AR76" s="197"/>
      <c r="AS76" s="197"/>
    </row>
    <row r="77" spans="1:45" s="4" customFormat="1" ht="15.75" customHeight="1">
      <c r="A77" s="197"/>
      <c r="B77" s="403" t="s">
        <v>8671</v>
      </c>
      <c r="C77" s="2092">
        <v>0</v>
      </c>
      <c r="D77" s="697">
        <v>0</v>
      </c>
      <c r="E77" s="697">
        <v>0</v>
      </c>
      <c r="F77" s="697">
        <v>0</v>
      </c>
      <c r="G77" s="1597">
        <f>IFERROR(SUM(C77:F77),0)</f>
        <v>0</v>
      </c>
      <c r="H77" s="697">
        <v>0</v>
      </c>
      <c r="I77" s="697">
        <v>0</v>
      </c>
      <c r="J77" s="1618"/>
      <c r="K77" s="1619"/>
      <c r="L77" s="197"/>
      <c r="M77" s="290" t="s">
        <v>8796</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8671</v>
      </c>
      <c r="AF77" s="962" t="s">
        <v>16602</v>
      </c>
      <c r="AG77" s="905" t="s">
        <v>16603</v>
      </c>
      <c r="AH77" s="905" t="s">
        <v>16604</v>
      </c>
      <c r="AI77" s="905" t="s">
        <v>16605</v>
      </c>
      <c r="AJ77" s="963" t="s">
        <v>16606</v>
      </c>
      <c r="AK77" s="905" t="s">
        <v>16607</v>
      </c>
      <c r="AL77" s="905" t="s">
        <v>16608</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8797</v>
      </c>
      <c r="N78" s="197"/>
      <c r="O78" s="302"/>
      <c r="P78" s="197"/>
      <c r="Q78" s="828"/>
      <c r="R78" s="284"/>
      <c r="S78" s="828"/>
      <c r="T78" s="197"/>
      <c r="U78" s="197"/>
      <c r="V78" s="197"/>
      <c r="W78" s="197"/>
      <c r="X78" s="197"/>
      <c r="Y78" s="197"/>
      <c r="Z78" s="197"/>
      <c r="AA78" s="197"/>
      <c r="AB78" s="197"/>
      <c r="AC78" s="828"/>
      <c r="AD78" s="197"/>
      <c r="AE78" s="406" t="s">
        <v>4425</v>
      </c>
      <c r="AF78" s="965" t="s">
        <v>16609</v>
      </c>
      <c r="AG78" s="679" t="s">
        <v>16610</v>
      </c>
      <c r="AH78" s="679" t="s">
        <v>16611</v>
      </c>
      <c r="AI78" s="679" t="s">
        <v>16612</v>
      </c>
      <c r="AJ78" s="679" t="s">
        <v>16613</v>
      </c>
      <c r="AK78" s="679" t="s">
        <v>16614</v>
      </c>
      <c r="AL78" s="679" t="s">
        <v>16615</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8787</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8688</v>
      </c>
      <c r="C80" s="729"/>
      <c r="D80" s="1603"/>
      <c r="E80" s="1603"/>
      <c r="F80" s="1603"/>
      <c r="G80" s="1603"/>
      <c r="H80" s="1603"/>
      <c r="I80" s="1603"/>
      <c r="J80" s="1615"/>
      <c r="K80" s="1615"/>
      <c r="L80" s="197"/>
      <c r="M80" s="242" t="s">
        <v>8787</v>
      </c>
      <c r="N80" s="197"/>
      <c r="O80" s="197"/>
      <c r="P80" s="197"/>
      <c r="Q80" s="828"/>
      <c r="R80" s="284"/>
      <c r="S80" s="828"/>
      <c r="T80" s="197"/>
      <c r="U80" s="197"/>
      <c r="V80" s="197"/>
      <c r="W80" s="197"/>
      <c r="X80" s="197"/>
      <c r="Y80" s="197"/>
      <c r="Z80" s="197"/>
      <c r="AA80" s="197"/>
      <c r="AB80" s="197"/>
      <c r="AC80" s="828"/>
      <c r="AD80" s="197"/>
      <c r="AE80" s="393" t="s">
        <v>8688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8689</v>
      </c>
      <c r="C81" s="2091">
        <v>0</v>
      </c>
      <c r="D81" s="694">
        <v>0</v>
      </c>
      <c r="E81" s="694">
        <v>0</v>
      </c>
      <c r="F81" s="694">
        <v>0</v>
      </c>
      <c r="G81" s="1595">
        <f t="shared" ref="G81:G88" si="51">IFERROR(SUM(C81:F81),0)</f>
        <v>0</v>
      </c>
      <c r="H81" s="694">
        <v>0</v>
      </c>
      <c r="I81" s="694">
        <v>0</v>
      </c>
      <c r="J81" s="1616"/>
      <c r="K81" s="1617"/>
      <c r="L81" s="197"/>
      <c r="M81" s="281" t="s">
        <v>8798</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8689</v>
      </c>
      <c r="AF81" s="958" t="s">
        <v>16616</v>
      </c>
      <c r="AG81" s="904" t="s">
        <v>16617</v>
      </c>
      <c r="AH81" s="904" t="s">
        <v>16618</v>
      </c>
      <c r="AI81" s="904" t="s">
        <v>16619</v>
      </c>
      <c r="AJ81" s="959" t="s">
        <v>16620</v>
      </c>
      <c r="AK81" s="904" t="s">
        <v>16621</v>
      </c>
      <c r="AL81" s="904" t="s">
        <v>16622</v>
      </c>
      <c r="AM81" s="973"/>
      <c r="AN81" s="974"/>
      <c r="AO81" s="961"/>
      <c r="AP81" s="197"/>
      <c r="AQ81" s="197"/>
      <c r="AR81" s="197"/>
      <c r="AS81" s="197"/>
    </row>
    <row r="82" spans="1:45" s="4" customFormat="1" ht="15.75" customHeight="1">
      <c r="A82" s="197"/>
      <c r="B82" s="403" t="s">
        <v>8698</v>
      </c>
      <c r="C82" s="2092">
        <v>0</v>
      </c>
      <c r="D82" s="697">
        <v>0</v>
      </c>
      <c r="E82" s="697">
        <v>0</v>
      </c>
      <c r="F82" s="697">
        <v>0</v>
      </c>
      <c r="G82" s="1597">
        <f t="shared" si="51"/>
        <v>0</v>
      </c>
      <c r="H82" s="697">
        <v>0</v>
      </c>
      <c r="I82" s="697">
        <v>0</v>
      </c>
      <c r="J82" s="1618"/>
      <c r="K82" s="1619"/>
      <c r="L82" s="197"/>
      <c r="M82" s="290" t="s">
        <v>8799</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8698</v>
      </c>
      <c r="AF82" s="962" t="s">
        <v>16623</v>
      </c>
      <c r="AG82" s="905" t="s">
        <v>16624</v>
      </c>
      <c r="AH82" s="905" t="s">
        <v>16625</v>
      </c>
      <c r="AI82" s="905" t="s">
        <v>16626</v>
      </c>
      <c r="AJ82" s="963" t="s">
        <v>16627</v>
      </c>
      <c r="AK82" s="905" t="s">
        <v>16628</v>
      </c>
      <c r="AL82" s="905" t="s">
        <v>16629</v>
      </c>
      <c r="AM82" s="975"/>
      <c r="AN82" s="976"/>
      <c r="AO82" s="961"/>
      <c r="AP82" s="197"/>
      <c r="AQ82" s="197"/>
      <c r="AR82" s="197"/>
      <c r="AS82" s="197"/>
    </row>
    <row r="83" spans="1:45" s="4" customFormat="1" ht="15.75" customHeight="1">
      <c r="A83" s="197"/>
      <c r="B83" s="403" t="s">
        <v>8707</v>
      </c>
      <c r="C83" s="2092">
        <v>0</v>
      </c>
      <c r="D83" s="697">
        <v>0</v>
      </c>
      <c r="E83" s="697">
        <v>0</v>
      </c>
      <c r="F83" s="697">
        <v>0</v>
      </c>
      <c r="G83" s="1597">
        <f t="shared" si="51"/>
        <v>0</v>
      </c>
      <c r="H83" s="697">
        <v>0</v>
      </c>
      <c r="I83" s="697">
        <v>0</v>
      </c>
      <c r="J83" s="1618"/>
      <c r="K83" s="1619"/>
      <c r="L83" s="197"/>
      <c r="M83" s="290" t="s">
        <v>8800</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8707</v>
      </c>
      <c r="AF83" s="962" t="s">
        <v>16630</v>
      </c>
      <c r="AG83" s="905" t="s">
        <v>16631</v>
      </c>
      <c r="AH83" s="905" t="s">
        <v>16632</v>
      </c>
      <c r="AI83" s="905" t="s">
        <v>16633</v>
      </c>
      <c r="AJ83" s="963" t="s">
        <v>16634</v>
      </c>
      <c r="AK83" s="905" t="s">
        <v>16635</v>
      </c>
      <c r="AL83" s="905" t="s">
        <v>16636</v>
      </c>
      <c r="AM83" s="975"/>
      <c r="AN83" s="976"/>
      <c r="AO83" s="961"/>
      <c r="AP83" s="197"/>
      <c r="AQ83" s="197"/>
      <c r="AR83" s="197"/>
      <c r="AS83" s="197"/>
    </row>
    <row r="84" spans="1:45" s="4" customFormat="1" ht="15.75" customHeight="1">
      <c r="A84" s="197"/>
      <c r="B84" s="403" t="s">
        <v>8716</v>
      </c>
      <c r="C84" s="2092">
        <v>0</v>
      </c>
      <c r="D84" s="697">
        <v>0</v>
      </c>
      <c r="E84" s="697">
        <v>0</v>
      </c>
      <c r="F84" s="697">
        <v>0</v>
      </c>
      <c r="G84" s="1597">
        <f t="shared" si="51"/>
        <v>0</v>
      </c>
      <c r="H84" s="697">
        <v>0</v>
      </c>
      <c r="I84" s="697">
        <v>0</v>
      </c>
      <c r="J84" s="1618"/>
      <c r="K84" s="1619"/>
      <c r="L84" s="197"/>
      <c r="M84" s="290" t="s">
        <v>8801</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8716</v>
      </c>
      <c r="AF84" s="962" t="s">
        <v>16637</v>
      </c>
      <c r="AG84" s="905" t="s">
        <v>16638</v>
      </c>
      <c r="AH84" s="905" t="s">
        <v>16639</v>
      </c>
      <c r="AI84" s="905" t="s">
        <v>16640</v>
      </c>
      <c r="AJ84" s="963" t="s">
        <v>16641</v>
      </c>
      <c r="AK84" s="905" t="s">
        <v>16642</v>
      </c>
      <c r="AL84" s="905" t="s">
        <v>16643</v>
      </c>
      <c r="AM84" s="975"/>
      <c r="AN84" s="976"/>
      <c r="AO84" s="961"/>
      <c r="AP84" s="197"/>
      <c r="AQ84" s="197"/>
      <c r="AR84" s="197"/>
      <c r="AS84" s="197"/>
    </row>
    <row r="85" spans="1:45" s="4" customFormat="1" ht="15.75" customHeight="1">
      <c r="A85" s="197"/>
      <c r="B85" s="403" t="s">
        <v>8725</v>
      </c>
      <c r="C85" s="2092">
        <v>0</v>
      </c>
      <c r="D85" s="697">
        <v>0</v>
      </c>
      <c r="E85" s="697">
        <v>0</v>
      </c>
      <c r="F85" s="697">
        <v>0</v>
      </c>
      <c r="G85" s="1597">
        <f t="shared" si="51"/>
        <v>0</v>
      </c>
      <c r="H85" s="697">
        <v>0</v>
      </c>
      <c r="I85" s="697">
        <v>0</v>
      </c>
      <c r="J85" s="1618"/>
      <c r="K85" s="1619"/>
      <c r="L85" s="197"/>
      <c r="M85" s="290" t="s">
        <v>8802</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8725</v>
      </c>
      <c r="AF85" s="962" t="s">
        <v>16644</v>
      </c>
      <c r="AG85" s="905" t="s">
        <v>16645</v>
      </c>
      <c r="AH85" s="905" t="s">
        <v>16646</v>
      </c>
      <c r="AI85" s="905" t="s">
        <v>16647</v>
      </c>
      <c r="AJ85" s="963" t="s">
        <v>16648</v>
      </c>
      <c r="AK85" s="905" t="s">
        <v>16649</v>
      </c>
      <c r="AL85" s="905" t="s">
        <v>16650</v>
      </c>
      <c r="AM85" s="975"/>
      <c r="AN85" s="976"/>
      <c r="AO85" s="961"/>
      <c r="AP85" s="197"/>
      <c r="AQ85" s="197"/>
      <c r="AR85" s="197"/>
      <c r="AS85" s="197"/>
    </row>
    <row r="86" spans="1:45" s="4" customFormat="1" ht="15.75" customHeight="1">
      <c r="A86" s="197"/>
      <c r="B86" s="403" t="s">
        <v>8734</v>
      </c>
      <c r="C86" s="2092">
        <v>0</v>
      </c>
      <c r="D86" s="697">
        <v>0</v>
      </c>
      <c r="E86" s="697">
        <v>0</v>
      </c>
      <c r="F86" s="697">
        <v>0</v>
      </c>
      <c r="G86" s="1597">
        <f t="shared" si="51"/>
        <v>0</v>
      </c>
      <c r="H86" s="697">
        <v>0</v>
      </c>
      <c r="I86" s="697">
        <v>0</v>
      </c>
      <c r="J86" s="1618"/>
      <c r="K86" s="1619"/>
      <c r="L86" s="197"/>
      <c r="M86" s="290" t="s">
        <v>8803</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8734</v>
      </c>
      <c r="AF86" s="962" t="s">
        <v>16651</v>
      </c>
      <c r="AG86" s="905" t="s">
        <v>16652</v>
      </c>
      <c r="AH86" s="905" t="s">
        <v>16653</v>
      </c>
      <c r="AI86" s="905" t="s">
        <v>16654</v>
      </c>
      <c r="AJ86" s="963" t="s">
        <v>16655</v>
      </c>
      <c r="AK86" s="905" t="s">
        <v>16656</v>
      </c>
      <c r="AL86" s="905" t="s">
        <v>16657</v>
      </c>
      <c r="AM86" s="975"/>
      <c r="AN86" s="976"/>
      <c r="AO86" s="961"/>
      <c r="AP86" s="197"/>
      <c r="AQ86" s="197"/>
      <c r="AR86" s="197"/>
      <c r="AS86" s="197"/>
    </row>
    <row r="87" spans="1:45" s="4" customFormat="1" ht="15.75" customHeight="1">
      <c r="A87" s="197"/>
      <c r="B87" s="403" t="s">
        <v>8743</v>
      </c>
      <c r="C87" s="2092">
        <v>0</v>
      </c>
      <c r="D87" s="697">
        <v>0</v>
      </c>
      <c r="E87" s="697">
        <v>0</v>
      </c>
      <c r="F87" s="697">
        <v>0</v>
      </c>
      <c r="G87" s="1597">
        <f t="shared" si="51"/>
        <v>0</v>
      </c>
      <c r="H87" s="697">
        <v>0</v>
      </c>
      <c r="I87" s="697">
        <v>0</v>
      </c>
      <c r="J87" s="1618"/>
      <c r="K87" s="1619"/>
      <c r="L87" s="197"/>
      <c r="M87" s="290" t="s">
        <v>8804</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8743</v>
      </c>
      <c r="AF87" s="962" t="s">
        <v>16658</v>
      </c>
      <c r="AG87" s="905" t="s">
        <v>16659</v>
      </c>
      <c r="AH87" s="905" t="s">
        <v>16660</v>
      </c>
      <c r="AI87" s="905" t="s">
        <v>16661</v>
      </c>
      <c r="AJ87" s="963" t="s">
        <v>16662</v>
      </c>
      <c r="AK87" s="905" t="s">
        <v>16663</v>
      </c>
      <c r="AL87" s="905" t="s">
        <v>16664</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8805</v>
      </c>
      <c r="N88" s="197"/>
      <c r="O88" s="302"/>
      <c r="P88" s="197"/>
      <c r="Q88" s="828"/>
      <c r="R88" s="284"/>
      <c r="S88" s="828"/>
      <c r="T88" s="197"/>
      <c r="U88" s="197"/>
      <c r="V88" s="197"/>
      <c r="W88" s="197"/>
      <c r="X88" s="197"/>
      <c r="Y88" s="197"/>
      <c r="Z88" s="197"/>
      <c r="AA88" s="197"/>
      <c r="AB88" s="197"/>
      <c r="AC88" s="828"/>
      <c r="AD88" s="197"/>
      <c r="AE88" s="406" t="s">
        <v>4425</v>
      </c>
      <c r="AF88" s="965" t="s">
        <v>16665</v>
      </c>
      <c r="AG88" s="679" t="s">
        <v>16666</v>
      </c>
      <c r="AH88" s="679" t="s">
        <v>16667</v>
      </c>
      <c r="AI88" s="679" t="s">
        <v>16668</v>
      </c>
      <c r="AJ88" s="679" t="s">
        <v>16669</v>
      </c>
      <c r="AK88" s="679" t="s">
        <v>16670</v>
      </c>
      <c r="AL88" s="679" t="s">
        <v>16671</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8787</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8760</v>
      </c>
      <c r="C90" s="729"/>
      <c r="D90" s="1603"/>
      <c r="E90" s="1603"/>
      <c r="F90" s="1603"/>
      <c r="G90" s="1603"/>
      <c r="H90" s="1603"/>
      <c r="I90" s="1603"/>
      <c r="J90" s="1615"/>
      <c r="K90" s="1615"/>
      <c r="L90" s="197"/>
      <c r="M90" s="260" t="s">
        <v>8787</v>
      </c>
      <c r="N90" s="197"/>
      <c r="O90" s="197"/>
      <c r="P90" s="197"/>
      <c r="Q90" s="828"/>
      <c r="R90" s="284"/>
      <c r="S90" s="828"/>
      <c r="T90" s="197"/>
      <c r="U90" s="197"/>
      <c r="V90" s="197"/>
      <c r="W90" s="197"/>
      <c r="X90" s="197"/>
      <c r="Y90" s="197"/>
      <c r="Z90" s="197"/>
      <c r="AA90" s="197"/>
      <c r="AB90" s="197"/>
      <c r="AC90" s="828"/>
      <c r="AD90" s="197"/>
      <c r="AE90" s="393" t="s">
        <v>8760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8760</v>
      </c>
      <c r="C91" s="701">
        <v>0</v>
      </c>
      <c r="D91" s="701">
        <v>0</v>
      </c>
      <c r="E91" s="701">
        <v>0</v>
      </c>
      <c r="F91" s="701">
        <v>0</v>
      </c>
      <c r="G91" s="1586">
        <f>IFERROR(SUM(C91:F91),0)</f>
        <v>0</v>
      </c>
      <c r="H91" s="701">
        <v>0</v>
      </c>
      <c r="I91" s="701">
        <v>0</v>
      </c>
      <c r="J91" s="1620"/>
      <c r="K91" s="1621"/>
      <c r="L91" s="197"/>
      <c r="M91" s="374" t="s">
        <v>8806</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8760</v>
      </c>
      <c r="AF91" s="978" t="s">
        <v>16672</v>
      </c>
      <c r="AG91" s="978" t="s">
        <v>16673</v>
      </c>
      <c r="AH91" s="978" t="s">
        <v>16674</v>
      </c>
      <c r="AI91" s="978" t="s">
        <v>16675</v>
      </c>
      <c r="AJ91" s="979" t="s">
        <v>16676</v>
      </c>
      <c r="AK91" s="978" t="s">
        <v>16677</v>
      </c>
      <c r="AL91" s="978" t="s">
        <v>16678</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8787</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8769</v>
      </c>
      <c r="C93" s="2038">
        <f>IFERROR(SUM(C64,C71,C78,C88,C91), 0)</f>
        <v>0</v>
      </c>
      <c r="D93" s="1586">
        <f>IFERROR(SUM(D64,D71,D78,D88,D91), 0)</f>
        <v>0</v>
      </c>
      <c r="E93" s="1586">
        <f>IFERROR(SUM(E64,E71,E78,E88,E91), 0)</f>
        <v>0</v>
      </c>
      <c r="F93" s="1586">
        <f>IFERROR(SUM(F64,F71,F78,F88,F91), 0)</f>
        <v>438.48399999999998</v>
      </c>
      <c r="G93" s="1586">
        <f>IFERROR(SUM(C93:F93),0)</f>
        <v>438.48399999999998</v>
      </c>
      <c r="H93" s="1586">
        <f>IFERROR(SUM(H64,H71,H78,H88,H91), 0)</f>
        <v>50.524999999999999</v>
      </c>
      <c r="I93" s="1586">
        <f>IFERROR(SUM(I64,I71,I78,I88,I91), 0)</f>
        <v>0</v>
      </c>
      <c r="J93" s="1622"/>
      <c r="K93" s="1623"/>
      <c r="L93" s="389"/>
      <c r="M93" s="374" t="s">
        <v>8807</v>
      </c>
      <c r="N93" s="197"/>
      <c r="O93" s="982"/>
      <c r="P93" s="389"/>
      <c r="Q93" s="825"/>
      <c r="R93" s="284"/>
      <c r="S93" s="825"/>
      <c r="T93" s="197"/>
      <c r="U93" s="197"/>
      <c r="V93" s="197"/>
      <c r="W93" s="197"/>
      <c r="X93" s="197"/>
      <c r="Y93" s="197"/>
      <c r="Z93" s="197"/>
      <c r="AA93" s="197"/>
      <c r="AB93" s="197"/>
      <c r="AC93" s="825"/>
      <c r="AD93" s="389"/>
      <c r="AE93" s="420" t="s">
        <v>8769</v>
      </c>
      <c r="AF93" s="985" t="s">
        <v>16679</v>
      </c>
      <c r="AG93" s="372" t="s">
        <v>16680</v>
      </c>
      <c r="AH93" s="372" t="s">
        <v>16681</v>
      </c>
      <c r="AI93" s="372" t="s">
        <v>16682</v>
      </c>
      <c r="AJ93" s="372" t="s">
        <v>16683</v>
      </c>
      <c r="AK93" s="372" t="s">
        <v>16684</v>
      </c>
      <c r="AL93" s="372" t="s">
        <v>16685</v>
      </c>
      <c r="AM93" s="986"/>
      <c r="AN93" s="987"/>
      <c r="AO93" s="961"/>
      <c r="AP93" s="389"/>
      <c r="AQ93" s="389"/>
      <c r="AR93" s="389"/>
      <c r="AS93" s="389"/>
    </row>
    <row r="94" spans="1:45" s="4" customFormat="1" ht="16.8"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6.05" customHeight="1" thickTop="1">
      <c r="A95" s="197"/>
      <c r="B95" s="2734" t="s">
        <v>4202</v>
      </c>
      <c r="C95" s="2715" t="s">
        <v>8808</v>
      </c>
      <c r="D95" s="2715"/>
      <c r="E95" s="2715"/>
      <c r="F95" s="2715"/>
      <c r="G95" s="2715"/>
      <c r="H95" s="2715"/>
      <c r="I95" s="2715"/>
      <c r="J95" s="2715"/>
      <c r="K95" s="2717"/>
      <c r="L95" s="651"/>
      <c r="M95" s="197"/>
      <c r="N95" s="197"/>
      <c r="O95" s="197"/>
      <c r="P95" s="651"/>
      <c r="Q95" s="907"/>
      <c r="R95" s="284"/>
      <c r="S95" s="907"/>
      <c r="T95" s="651"/>
      <c r="U95" s="651"/>
      <c r="V95" s="651"/>
      <c r="W95" s="651"/>
      <c r="X95" s="651"/>
      <c r="Y95" s="651"/>
      <c r="Z95" s="651"/>
      <c r="AA95" s="651"/>
      <c r="AB95" s="651"/>
      <c r="AC95" s="907"/>
      <c r="AD95" s="651"/>
      <c r="AE95" s="2734" t="s">
        <v>4202</v>
      </c>
      <c r="AF95" s="2715" t="s">
        <v>8808</v>
      </c>
      <c r="AG95" s="2715"/>
      <c r="AH95" s="2715"/>
      <c r="AI95" s="2715"/>
      <c r="AJ95" s="2715"/>
      <c r="AK95" s="2715"/>
      <c r="AL95" s="2715"/>
      <c r="AM95" s="2715"/>
      <c r="AN95" s="2717"/>
      <c r="AO95" s="317"/>
      <c r="AP95" s="197"/>
      <c r="AQ95" s="197"/>
      <c r="AR95" s="197"/>
      <c r="AS95" s="197"/>
    </row>
    <row r="96" spans="1:45" s="4" customFormat="1">
      <c r="A96" s="197"/>
      <c r="B96" s="2817"/>
      <c r="C96" s="2818" t="s">
        <v>8500</v>
      </c>
      <c r="D96" s="2818"/>
      <c r="E96" s="2818"/>
      <c r="F96" s="2818"/>
      <c r="G96" s="2818" t="s">
        <v>8501</v>
      </c>
      <c r="H96" s="2818"/>
      <c r="I96" s="2818" t="s">
        <v>8502</v>
      </c>
      <c r="J96" s="2818" t="s">
        <v>8503</v>
      </c>
      <c r="K96" s="2859"/>
      <c r="L96" s="197"/>
      <c r="M96" s="197"/>
      <c r="N96" s="197"/>
      <c r="O96" s="197"/>
      <c r="P96" s="197"/>
      <c r="Q96" s="828"/>
      <c r="R96" s="284"/>
      <c r="S96" s="828"/>
      <c r="T96" s="197"/>
      <c r="U96" s="197"/>
      <c r="V96" s="197"/>
      <c r="W96" s="197"/>
      <c r="X96" s="197"/>
      <c r="Y96" s="197"/>
      <c r="Z96" s="197"/>
      <c r="AA96" s="197"/>
      <c r="AB96" s="197"/>
      <c r="AC96" s="828"/>
      <c r="AD96" s="197"/>
      <c r="AE96" s="2817"/>
      <c r="AF96" s="2818" t="s">
        <v>8500</v>
      </c>
      <c r="AG96" s="2818"/>
      <c r="AH96" s="2818"/>
      <c r="AI96" s="2818"/>
      <c r="AJ96" s="2818" t="s">
        <v>8501</v>
      </c>
      <c r="AK96" s="2818"/>
      <c r="AL96" s="2818" t="s">
        <v>8502</v>
      </c>
      <c r="AM96" s="2818" t="s">
        <v>8503</v>
      </c>
      <c r="AN96" s="2859"/>
      <c r="AO96" s="317"/>
      <c r="AP96" s="197"/>
      <c r="AQ96" s="197"/>
      <c r="AR96" s="197"/>
      <c r="AS96" s="197"/>
    </row>
    <row r="97" spans="1:45" s="4" customFormat="1" ht="30">
      <c r="A97" s="197"/>
      <c r="B97" s="2817"/>
      <c r="C97" s="427" t="s">
        <v>8504</v>
      </c>
      <c r="D97" s="427" t="s">
        <v>8505</v>
      </c>
      <c r="E97" s="427" t="s">
        <v>8506</v>
      </c>
      <c r="F97" s="427" t="s">
        <v>8507</v>
      </c>
      <c r="G97" s="427" t="s">
        <v>8508</v>
      </c>
      <c r="H97" s="427" t="s">
        <v>8509</v>
      </c>
      <c r="I97" s="2818"/>
      <c r="J97" s="427" t="s">
        <v>8510</v>
      </c>
      <c r="K97" s="428" t="s">
        <v>8511</v>
      </c>
      <c r="L97" s="197"/>
      <c r="M97" s="197"/>
      <c r="N97" s="197"/>
      <c r="O97" s="197"/>
      <c r="P97" s="197"/>
      <c r="Q97" s="828"/>
      <c r="R97" s="284"/>
      <c r="S97" s="828"/>
      <c r="T97" s="197"/>
      <c r="U97" s="197"/>
      <c r="V97" s="197"/>
      <c r="W97" s="197"/>
      <c r="X97" s="197"/>
      <c r="Y97" s="197"/>
      <c r="Z97" s="197"/>
      <c r="AA97" s="197"/>
      <c r="AB97" s="197"/>
      <c r="AC97" s="828"/>
      <c r="AD97" s="197"/>
      <c r="AE97" s="2817"/>
      <c r="AF97" s="427" t="s">
        <v>8504</v>
      </c>
      <c r="AG97" s="427" t="s">
        <v>8505</v>
      </c>
      <c r="AH97" s="427" t="s">
        <v>8506</v>
      </c>
      <c r="AI97" s="427" t="s">
        <v>8507</v>
      </c>
      <c r="AJ97" s="427" t="s">
        <v>8508</v>
      </c>
      <c r="AK97" s="427" t="s">
        <v>8509</v>
      </c>
      <c r="AL97" s="2818"/>
      <c r="AM97" s="427" t="s">
        <v>8510</v>
      </c>
      <c r="AN97" s="428" t="s">
        <v>8511</v>
      </c>
      <c r="AO97" s="317"/>
      <c r="AP97" s="197"/>
      <c r="AQ97" s="197"/>
      <c r="AR97" s="197"/>
      <c r="AS97" s="197"/>
    </row>
    <row r="98" spans="1:45" s="4" customFormat="1" ht="16.05"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2" thickBot="1">
      <c r="A99" s="197"/>
      <c r="B99" s="430" t="s">
        <v>4204</v>
      </c>
      <c r="C99" s="271">
        <v>3</v>
      </c>
      <c r="D99" s="271">
        <v>3</v>
      </c>
      <c r="E99" s="271">
        <v>3</v>
      </c>
      <c r="F99" s="271">
        <v>3</v>
      </c>
      <c r="G99" s="271">
        <v>3</v>
      </c>
      <c r="H99" s="271">
        <v>3</v>
      </c>
      <c r="I99" s="271">
        <v>3</v>
      </c>
      <c r="J99" s="271">
        <v>3</v>
      </c>
      <c r="K99" s="672">
        <v>3</v>
      </c>
      <c r="L99" s="197"/>
      <c r="M99" s="197"/>
      <c r="N99" s="197"/>
      <c r="O99" s="197"/>
      <c r="P99" s="197"/>
      <c r="Q99" s="828"/>
      <c r="R99" s="284"/>
      <c r="S99" s="828"/>
      <c r="T99" s="2710" t="s">
        <v>4201</v>
      </c>
      <c r="U99" s="2710"/>
      <c r="V99" s="2843"/>
      <c r="W99" s="2843"/>
      <c r="X99" s="2843"/>
      <c r="Y99" s="2843"/>
      <c r="Z99" s="2843"/>
      <c r="AA99" s="2843"/>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8"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8512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8512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8513</v>
      </c>
      <c r="C102" s="2091">
        <v>0</v>
      </c>
      <c r="D102" s="694">
        <v>0</v>
      </c>
      <c r="E102" s="694">
        <v>0</v>
      </c>
      <c r="F102" s="694">
        <v>0</v>
      </c>
      <c r="G102" s="1595">
        <f t="shared" ref="G102:G109" si="55">IFERROR(SUM(C102:F102),0)</f>
        <v>0</v>
      </c>
      <c r="H102" s="2091">
        <v>0</v>
      </c>
      <c r="I102" s="694">
        <v>0</v>
      </c>
      <c r="J102" s="1609">
        <v>0</v>
      </c>
      <c r="K102" s="1610">
        <v>0</v>
      </c>
      <c r="L102" s="197"/>
      <c r="M102" s="281" t="s">
        <v>8809</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8513</v>
      </c>
      <c r="AF102" s="958" t="s">
        <v>16686</v>
      </c>
      <c r="AG102" s="904" t="s">
        <v>16687</v>
      </c>
      <c r="AH102" s="904" t="s">
        <v>16688</v>
      </c>
      <c r="AI102" s="904" t="s">
        <v>16689</v>
      </c>
      <c r="AJ102" s="959" t="s">
        <v>16690</v>
      </c>
      <c r="AK102" s="958" t="s">
        <v>16691</v>
      </c>
      <c r="AL102" s="904" t="s">
        <v>16692</v>
      </c>
      <c r="AM102" s="904" t="s">
        <v>16693</v>
      </c>
      <c r="AN102" s="960" t="s">
        <v>16694</v>
      </c>
      <c r="AO102" s="961"/>
      <c r="AP102" s="197"/>
      <c r="AQ102" s="197"/>
      <c r="AR102" s="197"/>
      <c r="AS102" s="197"/>
    </row>
    <row r="103" spans="1:45" s="4" customFormat="1" ht="15.75" customHeight="1">
      <c r="A103" s="197"/>
      <c r="B103" s="403" t="s">
        <v>8524</v>
      </c>
      <c r="C103" s="2092">
        <v>0</v>
      </c>
      <c r="D103" s="697">
        <v>0</v>
      </c>
      <c r="E103" s="697">
        <v>0</v>
      </c>
      <c r="F103" s="697">
        <v>0</v>
      </c>
      <c r="G103" s="1597">
        <f t="shared" si="55"/>
        <v>0</v>
      </c>
      <c r="H103" s="2092">
        <v>0</v>
      </c>
      <c r="I103" s="697">
        <v>0</v>
      </c>
      <c r="J103" s="1611">
        <v>0</v>
      </c>
      <c r="K103" s="1612">
        <v>0</v>
      </c>
      <c r="L103" s="197"/>
      <c r="M103" s="290" t="s">
        <v>8810</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8524</v>
      </c>
      <c r="AF103" s="962" t="s">
        <v>16695</v>
      </c>
      <c r="AG103" s="905" t="s">
        <v>16696</v>
      </c>
      <c r="AH103" s="905" t="s">
        <v>16697</v>
      </c>
      <c r="AI103" s="905" t="s">
        <v>16698</v>
      </c>
      <c r="AJ103" s="963" t="s">
        <v>16699</v>
      </c>
      <c r="AK103" s="962" t="s">
        <v>16700</v>
      </c>
      <c r="AL103" s="905" t="s">
        <v>16701</v>
      </c>
      <c r="AM103" s="905" t="s">
        <v>16702</v>
      </c>
      <c r="AN103" s="964" t="s">
        <v>16703</v>
      </c>
      <c r="AO103" s="961"/>
      <c r="AP103" s="197"/>
      <c r="AQ103" s="197"/>
      <c r="AR103" s="197"/>
      <c r="AS103" s="197"/>
    </row>
    <row r="104" spans="1:45" s="4" customFormat="1" ht="15.75" customHeight="1">
      <c r="A104" s="197"/>
      <c r="B104" s="403" t="s">
        <v>8535</v>
      </c>
      <c r="C104" s="2092">
        <v>0</v>
      </c>
      <c r="D104" s="697">
        <v>0</v>
      </c>
      <c r="E104" s="697">
        <v>0</v>
      </c>
      <c r="F104" s="697">
        <v>0</v>
      </c>
      <c r="G104" s="1597">
        <f t="shared" si="55"/>
        <v>0</v>
      </c>
      <c r="H104" s="2092">
        <v>0</v>
      </c>
      <c r="I104" s="697">
        <v>0</v>
      </c>
      <c r="J104" s="1611">
        <v>0</v>
      </c>
      <c r="K104" s="1612">
        <v>0</v>
      </c>
      <c r="L104" s="197"/>
      <c r="M104" s="290" t="s">
        <v>8811</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8535</v>
      </c>
      <c r="AF104" s="962" t="s">
        <v>16704</v>
      </c>
      <c r="AG104" s="905" t="s">
        <v>16705</v>
      </c>
      <c r="AH104" s="905" t="s">
        <v>16706</v>
      </c>
      <c r="AI104" s="905" t="s">
        <v>16707</v>
      </c>
      <c r="AJ104" s="963" t="s">
        <v>16708</v>
      </c>
      <c r="AK104" s="962" t="s">
        <v>16709</v>
      </c>
      <c r="AL104" s="905" t="s">
        <v>16710</v>
      </c>
      <c r="AM104" s="905" t="s">
        <v>16711</v>
      </c>
      <c r="AN104" s="964" t="s">
        <v>16712</v>
      </c>
      <c r="AO104" s="961"/>
      <c r="AP104" s="197"/>
      <c r="AQ104" s="197"/>
      <c r="AR104" s="197"/>
      <c r="AS104" s="197"/>
    </row>
    <row r="105" spans="1:45" s="4" customFormat="1" ht="15.75" customHeight="1">
      <c r="A105" s="197"/>
      <c r="B105" s="403" t="s">
        <v>8546</v>
      </c>
      <c r="C105" s="2092">
        <v>0</v>
      </c>
      <c r="D105" s="697">
        <v>0</v>
      </c>
      <c r="E105" s="697">
        <v>0</v>
      </c>
      <c r="F105" s="697">
        <v>0</v>
      </c>
      <c r="G105" s="1597">
        <f t="shared" si="55"/>
        <v>0</v>
      </c>
      <c r="H105" s="2092">
        <v>0</v>
      </c>
      <c r="I105" s="697">
        <v>0</v>
      </c>
      <c r="J105" s="1611">
        <v>0</v>
      </c>
      <c r="K105" s="1612">
        <v>0</v>
      </c>
      <c r="L105" s="197"/>
      <c r="M105" s="290" t="s">
        <v>8812</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8546</v>
      </c>
      <c r="AF105" s="962" t="s">
        <v>16713</v>
      </c>
      <c r="AG105" s="905" t="s">
        <v>16714</v>
      </c>
      <c r="AH105" s="905" t="s">
        <v>16715</v>
      </c>
      <c r="AI105" s="905" t="s">
        <v>16716</v>
      </c>
      <c r="AJ105" s="963" t="s">
        <v>16717</v>
      </c>
      <c r="AK105" s="962" t="s">
        <v>16718</v>
      </c>
      <c r="AL105" s="905" t="s">
        <v>16719</v>
      </c>
      <c r="AM105" s="905" t="s">
        <v>16720</v>
      </c>
      <c r="AN105" s="964" t="s">
        <v>16721</v>
      </c>
      <c r="AO105" s="961"/>
      <c r="AP105" s="197"/>
      <c r="AQ105" s="197"/>
      <c r="AR105" s="197"/>
      <c r="AS105" s="197"/>
    </row>
    <row r="106" spans="1:45" s="4" customFormat="1" ht="15.75" customHeight="1">
      <c r="A106" s="197"/>
      <c r="B106" s="403" t="s">
        <v>8557</v>
      </c>
      <c r="C106" s="2092">
        <v>0</v>
      </c>
      <c r="D106" s="697">
        <v>0</v>
      </c>
      <c r="E106" s="697">
        <v>0</v>
      </c>
      <c r="F106" s="697">
        <v>0</v>
      </c>
      <c r="G106" s="1597">
        <f t="shared" si="55"/>
        <v>0</v>
      </c>
      <c r="H106" s="2092">
        <v>0</v>
      </c>
      <c r="I106" s="697">
        <v>0</v>
      </c>
      <c r="J106" s="1611">
        <v>0</v>
      </c>
      <c r="K106" s="1612">
        <v>0</v>
      </c>
      <c r="L106" s="197"/>
      <c r="M106" s="290" t="s">
        <v>8813</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8557</v>
      </c>
      <c r="AF106" s="962" t="s">
        <v>16722</v>
      </c>
      <c r="AG106" s="905" t="s">
        <v>16723</v>
      </c>
      <c r="AH106" s="905" t="s">
        <v>16724</v>
      </c>
      <c r="AI106" s="905" t="s">
        <v>16725</v>
      </c>
      <c r="AJ106" s="963" t="s">
        <v>16726</v>
      </c>
      <c r="AK106" s="962" t="s">
        <v>16727</v>
      </c>
      <c r="AL106" s="905" t="s">
        <v>16728</v>
      </c>
      <c r="AM106" s="905" t="s">
        <v>16729</v>
      </c>
      <c r="AN106" s="964" t="s">
        <v>16730</v>
      </c>
      <c r="AO106" s="961"/>
      <c r="AP106" s="197"/>
      <c r="AQ106" s="197"/>
      <c r="AR106" s="197"/>
      <c r="AS106" s="197"/>
    </row>
    <row r="107" spans="1:45" s="4" customFormat="1" ht="15.75" customHeight="1">
      <c r="A107" s="197"/>
      <c r="B107" s="403" t="s">
        <v>8568</v>
      </c>
      <c r="C107" s="2092">
        <v>0</v>
      </c>
      <c r="D107" s="697">
        <v>0</v>
      </c>
      <c r="E107" s="697">
        <v>0</v>
      </c>
      <c r="F107" s="697">
        <v>0</v>
      </c>
      <c r="G107" s="1597">
        <f t="shared" si="55"/>
        <v>0</v>
      </c>
      <c r="H107" s="2092">
        <v>0</v>
      </c>
      <c r="I107" s="697">
        <v>0</v>
      </c>
      <c r="J107" s="1611">
        <v>0</v>
      </c>
      <c r="K107" s="1612">
        <v>0</v>
      </c>
      <c r="L107" s="197"/>
      <c r="M107" s="290" t="s">
        <v>8814</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8568</v>
      </c>
      <c r="AF107" s="962" t="s">
        <v>16731</v>
      </c>
      <c r="AG107" s="905" t="s">
        <v>16732</v>
      </c>
      <c r="AH107" s="905" t="s">
        <v>16733</v>
      </c>
      <c r="AI107" s="905" t="s">
        <v>16734</v>
      </c>
      <c r="AJ107" s="963" t="s">
        <v>16735</v>
      </c>
      <c r="AK107" s="962" t="s">
        <v>16736</v>
      </c>
      <c r="AL107" s="905" t="s">
        <v>16737</v>
      </c>
      <c r="AM107" s="905" t="s">
        <v>16738</v>
      </c>
      <c r="AN107" s="964" t="s">
        <v>16739</v>
      </c>
      <c r="AO107" s="961"/>
      <c r="AP107" s="197"/>
      <c r="AQ107" s="197"/>
      <c r="AR107" s="197"/>
      <c r="AS107" s="197"/>
    </row>
    <row r="108" spans="1:45" s="4" customFormat="1" ht="15.75" customHeight="1">
      <c r="A108" s="197"/>
      <c r="B108" s="403" t="s">
        <v>8579</v>
      </c>
      <c r="C108" s="2092">
        <v>0</v>
      </c>
      <c r="D108" s="697">
        <v>0</v>
      </c>
      <c r="E108" s="697">
        <v>0</v>
      </c>
      <c r="F108" s="697">
        <v>0</v>
      </c>
      <c r="G108" s="1597">
        <f t="shared" si="55"/>
        <v>0</v>
      </c>
      <c r="H108" s="2092">
        <v>0</v>
      </c>
      <c r="I108" s="697">
        <v>0</v>
      </c>
      <c r="J108" s="1611">
        <v>0</v>
      </c>
      <c r="K108" s="1612">
        <v>0</v>
      </c>
      <c r="L108" s="197"/>
      <c r="M108" s="290" t="s">
        <v>8815</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8579</v>
      </c>
      <c r="AF108" s="962" t="s">
        <v>16740</v>
      </c>
      <c r="AG108" s="905" t="s">
        <v>16741</v>
      </c>
      <c r="AH108" s="905" t="s">
        <v>16742</v>
      </c>
      <c r="AI108" s="905" t="s">
        <v>16743</v>
      </c>
      <c r="AJ108" s="963" t="s">
        <v>16744</v>
      </c>
      <c r="AK108" s="962" t="s">
        <v>16745</v>
      </c>
      <c r="AL108" s="905" t="s">
        <v>16746</v>
      </c>
      <c r="AM108" s="905" t="s">
        <v>16747</v>
      </c>
      <c r="AN108" s="964" t="s">
        <v>16748</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8816</v>
      </c>
      <c r="N109" s="197"/>
      <c r="O109" s="302"/>
      <c r="P109" s="197"/>
      <c r="Q109" s="828"/>
      <c r="R109" s="284"/>
      <c r="S109" s="828"/>
      <c r="T109" s="197"/>
      <c r="U109" s="197"/>
      <c r="V109" s="197"/>
      <c r="W109" s="197"/>
      <c r="X109" s="197"/>
      <c r="Y109" s="197"/>
      <c r="Z109" s="197"/>
      <c r="AA109" s="197"/>
      <c r="AB109" s="197"/>
      <c r="AC109" s="828"/>
      <c r="AD109" s="197"/>
      <c r="AE109" s="406" t="s">
        <v>4425</v>
      </c>
      <c r="AF109" s="965" t="s">
        <v>16749</v>
      </c>
      <c r="AG109" s="679" t="s">
        <v>16750</v>
      </c>
      <c r="AH109" s="679" t="s">
        <v>16751</v>
      </c>
      <c r="AI109" s="679" t="s">
        <v>16752</v>
      </c>
      <c r="AJ109" s="679" t="s">
        <v>16753</v>
      </c>
      <c r="AK109" s="679" t="s">
        <v>16754</v>
      </c>
      <c r="AL109" s="679" t="s">
        <v>16755</v>
      </c>
      <c r="AM109" s="966" t="s">
        <v>16756</v>
      </c>
      <c r="AN109" s="967" t="s">
        <v>16756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8787</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8598</v>
      </c>
      <c r="C111" s="729"/>
      <c r="D111" s="1603"/>
      <c r="E111" s="1603"/>
      <c r="F111" s="1603"/>
      <c r="G111" s="1603"/>
      <c r="H111" s="1603"/>
      <c r="I111" s="1603"/>
      <c r="J111" s="1615"/>
      <c r="K111" s="1615"/>
      <c r="L111" s="197"/>
      <c r="M111" s="242" t="s">
        <v>8787</v>
      </c>
      <c r="N111" s="197"/>
      <c r="O111" s="197"/>
      <c r="P111" s="197"/>
      <c r="Q111" s="828"/>
      <c r="R111" s="284"/>
      <c r="S111" s="828"/>
      <c r="T111" s="197"/>
      <c r="U111" s="197"/>
      <c r="V111" s="197"/>
      <c r="W111" s="197"/>
      <c r="X111" s="197"/>
      <c r="Y111" s="197"/>
      <c r="Z111" s="197"/>
      <c r="AA111" s="197"/>
      <c r="AB111" s="197"/>
      <c r="AC111" s="828"/>
      <c r="AD111" s="197"/>
      <c r="AE111" s="393" t="s">
        <v>8598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8599</v>
      </c>
      <c r="C112" s="2091">
        <v>0</v>
      </c>
      <c r="D112" s="694">
        <v>0</v>
      </c>
      <c r="E112" s="694">
        <v>0</v>
      </c>
      <c r="F112" s="694">
        <v>0</v>
      </c>
      <c r="G112" s="1595">
        <f>IFERROR(SUM(C112:F112),0)</f>
        <v>0</v>
      </c>
      <c r="H112" s="694">
        <v>0</v>
      </c>
      <c r="I112" s="694">
        <v>0</v>
      </c>
      <c r="J112" s="1616"/>
      <c r="K112" s="1617"/>
      <c r="L112" s="197"/>
      <c r="M112" s="281" t="s">
        <v>8817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8599</v>
      </c>
      <c r="AF112" s="958" t="s">
        <v>16757</v>
      </c>
      <c r="AG112" s="904" t="s">
        <v>16758</v>
      </c>
      <c r="AH112" s="904" t="s">
        <v>16759</v>
      </c>
      <c r="AI112" s="904" t="s">
        <v>16760</v>
      </c>
      <c r="AJ112" s="959" t="s">
        <v>16761</v>
      </c>
      <c r="AK112" s="904" t="s">
        <v>16762</v>
      </c>
      <c r="AL112" s="904" t="s">
        <v>16763</v>
      </c>
      <c r="AM112" s="973"/>
      <c r="AN112" s="974"/>
      <c r="AO112" s="961"/>
      <c r="AP112" s="197"/>
      <c r="AQ112" s="197"/>
      <c r="AR112" s="197"/>
      <c r="AS112" s="197"/>
    </row>
    <row r="113" spans="1:45" s="4" customFormat="1" ht="15.75" customHeight="1">
      <c r="A113" s="197"/>
      <c r="B113" s="403" t="s">
        <v>8608</v>
      </c>
      <c r="C113" s="2092">
        <v>0</v>
      </c>
      <c r="D113" s="697">
        <v>0</v>
      </c>
      <c r="E113" s="697">
        <v>0</v>
      </c>
      <c r="F113" s="697">
        <v>0</v>
      </c>
      <c r="G113" s="1597">
        <f>IFERROR(SUM(C113:F113),0)</f>
        <v>0</v>
      </c>
      <c r="H113" s="697">
        <v>0</v>
      </c>
      <c r="I113" s="697">
        <v>0</v>
      </c>
      <c r="J113" s="1618"/>
      <c r="K113" s="1619"/>
      <c r="L113" s="197"/>
      <c r="M113" s="290" t="s">
        <v>8818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8608</v>
      </c>
      <c r="AF113" s="962" t="s">
        <v>16764</v>
      </c>
      <c r="AG113" s="905" t="s">
        <v>16765</v>
      </c>
      <c r="AH113" s="905" t="s">
        <v>16766</v>
      </c>
      <c r="AI113" s="905" t="s">
        <v>16767</v>
      </c>
      <c r="AJ113" s="963" t="s">
        <v>16768</v>
      </c>
      <c r="AK113" s="905" t="s">
        <v>16769</v>
      </c>
      <c r="AL113" s="905" t="s">
        <v>16770</v>
      </c>
      <c r="AM113" s="975"/>
      <c r="AN113" s="976"/>
      <c r="AO113" s="961"/>
      <c r="AP113" s="197"/>
      <c r="AQ113" s="197"/>
      <c r="AR113" s="197"/>
      <c r="AS113" s="197"/>
    </row>
    <row r="114" spans="1:45" s="4" customFormat="1" ht="15.75" customHeight="1">
      <c r="A114" s="197"/>
      <c r="B114" s="403" t="s">
        <v>8617</v>
      </c>
      <c r="C114" s="2092">
        <v>0</v>
      </c>
      <c r="D114" s="697">
        <v>0</v>
      </c>
      <c r="E114" s="697">
        <v>0</v>
      </c>
      <c r="F114" s="697">
        <v>0</v>
      </c>
      <c r="G114" s="1597">
        <f>IFERROR(SUM(C114:F114),0)</f>
        <v>0</v>
      </c>
      <c r="H114" s="697">
        <v>0</v>
      </c>
      <c r="I114" s="697">
        <v>0</v>
      </c>
      <c r="J114" s="1618"/>
      <c r="K114" s="1619"/>
      <c r="L114" s="197"/>
      <c r="M114" s="290" t="s">
        <v>8819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8617</v>
      </c>
      <c r="AF114" s="962" t="s">
        <v>16771</v>
      </c>
      <c r="AG114" s="905" t="s">
        <v>16772</v>
      </c>
      <c r="AH114" s="905" t="s">
        <v>16773</v>
      </c>
      <c r="AI114" s="905" t="s">
        <v>16774</v>
      </c>
      <c r="AJ114" s="963" t="s">
        <v>16775</v>
      </c>
      <c r="AK114" s="905" t="s">
        <v>16776</v>
      </c>
      <c r="AL114" s="905" t="s">
        <v>16777</v>
      </c>
      <c r="AM114" s="975"/>
      <c r="AN114" s="976"/>
      <c r="AO114" s="961"/>
      <c r="AP114" s="197"/>
      <c r="AQ114" s="197"/>
      <c r="AR114" s="197"/>
      <c r="AS114" s="197"/>
    </row>
    <row r="115" spans="1:45" s="4" customFormat="1" ht="15.75" customHeight="1">
      <c r="A115" s="197"/>
      <c r="B115" s="403" t="s">
        <v>8626</v>
      </c>
      <c r="C115" s="2092">
        <v>0</v>
      </c>
      <c r="D115" s="697">
        <v>0</v>
      </c>
      <c r="E115" s="697">
        <v>0</v>
      </c>
      <c r="F115" s="697">
        <v>0</v>
      </c>
      <c r="G115" s="1597">
        <f>IFERROR(SUM(C115:F115),0)</f>
        <v>0</v>
      </c>
      <c r="H115" s="697">
        <v>0</v>
      </c>
      <c r="I115" s="697">
        <v>0</v>
      </c>
      <c r="J115" s="1618"/>
      <c r="K115" s="1619"/>
      <c r="L115" s="197"/>
      <c r="M115" s="290" t="s">
        <v>8820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8626</v>
      </c>
      <c r="AF115" s="962" t="s">
        <v>16778</v>
      </c>
      <c r="AG115" s="905" t="s">
        <v>16779</v>
      </c>
      <c r="AH115" s="905" t="s">
        <v>16780</v>
      </c>
      <c r="AI115" s="905" t="s">
        <v>16781</v>
      </c>
      <c r="AJ115" s="963" t="s">
        <v>16782</v>
      </c>
      <c r="AK115" s="905" t="s">
        <v>16783</v>
      </c>
      <c r="AL115" s="905" t="s">
        <v>16784</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8821</v>
      </c>
      <c r="N116" s="197"/>
      <c r="O116" s="302"/>
      <c r="P116" s="197"/>
      <c r="Q116" s="828"/>
      <c r="R116" s="284"/>
      <c r="S116" s="828"/>
      <c r="T116" s="197"/>
      <c r="U116" s="197"/>
      <c r="V116" s="197"/>
      <c r="W116" s="197"/>
      <c r="X116" s="197"/>
      <c r="Y116" s="197"/>
      <c r="Z116" s="197"/>
      <c r="AA116" s="197"/>
      <c r="AB116" s="197"/>
      <c r="AC116" s="828"/>
      <c r="AD116" s="197"/>
      <c r="AE116" s="406" t="s">
        <v>4425</v>
      </c>
      <c r="AF116" s="965" t="s">
        <v>16785</v>
      </c>
      <c r="AG116" s="679" t="s">
        <v>16786</v>
      </c>
      <c r="AH116" s="679" t="s">
        <v>16787</v>
      </c>
      <c r="AI116" s="679" t="s">
        <v>16788</v>
      </c>
      <c r="AJ116" s="679" t="s">
        <v>16789</v>
      </c>
      <c r="AK116" s="679" t="s">
        <v>16790</v>
      </c>
      <c r="AL116" s="679" t="s">
        <v>16791</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8787</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8643</v>
      </c>
      <c r="C118" s="729"/>
      <c r="D118" s="1603"/>
      <c r="E118" s="1603"/>
      <c r="F118" s="1603"/>
      <c r="G118" s="1603"/>
      <c r="H118" s="1603"/>
      <c r="I118" s="1603"/>
      <c r="J118" s="1615"/>
      <c r="K118" s="1615"/>
      <c r="L118" s="197"/>
      <c r="M118" s="242" t="s">
        <v>8787</v>
      </c>
      <c r="N118" s="197"/>
      <c r="O118" s="197"/>
      <c r="P118" s="197"/>
      <c r="Q118" s="828"/>
      <c r="R118" s="284"/>
      <c r="S118" s="828"/>
      <c r="T118" s="197"/>
      <c r="U118" s="197"/>
      <c r="V118" s="197"/>
      <c r="W118" s="197"/>
      <c r="X118" s="197"/>
      <c r="Y118" s="197"/>
      <c r="Z118" s="197"/>
      <c r="AA118" s="197"/>
      <c r="AB118" s="197"/>
      <c r="AC118" s="828"/>
      <c r="AD118" s="197"/>
      <c r="AE118" s="393" t="s">
        <v>8643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8644</v>
      </c>
      <c r="C119" s="2091">
        <v>0</v>
      </c>
      <c r="D119" s="694">
        <v>0</v>
      </c>
      <c r="E119" s="694">
        <v>0</v>
      </c>
      <c r="F119" s="694">
        <v>0</v>
      </c>
      <c r="G119" s="1595">
        <f>IFERROR(SUM(C119:F119),0)</f>
        <v>0</v>
      </c>
      <c r="H119" s="694">
        <v>0</v>
      </c>
      <c r="I119" s="694">
        <v>0</v>
      </c>
      <c r="J119" s="1616"/>
      <c r="K119" s="1617"/>
      <c r="L119" s="197"/>
      <c r="M119" s="281" t="s">
        <v>8822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8644</v>
      </c>
      <c r="AF119" s="958" t="s">
        <v>16792</v>
      </c>
      <c r="AG119" s="904" t="s">
        <v>16793</v>
      </c>
      <c r="AH119" s="904" t="s">
        <v>16794</v>
      </c>
      <c r="AI119" s="904" t="s">
        <v>16795</v>
      </c>
      <c r="AJ119" s="959" t="s">
        <v>16796</v>
      </c>
      <c r="AK119" s="904" t="s">
        <v>16797</v>
      </c>
      <c r="AL119" s="904" t="s">
        <v>16798</v>
      </c>
      <c r="AM119" s="973"/>
      <c r="AN119" s="974"/>
      <c r="AO119" s="961"/>
      <c r="AP119" s="197"/>
      <c r="AQ119" s="197"/>
      <c r="AR119" s="197"/>
      <c r="AS119" s="197"/>
    </row>
    <row r="120" spans="1:45" s="4" customFormat="1" ht="15.75" customHeight="1">
      <c r="A120" s="197"/>
      <c r="B120" s="403" t="s">
        <v>8653</v>
      </c>
      <c r="C120" s="2092">
        <v>0</v>
      </c>
      <c r="D120" s="697">
        <v>0</v>
      </c>
      <c r="E120" s="697">
        <v>0</v>
      </c>
      <c r="F120" s="697">
        <v>0</v>
      </c>
      <c r="G120" s="1597">
        <f>IFERROR(SUM(C120:F120),0)</f>
        <v>0</v>
      </c>
      <c r="H120" s="697">
        <v>0</v>
      </c>
      <c r="I120" s="697">
        <v>0</v>
      </c>
      <c r="J120" s="1618"/>
      <c r="K120" s="1619"/>
      <c r="L120" s="197"/>
      <c r="M120" s="290" t="s">
        <v>8823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8653</v>
      </c>
      <c r="AF120" s="962" t="s">
        <v>16799</v>
      </c>
      <c r="AG120" s="905" t="s">
        <v>16800</v>
      </c>
      <c r="AH120" s="905" t="s">
        <v>16801</v>
      </c>
      <c r="AI120" s="905" t="s">
        <v>16802</v>
      </c>
      <c r="AJ120" s="963" t="s">
        <v>16803</v>
      </c>
      <c r="AK120" s="905" t="s">
        <v>16804</v>
      </c>
      <c r="AL120" s="905" t="s">
        <v>16805</v>
      </c>
      <c r="AM120" s="975"/>
      <c r="AN120" s="976"/>
      <c r="AO120" s="961"/>
      <c r="AP120" s="197"/>
      <c r="AQ120" s="197"/>
      <c r="AR120" s="197"/>
      <c r="AS120" s="197"/>
    </row>
    <row r="121" spans="1:45" s="4" customFormat="1" ht="15.75" customHeight="1">
      <c r="A121" s="197"/>
      <c r="B121" s="403" t="s">
        <v>8662</v>
      </c>
      <c r="C121" s="2092">
        <v>0</v>
      </c>
      <c r="D121" s="697">
        <v>0</v>
      </c>
      <c r="E121" s="697">
        <v>0</v>
      </c>
      <c r="F121" s="697">
        <v>0</v>
      </c>
      <c r="G121" s="1597">
        <f>IFERROR(SUM(C121:F121),0)</f>
        <v>0</v>
      </c>
      <c r="H121" s="697">
        <v>0</v>
      </c>
      <c r="I121" s="697">
        <v>0</v>
      </c>
      <c r="J121" s="1618"/>
      <c r="K121" s="1619"/>
      <c r="L121" s="197"/>
      <c r="M121" s="290" t="s">
        <v>8824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8662</v>
      </c>
      <c r="AF121" s="962" t="s">
        <v>16806</v>
      </c>
      <c r="AG121" s="905" t="s">
        <v>16807</v>
      </c>
      <c r="AH121" s="905" t="s">
        <v>16808</v>
      </c>
      <c r="AI121" s="905" t="s">
        <v>16809</v>
      </c>
      <c r="AJ121" s="963" t="s">
        <v>16810</v>
      </c>
      <c r="AK121" s="905" t="s">
        <v>16811</v>
      </c>
      <c r="AL121" s="905" t="s">
        <v>16812</v>
      </c>
      <c r="AM121" s="975"/>
      <c r="AN121" s="976"/>
      <c r="AO121" s="961"/>
      <c r="AP121" s="197"/>
      <c r="AQ121" s="197"/>
      <c r="AR121" s="197"/>
      <c r="AS121" s="197"/>
    </row>
    <row r="122" spans="1:45" s="4" customFormat="1" ht="15.75" customHeight="1">
      <c r="A122" s="197"/>
      <c r="B122" s="403" t="s">
        <v>8671</v>
      </c>
      <c r="C122" s="2092">
        <v>0</v>
      </c>
      <c r="D122" s="697">
        <v>0</v>
      </c>
      <c r="E122" s="697">
        <v>0</v>
      </c>
      <c r="F122" s="697">
        <v>0</v>
      </c>
      <c r="G122" s="1597">
        <f>IFERROR(SUM(C122:F122),0)</f>
        <v>0</v>
      </c>
      <c r="H122" s="697">
        <v>0</v>
      </c>
      <c r="I122" s="697">
        <v>0</v>
      </c>
      <c r="J122" s="1618"/>
      <c r="K122" s="1619"/>
      <c r="L122" s="197"/>
      <c r="M122" s="290" t="s">
        <v>8825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8671</v>
      </c>
      <c r="AF122" s="962" t="s">
        <v>16813</v>
      </c>
      <c r="AG122" s="905" t="s">
        <v>16814</v>
      </c>
      <c r="AH122" s="905" t="s">
        <v>16815</v>
      </c>
      <c r="AI122" s="905" t="s">
        <v>16816</v>
      </c>
      <c r="AJ122" s="963" t="s">
        <v>16817</v>
      </c>
      <c r="AK122" s="905" t="s">
        <v>16818</v>
      </c>
      <c r="AL122" s="905" t="s">
        <v>16819</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8826</v>
      </c>
      <c r="N123" s="197"/>
      <c r="O123" s="302"/>
      <c r="P123" s="197"/>
      <c r="Q123" s="828"/>
      <c r="R123" s="284"/>
      <c r="S123" s="828"/>
      <c r="T123" s="197"/>
      <c r="U123" s="197"/>
      <c r="V123" s="197"/>
      <c r="W123" s="197"/>
      <c r="X123" s="197"/>
      <c r="Y123" s="197"/>
      <c r="Z123" s="197"/>
      <c r="AA123" s="197"/>
      <c r="AB123" s="197"/>
      <c r="AC123" s="828"/>
      <c r="AD123" s="197"/>
      <c r="AE123" s="406" t="s">
        <v>4425</v>
      </c>
      <c r="AF123" s="965" t="s">
        <v>16820</v>
      </c>
      <c r="AG123" s="679" t="s">
        <v>16821</v>
      </c>
      <c r="AH123" s="679" t="s">
        <v>16822</v>
      </c>
      <c r="AI123" s="679" t="s">
        <v>16823</v>
      </c>
      <c r="AJ123" s="679" t="s">
        <v>16824</v>
      </c>
      <c r="AK123" s="679" t="s">
        <v>16825</v>
      </c>
      <c r="AL123" s="679" t="s">
        <v>16826</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8787</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8688</v>
      </c>
      <c r="C125" s="729"/>
      <c r="D125" s="1603"/>
      <c r="E125" s="1603"/>
      <c r="F125" s="1603"/>
      <c r="G125" s="1603"/>
      <c r="H125" s="1603"/>
      <c r="I125" s="1603"/>
      <c r="J125" s="1615"/>
      <c r="K125" s="1615"/>
      <c r="L125" s="197"/>
      <c r="M125" s="242" t="s">
        <v>8787</v>
      </c>
      <c r="N125" s="197"/>
      <c r="O125" s="197"/>
      <c r="P125" s="197"/>
      <c r="Q125" s="828"/>
      <c r="R125" s="284"/>
      <c r="S125" s="828"/>
      <c r="T125" s="197"/>
      <c r="U125" s="197"/>
      <c r="V125" s="197"/>
      <c r="W125" s="197"/>
      <c r="X125" s="197"/>
      <c r="Y125" s="197"/>
      <c r="Z125" s="197"/>
      <c r="AA125" s="197"/>
      <c r="AB125" s="197"/>
      <c r="AC125" s="828"/>
      <c r="AD125" s="197"/>
      <c r="AE125" s="393" t="s">
        <v>8688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8689</v>
      </c>
      <c r="C126" s="2091">
        <v>0</v>
      </c>
      <c r="D126" s="694">
        <v>0</v>
      </c>
      <c r="E126" s="694">
        <v>0</v>
      </c>
      <c r="F126" s="694">
        <v>0</v>
      </c>
      <c r="G126" s="1595">
        <f t="shared" ref="G126:G133" si="63">IFERROR(SUM(C126:F126),0)</f>
        <v>0</v>
      </c>
      <c r="H126" s="694">
        <v>0</v>
      </c>
      <c r="I126" s="694">
        <v>0</v>
      </c>
      <c r="J126" s="1616"/>
      <c r="K126" s="1617"/>
      <c r="L126" s="197"/>
      <c r="M126" s="281" t="s">
        <v>8827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8689</v>
      </c>
      <c r="AF126" s="958" t="s">
        <v>16827</v>
      </c>
      <c r="AG126" s="904" t="s">
        <v>16828</v>
      </c>
      <c r="AH126" s="904" t="s">
        <v>16829</v>
      </c>
      <c r="AI126" s="904" t="s">
        <v>16830</v>
      </c>
      <c r="AJ126" s="959" t="s">
        <v>16831</v>
      </c>
      <c r="AK126" s="904" t="s">
        <v>16832</v>
      </c>
      <c r="AL126" s="904" t="s">
        <v>16833</v>
      </c>
      <c r="AM126" s="973"/>
      <c r="AN126" s="974"/>
      <c r="AO126" s="961"/>
      <c r="AP126" s="197"/>
      <c r="AQ126" s="197"/>
      <c r="AR126" s="197"/>
      <c r="AS126" s="197"/>
    </row>
    <row r="127" spans="1:45" s="4" customFormat="1" ht="15.75" customHeight="1">
      <c r="A127" s="197"/>
      <c r="B127" s="403" t="s">
        <v>8698</v>
      </c>
      <c r="C127" s="2092">
        <v>0</v>
      </c>
      <c r="D127" s="697">
        <v>0</v>
      </c>
      <c r="E127" s="697">
        <v>0</v>
      </c>
      <c r="F127" s="697">
        <v>0</v>
      </c>
      <c r="G127" s="1597">
        <f t="shared" si="63"/>
        <v>0</v>
      </c>
      <c r="H127" s="697">
        <v>0</v>
      </c>
      <c r="I127" s="697">
        <v>0</v>
      </c>
      <c r="J127" s="1618"/>
      <c r="K127" s="1619"/>
      <c r="L127" s="197"/>
      <c r="M127" s="290" t="s">
        <v>8828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8698</v>
      </c>
      <c r="AF127" s="962" t="s">
        <v>16834</v>
      </c>
      <c r="AG127" s="905" t="s">
        <v>16835</v>
      </c>
      <c r="AH127" s="905" t="s">
        <v>16836</v>
      </c>
      <c r="AI127" s="905" t="s">
        <v>16837</v>
      </c>
      <c r="AJ127" s="963" t="s">
        <v>16838</v>
      </c>
      <c r="AK127" s="905" t="s">
        <v>16839</v>
      </c>
      <c r="AL127" s="905" t="s">
        <v>16840</v>
      </c>
      <c r="AM127" s="975"/>
      <c r="AN127" s="976"/>
      <c r="AO127" s="961"/>
      <c r="AP127" s="197"/>
      <c r="AQ127" s="197"/>
      <c r="AR127" s="197"/>
      <c r="AS127" s="197"/>
    </row>
    <row r="128" spans="1:45" s="4" customFormat="1" ht="15.75" customHeight="1">
      <c r="A128" s="197"/>
      <c r="B128" s="403" t="s">
        <v>8707</v>
      </c>
      <c r="C128" s="2092">
        <v>0</v>
      </c>
      <c r="D128" s="697">
        <v>0</v>
      </c>
      <c r="E128" s="697">
        <v>0</v>
      </c>
      <c r="F128" s="697">
        <v>0</v>
      </c>
      <c r="G128" s="1597">
        <f t="shared" si="63"/>
        <v>0</v>
      </c>
      <c r="H128" s="697">
        <v>0</v>
      </c>
      <c r="I128" s="697">
        <v>0</v>
      </c>
      <c r="J128" s="1618"/>
      <c r="K128" s="1619"/>
      <c r="L128" s="197"/>
      <c r="M128" s="290" t="s">
        <v>8829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8707</v>
      </c>
      <c r="AF128" s="962" t="s">
        <v>16841</v>
      </c>
      <c r="AG128" s="905" t="s">
        <v>16842</v>
      </c>
      <c r="AH128" s="905" t="s">
        <v>16843</v>
      </c>
      <c r="AI128" s="905" t="s">
        <v>16844</v>
      </c>
      <c r="AJ128" s="963" t="s">
        <v>16845</v>
      </c>
      <c r="AK128" s="905" t="s">
        <v>16846</v>
      </c>
      <c r="AL128" s="905" t="s">
        <v>16847</v>
      </c>
      <c r="AM128" s="975"/>
      <c r="AN128" s="976"/>
      <c r="AO128" s="961"/>
      <c r="AP128" s="197"/>
      <c r="AQ128" s="197"/>
      <c r="AR128" s="197"/>
      <c r="AS128" s="197"/>
    </row>
    <row r="129" spans="1:45" s="4" customFormat="1" ht="15.75" customHeight="1">
      <c r="A129" s="197"/>
      <c r="B129" s="403" t="s">
        <v>8716</v>
      </c>
      <c r="C129" s="2092">
        <v>0</v>
      </c>
      <c r="D129" s="697">
        <v>0</v>
      </c>
      <c r="E129" s="697">
        <v>0</v>
      </c>
      <c r="F129" s="697">
        <v>0</v>
      </c>
      <c r="G129" s="1597">
        <f t="shared" si="63"/>
        <v>0</v>
      </c>
      <c r="H129" s="697">
        <v>0</v>
      </c>
      <c r="I129" s="697">
        <v>0</v>
      </c>
      <c r="J129" s="1618"/>
      <c r="K129" s="1619"/>
      <c r="L129" s="197"/>
      <c r="M129" s="290" t="s">
        <v>8830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8716</v>
      </c>
      <c r="AF129" s="962" t="s">
        <v>16848</v>
      </c>
      <c r="AG129" s="905" t="s">
        <v>16849</v>
      </c>
      <c r="AH129" s="905" t="s">
        <v>16850</v>
      </c>
      <c r="AI129" s="905" t="s">
        <v>16851</v>
      </c>
      <c r="AJ129" s="963" t="s">
        <v>16852</v>
      </c>
      <c r="AK129" s="905" t="s">
        <v>16853</v>
      </c>
      <c r="AL129" s="905" t="s">
        <v>16854</v>
      </c>
      <c r="AM129" s="975"/>
      <c r="AN129" s="976"/>
      <c r="AO129" s="961"/>
      <c r="AP129" s="197"/>
      <c r="AQ129" s="197"/>
      <c r="AR129" s="197"/>
      <c r="AS129" s="197"/>
    </row>
    <row r="130" spans="1:45" s="4" customFormat="1" ht="15.75" customHeight="1">
      <c r="A130" s="197"/>
      <c r="B130" s="403" t="s">
        <v>8725</v>
      </c>
      <c r="C130" s="2092">
        <v>0</v>
      </c>
      <c r="D130" s="697">
        <v>0</v>
      </c>
      <c r="E130" s="697">
        <v>0</v>
      </c>
      <c r="F130" s="697">
        <v>0</v>
      </c>
      <c r="G130" s="1597">
        <f t="shared" si="63"/>
        <v>0</v>
      </c>
      <c r="H130" s="697">
        <v>0</v>
      </c>
      <c r="I130" s="697">
        <v>0</v>
      </c>
      <c r="J130" s="1618"/>
      <c r="K130" s="1619"/>
      <c r="L130" s="197"/>
      <c r="M130" s="290" t="s">
        <v>8831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8725</v>
      </c>
      <c r="AF130" s="962" t="s">
        <v>16855</v>
      </c>
      <c r="AG130" s="905" t="s">
        <v>16856</v>
      </c>
      <c r="AH130" s="905" t="s">
        <v>16857</v>
      </c>
      <c r="AI130" s="905" t="s">
        <v>16858</v>
      </c>
      <c r="AJ130" s="963" t="s">
        <v>16859</v>
      </c>
      <c r="AK130" s="905" t="s">
        <v>16860</v>
      </c>
      <c r="AL130" s="905" t="s">
        <v>16861</v>
      </c>
      <c r="AM130" s="975"/>
      <c r="AN130" s="976"/>
      <c r="AO130" s="961"/>
      <c r="AP130" s="197"/>
      <c r="AQ130" s="197"/>
      <c r="AR130" s="197"/>
      <c r="AS130" s="197"/>
    </row>
    <row r="131" spans="1:45" s="4" customFormat="1" ht="15.75" customHeight="1">
      <c r="A131" s="197"/>
      <c r="B131" s="403" t="s">
        <v>8734</v>
      </c>
      <c r="C131" s="2092">
        <v>0</v>
      </c>
      <c r="D131" s="697">
        <v>0</v>
      </c>
      <c r="E131" s="697">
        <v>0</v>
      </c>
      <c r="F131" s="697">
        <v>0</v>
      </c>
      <c r="G131" s="1597">
        <f t="shared" si="63"/>
        <v>0</v>
      </c>
      <c r="H131" s="697">
        <v>0</v>
      </c>
      <c r="I131" s="697">
        <v>0</v>
      </c>
      <c r="J131" s="1618"/>
      <c r="K131" s="1619"/>
      <c r="L131" s="197"/>
      <c r="M131" s="290" t="s">
        <v>8832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8734</v>
      </c>
      <c r="AF131" s="962" t="s">
        <v>16862</v>
      </c>
      <c r="AG131" s="905" t="s">
        <v>16863</v>
      </c>
      <c r="AH131" s="905" t="s">
        <v>16864</v>
      </c>
      <c r="AI131" s="905" t="s">
        <v>16865</v>
      </c>
      <c r="AJ131" s="963" t="s">
        <v>16866</v>
      </c>
      <c r="AK131" s="905" t="s">
        <v>16867</v>
      </c>
      <c r="AL131" s="905" t="s">
        <v>16868</v>
      </c>
      <c r="AM131" s="975"/>
      <c r="AN131" s="976"/>
      <c r="AO131" s="961"/>
      <c r="AP131" s="197"/>
      <c r="AQ131" s="197"/>
      <c r="AR131" s="197"/>
      <c r="AS131" s="197"/>
    </row>
    <row r="132" spans="1:45" s="4" customFormat="1" ht="15.75" customHeight="1">
      <c r="A132" s="197"/>
      <c r="B132" s="403" t="s">
        <v>8743</v>
      </c>
      <c r="C132" s="2092">
        <v>0</v>
      </c>
      <c r="D132" s="697">
        <v>0</v>
      </c>
      <c r="E132" s="697">
        <v>0</v>
      </c>
      <c r="F132" s="697">
        <v>0</v>
      </c>
      <c r="G132" s="1597">
        <f t="shared" si="63"/>
        <v>0</v>
      </c>
      <c r="H132" s="697">
        <v>0</v>
      </c>
      <c r="I132" s="697">
        <v>0</v>
      </c>
      <c r="J132" s="1618"/>
      <c r="K132" s="1619"/>
      <c r="L132" s="197"/>
      <c r="M132" s="290" t="s">
        <v>8833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8743</v>
      </c>
      <c r="AF132" s="962" t="s">
        <v>16869</v>
      </c>
      <c r="AG132" s="905" t="s">
        <v>16870</v>
      </c>
      <c r="AH132" s="905" t="s">
        <v>16871</v>
      </c>
      <c r="AI132" s="905" t="s">
        <v>16872</v>
      </c>
      <c r="AJ132" s="963" t="s">
        <v>16873</v>
      </c>
      <c r="AK132" s="905" t="s">
        <v>16874</v>
      </c>
      <c r="AL132" s="905" t="s">
        <v>16875</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8834</v>
      </c>
      <c r="N133" s="197"/>
      <c r="O133" s="302"/>
      <c r="P133" s="197"/>
      <c r="Q133" s="828"/>
      <c r="R133" s="284"/>
      <c r="S133" s="828"/>
      <c r="T133" s="197"/>
      <c r="U133" s="197"/>
      <c r="V133" s="197"/>
      <c r="W133" s="197"/>
      <c r="X133" s="197"/>
      <c r="Y133" s="197"/>
      <c r="Z133" s="197"/>
      <c r="AA133" s="197"/>
      <c r="AB133" s="197"/>
      <c r="AC133" s="828"/>
      <c r="AD133" s="197"/>
      <c r="AE133" s="406" t="s">
        <v>4425</v>
      </c>
      <c r="AF133" s="965" t="s">
        <v>16876</v>
      </c>
      <c r="AG133" s="679" t="s">
        <v>16877</v>
      </c>
      <c r="AH133" s="679" t="s">
        <v>16878</v>
      </c>
      <c r="AI133" s="679" t="s">
        <v>16879</v>
      </c>
      <c r="AJ133" s="679" t="s">
        <v>16880</v>
      </c>
      <c r="AK133" s="679" t="s">
        <v>16881</v>
      </c>
      <c r="AL133" s="679" t="s">
        <v>16882</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8787</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8760</v>
      </c>
      <c r="C135" s="729"/>
      <c r="D135" s="1603"/>
      <c r="E135" s="1603"/>
      <c r="F135" s="1603"/>
      <c r="G135" s="1603"/>
      <c r="H135" s="1603"/>
      <c r="I135" s="1603"/>
      <c r="J135" s="1615"/>
      <c r="K135" s="1615"/>
      <c r="L135" s="197"/>
      <c r="M135" s="260" t="s">
        <v>8787</v>
      </c>
      <c r="N135" s="197"/>
      <c r="O135" s="197"/>
      <c r="P135" s="197"/>
      <c r="Q135" s="828"/>
      <c r="R135" s="284"/>
      <c r="S135" s="828"/>
      <c r="T135" s="197"/>
      <c r="U135" s="197"/>
      <c r="V135" s="197"/>
      <c r="W135" s="197"/>
      <c r="X135" s="197"/>
      <c r="Y135" s="197"/>
      <c r="Z135" s="197"/>
      <c r="AA135" s="197"/>
      <c r="AB135" s="197"/>
      <c r="AC135" s="828"/>
      <c r="AD135" s="197"/>
      <c r="AE135" s="393" t="s">
        <v>8760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8760</v>
      </c>
      <c r="C136" s="701">
        <v>0</v>
      </c>
      <c r="D136" s="701">
        <v>0</v>
      </c>
      <c r="E136" s="701">
        <v>0</v>
      </c>
      <c r="F136" s="701">
        <v>0</v>
      </c>
      <c r="G136" s="1586">
        <f>IFERROR(SUM(C136:F136),0)</f>
        <v>0</v>
      </c>
      <c r="H136" s="701">
        <v>0</v>
      </c>
      <c r="I136" s="701">
        <v>0</v>
      </c>
      <c r="J136" s="1620"/>
      <c r="K136" s="1621"/>
      <c r="L136" s="197"/>
      <c r="M136" s="374" t="s">
        <v>8835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8760</v>
      </c>
      <c r="AF136" s="978" t="s">
        <v>16883</v>
      </c>
      <c r="AG136" s="978" t="s">
        <v>16884</v>
      </c>
      <c r="AH136" s="978" t="s">
        <v>16885</v>
      </c>
      <c r="AI136" s="978" t="s">
        <v>16886</v>
      </c>
      <c r="AJ136" s="979" t="s">
        <v>16887</v>
      </c>
      <c r="AK136" s="978" t="s">
        <v>16888</v>
      </c>
      <c r="AL136" s="978" t="s">
        <v>16889</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8787</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8769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8836</v>
      </c>
      <c r="N138" s="197"/>
      <c r="O138" s="982"/>
      <c r="P138" s="389"/>
      <c r="Q138" s="825"/>
      <c r="R138" s="284"/>
      <c r="S138" s="825"/>
      <c r="T138" s="197"/>
      <c r="U138" s="197"/>
      <c r="V138" s="197"/>
      <c r="W138" s="197"/>
      <c r="X138" s="197"/>
      <c r="Y138" s="197"/>
      <c r="Z138" s="197"/>
      <c r="AA138" s="197"/>
      <c r="AB138" s="197"/>
      <c r="AC138" s="825"/>
      <c r="AD138" s="389"/>
      <c r="AE138" s="420" t="s">
        <v>8769</v>
      </c>
      <c r="AF138" s="985" t="s">
        <v>16890</v>
      </c>
      <c r="AG138" s="372" t="s">
        <v>16891</v>
      </c>
      <c r="AH138" s="372" t="s">
        <v>16892</v>
      </c>
      <c r="AI138" s="372" t="s">
        <v>16893</v>
      </c>
      <c r="AJ138" s="372" t="s">
        <v>16894</v>
      </c>
      <c r="AK138" s="372" t="s">
        <v>16895</v>
      </c>
      <c r="AL138" s="372" t="s">
        <v>16896</v>
      </c>
      <c r="AM138" s="986"/>
      <c r="AN138" s="987"/>
      <c r="AO138" s="961"/>
      <c r="AP138" s="389"/>
      <c r="AQ138" s="389"/>
      <c r="AR138" s="389"/>
      <c r="AS138" s="389"/>
    </row>
    <row r="139" spans="1:45" s="4" customFormat="1" ht="16.8"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6.05" customHeight="1" thickTop="1">
      <c r="A140" s="197"/>
      <c r="B140" s="2734" t="s">
        <v>4202</v>
      </c>
      <c r="C140" s="2715" t="s">
        <v>8837</v>
      </c>
      <c r="D140" s="2715"/>
      <c r="E140" s="2715"/>
      <c r="F140" s="2715"/>
      <c r="G140" s="2715"/>
      <c r="H140" s="2715"/>
      <c r="I140" s="2715"/>
      <c r="J140" s="2715"/>
      <c r="K140" s="2717"/>
      <c r="L140" s="651"/>
      <c r="M140" s="197"/>
      <c r="N140" s="197"/>
      <c r="O140" s="197"/>
      <c r="P140" s="651"/>
      <c r="Q140" s="907"/>
      <c r="R140" s="284"/>
      <c r="S140" s="907"/>
      <c r="T140" s="651"/>
      <c r="U140" s="651"/>
      <c r="V140" s="651"/>
      <c r="W140" s="651"/>
      <c r="X140" s="651"/>
      <c r="Y140" s="651"/>
      <c r="Z140" s="651"/>
      <c r="AA140" s="651"/>
      <c r="AB140" s="651"/>
      <c r="AC140" s="907"/>
      <c r="AD140" s="651"/>
      <c r="AE140" s="2734" t="s">
        <v>4202</v>
      </c>
      <c r="AF140" s="2715" t="s">
        <v>8837</v>
      </c>
      <c r="AG140" s="2715"/>
      <c r="AH140" s="2715"/>
      <c r="AI140" s="2715"/>
      <c r="AJ140" s="2715"/>
      <c r="AK140" s="2715"/>
      <c r="AL140" s="2715"/>
      <c r="AM140" s="2715"/>
      <c r="AN140" s="2717"/>
      <c r="AO140" s="317"/>
      <c r="AP140" s="197"/>
      <c r="AQ140" s="197"/>
      <c r="AR140" s="197"/>
      <c r="AS140" s="197"/>
    </row>
    <row r="141" spans="1:45" s="4" customFormat="1">
      <c r="A141" s="197"/>
      <c r="B141" s="2817"/>
      <c r="C141" s="2818" t="s">
        <v>8500</v>
      </c>
      <c r="D141" s="2818"/>
      <c r="E141" s="2818"/>
      <c r="F141" s="2818"/>
      <c r="G141" s="2818" t="s">
        <v>8501</v>
      </c>
      <c r="H141" s="2818"/>
      <c r="I141" s="2818" t="s">
        <v>8502</v>
      </c>
      <c r="J141" s="2818" t="s">
        <v>8503</v>
      </c>
      <c r="K141" s="2859"/>
      <c r="L141" s="197"/>
      <c r="M141" s="197"/>
      <c r="N141" s="197"/>
      <c r="O141" s="197"/>
      <c r="P141" s="197"/>
      <c r="Q141" s="828"/>
      <c r="R141" s="284"/>
      <c r="S141" s="828"/>
      <c r="T141" s="197"/>
      <c r="U141" s="197"/>
      <c r="V141" s="197"/>
      <c r="W141" s="197"/>
      <c r="X141" s="197"/>
      <c r="Y141" s="197"/>
      <c r="Z141" s="197"/>
      <c r="AA141" s="197"/>
      <c r="AB141" s="197"/>
      <c r="AC141" s="828"/>
      <c r="AD141" s="197"/>
      <c r="AE141" s="2817"/>
      <c r="AF141" s="2818" t="s">
        <v>8500</v>
      </c>
      <c r="AG141" s="2818"/>
      <c r="AH141" s="2818"/>
      <c r="AI141" s="2818"/>
      <c r="AJ141" s="2818" t="s">
        <v>8501</v>
      </c>
      <c r="AK141" s="2818"/>
      <c r="AL141" s="2818" t="s">
        <v>8502</v>
      </c>
      <c r="AM141" s="2818" t="s">
        <v>8503</v>
      </c>
      <c r="AN141" s="2859"/>
      <c r="AO141" s="317"/>
      <c r="AP141" s="197"/>
      <c r="AQ141" s="197"/>
      <c r="AR141" s="197"/>
      <c r="AS141" s="197"/>
    </row>
    <row r="142" spans="1:45" s="4" customFormat="1" ht="30">
      <c r="A142" s="197"/>
      <c r="B142" s="2817"/>
      <c r="C142" s="427" t="s">
        <v>8504</v>
      </c>
      <c r="D142" s="427" t="s">
        <v>8505</v>
      </c>
      <c r="E142" s="427" t="s">
        <v>8506</v>
      </c>
      <c r="F142" s="427" t="s">
        <v>8507</v>
      </c>
      <c r="G142" s="427" t="s">
        <v>8508</v>
      </c>
      <c r="H142" s="427" t="s">
        <v>8509</v>
      </c>
      <c r="I142" s="2818"/>
      <c r="J142" s="427" t="s">
        <v>8510</v>
      </c>
      <c r="K142" s="428" t="s">
        <v>8511</v>
      </c>
      <c r="L142" s="197"/>
      <c r="M142" s="197"/>
      <c r="N142" s="197"/>
      <c r="O142" s="197"/>
      <c r="P142" s="197"/>
      <c r="Q142" s="828"/>
      <c r="R142" s="284"/>
      <c r="S142" s="828"/>
      <c r="T142" s="197"/>
      <c r="U142" s="197"/>
      <c r="V142" s="197"/>
      <c r="W142" s="197"/>
      <c r="X142" s="197"/>
      <c r="Y142" s="197"/>
      <c r="Z142" s="197"/>
      <c r="AA142" s="197"/>
      <c r="AB142" s="197"/>
      <c r="AC142" s="828"/>
      <c r="AD142" s="197"/>
      <c r="AE142" s="2817"/>
      <c r="AF142" s="427" t="s">
        <v>8504</v>
      </c>
      <c r="AG142" s="427" t="s">
        <v>8505</v>
      </c>
      <c r="AH142" s="427" t="s">
        <v>8506</v>
      </c>
      <c r="AI142" s="427" t="s">
        <v>8507</v>
      </c>
      <c r="AJ142" s="427" t="s">
        <v>8508</v>
      </c>
      <c r="AK142" s="427" t="s">
        <v>8509</v>
      </c>
      <c r="AL142" s="2818"/>
      <c r="AM142" s="427" t="s">
        <v>8510</v>
      </c>
      <c r="AN142" s="428" t="s">
        <v>8511</v>
      </c>
      <c r="AO142" s="317"/>
      <c r="AP142" s="197"/>
      <c r="AQ142" s="197"/>
      <c r="AR142" s="197"/>
      <c r="AS142" s="197"/>
    </row>
    <row r="143" spans="1:45" s="4" customFormat="1" ht="16.05"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2"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710" t="s">
        <v>4201</v>
      </c>
      <c r="U144" s="2710"/>
      <c r="V144" s="2843"/>
      <c r="W144" s="2843"/>
      <c r="X144" s="2843"/>
      <c r="Y144" s="2843"/>
      <c r="Z144" s="2843"/>
      <c r="AA144" s="2843"/>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8"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8512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8512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8513</v>
      </c>
      <c r="C147" s="2091">
        <v>0</v>
      </c>
      <c r="D147" s="694">
        <v>0</v>
      </c>
      <c r="E147" s="694">
        <v>0</v>
      </c>
      <c r="F147" s="694">
        <v>0</v>
      </c>
      <c r="G147" s="1595">
        <f t="shared" ref="G147:G154" si="67">IFERROR(SUM(C147:F147),0)</f>
        <v>0</v>
      </c>
      <c r="H147" s="2091">
        <v>0</v>
      </c>
      <c r="I147" s="694">
        <v>0</v>
      </c>
      <c r="J147" s="1609">
        <v>0</v>
      </c>
      <c r="K147" s="1610">
        <v>0</v>
      </c>
      <c r="L147" s="197"/>
      <c r="M147" s="281" t="s">
        <v>8838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8513</v>
      </c>
      <c r="AF147" s="958" t="s">
        <v>16897</v>
      </c>
      <c r="AG147" s="904" t="s">
        <v>16898</v>
      </c>
      <c r="AH147" s="904" t="s">
        <v>16899</v>
      </c>
      <c r="AI147" s="904" t="s">
        <v>16900</v>
      </c>
      <c r="AJ147" s="959" t="s">
        <v>16901</v>
      </c>
      <c r="AK147" s="958" t="s">
        <v>16902</v>
      </c>
      <c r="AL147" s="904" t="s">
        <v>16903</v>
      </c>
      <c r="AM147" s="904" t="s">
        <v>16904</v>
      </c>
      <c r="AN147" s="960" t="s">
        <v>16905</v>
      </c>
      <c r="AO147" s="961"/>
      <c r="AP147" s="197"/>
      <c r="AQ147" s="197"/>
      <c r="AR147" s="197"/>
      <c r="AS147" s="197"/>
    </row>
    <row r="148" spans="1:45" s="4" customFormat="1" ht="15.75" customHeight="1">
      <c r="A148" s="197"/>
      <c r="B148" s="403" t="s">
        <v>8524</v>
      </c>
      <c r="C148" s="2092">
        <v>0</v>
      </c>
      <c r="D148" s="697">
        <v>0</v>
      </c>
      <c r="E148" s="697">
        <v>0</v>
      </c>
      <c r="F148" s="697">
        <v>0</v>
      </c>
      <c r="G148" s="1597">
        <f t="shared" si="67"/>
        <v>0</v>
      </c>
      <c r="H148" s="2092">
        <v>0</v>
      </c>
      <c r="I148" s="697">
        <v>0</v>
      </c>
      <c r="J148" s="1611">
        <v>0</v>
      </c>
      <c r="K148" s="1612">
        <v>0</v>
      </c>
      <c r="L148" s="197"/>
      <c r="M148" s="290" t="s">
        <v>8839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8524</v>
      </c>
      <c r="AF148" s="962" t="s">
        <v>16906</v>
      </c>
      <c r="AG148" s="905" t="s">
        <v>16907</v>
      </c>
      <c r="AH148" s="905" t="s">
        <v>16908</v>
      </c>
      <c r="AI148" s="905" t="s">
        <v>16909</v>
      </c>
      <c r="AJ148" s="963" t="s">
        <v>16910</v>
      </c>
      <c r="AK148" s="962" t="s">
        <v>16911</v>
      </c>
      <c r="AL148" s="905" t="s">
        <v>16912</v>
      </c>
      <c r="AM148" s="905" t="s">
        <v>16913</v>
      </c>
      <c r="AN148" s="964" t="s">
        <v>16914</v>
      </c>
      <c r="AO148" s="961"/>
      <c r="AP148" s="197"/>
      <c r="AQ148" s="197"/>
      <c r="AR148" s="197"/>
      <c r="AS148" s="197"/>
    </row>
    <row r="149" spans="1:45" s="4" customFormat="1" ht="15.75" customHeight="1">
      <c r="A149" s="197"/>
      <c r="B149" s="403" t="s">
        <v>8535</v>
      </c>
      <c r="C149" s="2092">
        <v>0</v>
      </c>
      <c r="D149" s="697">
        <v>0</v>
      </c>
      <c r="E149" s="697">
        <v>0</v>
      </c>
      <c r="F149" s="697">
        <v>0</v>
      </c>
      <c r="G149" s="1597">
        <f t="shared" si="67"/>
        <v>0</v>
      </c>
      <c r="H149" s="2092">
        <v>0</v>
      </c>
      <c r="I149" s="697">
        <v>0</v>
      </c>
      <c r="J149" s="1611">
        <v>0</v>
      </c>
      <c r="K149" s="1612">
        <v>0</v>
      </c>
      <c r="L149" s="197"/>
      <c r="M149" s="290" t="s">
        <v>8840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8535</v>
      </c>
      <c r="AF149" s="962" t="s">
        <v>16915</v>
      </c>
      <c r="AG149" s="905" t="s">
        <v>16916</v>
      </c>
      <c r="AH149" s="905" t="s">
        <v>16917</v>
      </c>
      <c r="AI149" s="905" t="s">
        <v>16918</v>
      </c>
      <c r="AJ149" s="963" t="s">
        <v>16919</v>
      </c>
      <c r="AK149" s="962" t="s">
        <v>16920</v>
      </c>
      <c r="AL149" s="905" t="s">
        <v>16921</v>
      </c>
      <c r="AM149" s="905" t="s">
        <v>16922</v>
      </c>
      <c r="AN149" s="964" t="s">
        <v>16923</v>
      </c>
      <c r="AO149" s="961"/>
      <c r="AP149" s="197"/>
      <c r="AQ149" s="197"/>
      <c r="AR149" s="197"/>
      <c r="AS149" s="197"/>
    </row>
    <row r="150" spans="1:45" s="4" customFormat="1" ht="15.75" customHeight="1">
      <c r="A150" s="197"/>
      <c r="B150" s="403" t="s">
        <v>8546</v>
      </c>
      <c r="C150" s="2092">
        <v>0</v>
      </c>
      <c r="D150" s="697">
        <v>0</v>
      </c>
      <c r="E150" s="697">
        <v>0</v>
      </c>
      <c r="F150" s="697">
        <v>0</v>
      </c>
      <c r="G150" s="1597">
        <f t="shared" si="67"/>
        <v>0</v>
      </c>
      <c r="H150" s="2092">
        <v>0</v>
      </c>
      <c r="I150" s="697">
        <v>0</v>
      </c>
      <c r="J150" s="1611">
        <v>0</v>
      </c>
      <c r="K150" s="1612">
        <v>0</v>
      </c>
      <c r="L150" s="197"/>
      <c r="M150" s="290" t="s">
        <v>8841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8546</v>
      </c>
      <c r="AF150" s="962" t="s">
        <v>16924</v>
      </c>
      <c r="AG150" s="905" t="s">
        <v>16925</v>
      </c>
      <c r="AH150" s="905" t="s">
        <v>16926</v>
      </c>
      <c r="AI150" s="905" t="s">
        <v>16927</v>
      </c>
      <c r="AJ150" s="963" t="s">
        <v>16928</v>
      </c>
      <c r="AK150" s="962" t="s">
        <v>16929</v>
      </c>
      <c r="AL150" s="905" t="s">
        <v>16930</v>
      </c>
      <c r="AM150" s="905" t="s">
        <v>16931</v>
      </c>
      <c r="AN150" s="964" t="s">
        <v>16932</v>
      </c>
      <c r="AO150" s="961"/>
      <c r="AP150" s="197"/>
      <c r="AQ150" s="197"/>
      <c r="AR150" s="197"/>
      <c r="AS150" s="197"/>
    </row>
    <row r="151" spans="1:45" s="4" customFormat="1" ht="15.75" customHeight="1">
      <c r="A151" s="197"/>
      <c r="B151" s="403" t="s">
        <v>8557</v>
      </c>
      <c r="C151" s="2092">
        <v>0</v>
      </c>
      <c r="D151" s="697">
        <v>0</v>
      </c>
      <c r="E151" s="697">
        <v>0</v>
      </c>
      <c r="F151" s="697">
        <v>0</v>
      </c>
      <c r="G151" s="1597">
        <f t="shared" si="67"/>
        <v>0</v>
      </c>
      <c r="H151" s="2092">
        <v>0</v>
      </c>
      <c r="I151" s="697">
        <v>0</v>
      </c>
      <c r="J151" s="1611">
        <v>0</v>
      </c>
      <c r="K151" s="1612">
        <v>0</v>
      </c>
      <c r="L151" s="197"/>
      <c r="M151" s="290" t="s">
        <v>8842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8557</v>
      </c>
      <c r="AF151" s="962" t="s">
        <v>16933</v>
      </c>
      <c r="AG151" s="905" t="s">
        <v>16934</v>
      </c>
      <c r="AH151" s="905" t="s">
        <v>16935</v>
      </c>
      <c r="AI151" s="905" t="s">
        <v>16936</v>
      </c>
      <c r="AJ151" s="963" t="s">
        <v>16937</v>
      </c>
      <c r="AK151" s="962" t="s">
        <v>16938</v>
      </c>
      <c r="AL151" s="905" t="s">
        <v>16939</v>
      </c>
      <c r="AM151" s="905" t="s">
        <v>16940</v>
      </c>
      <c r="AN151" s="964" t="s">
        <v>16941</v>
      </c>
      <c r="AO151" s="961"/>
      <c r="AP151" s="197"/>
      <c r="AQ151" s="197"/>
      <c r="AR151" s="197"/>
      <c r="AS151" s="197"/>
    </row>
    <row r="152" spans="1:45" s="4" customFormat="1" ht="15.75" customHeight="1">
      <c r="A152" s="197"/>
      <c r="B152" s="403" t="s">
        <v>8568</v>
      </c>
      <c r="C152" s="2092">
        <v>0</v>
      </c>
      <c r="D152" s="697">
        <v>0</v>
      </c>
      <c r="E152" s="697">
        <v>0</v>
      </c>
      <c r="F152" s="697">
        <v>0</v>
      </c>
      <c r="G152" s="1597">
        <f t="shared" si="67"/>
        <v>0</v>
      </c>
      <c r="H152" s="2092">
        <v>0</v>
      </c>
      <c r="I152" s="697">
        <v>0</v>
      </c>
      <c r="J152" s="1611">
        <v>0</v>
      </c>
      <c r="K152" s="1612">
        <v>0</v>
      </c>
      <c r="L152" s="197"/>
      <c r="M152" s="290" t="s">
        <v>8843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8568</v>
      </c>
      <c r="AF152" s="962" t="s">
        <v>16942</v>
      </c>
      <c r="AG152" s="905" t="s">
        <v>16943</v>
      </c>
      <c r="AH152" s="905" t="s">
        <v>16944</v>
      </c>
      <c r="AI152" s="905" t="s">
        <v>16945</v>
      </c>
      <c r="AJ152" s="963" t="s">
        <v>16946</v>
      </c>
      <c r="AK152" s="962" t="s">
        <v>16947</v>
      </c>
      <c r="AL152" s="905" t="s">
        <v>16948</v>
      </c>
      <c r="AM152" s="905" t="s">
        <v>16949</v>
      </c>
      <c r="AN152" s="964" t="s">
        <v>16950</v>
      </c>
      <c r="AO152" s="961"/>
      <c r="AP152" s="197"/>
      <c r="AQ152" s="197"/>
      <c r="AR152" s="197"/>
      <c r="AS152" s="197"/>
    </row>
    <row r="153" spans="1:45" s="4" customFormat="1" ht="15.75" customHeight="1">
      <c r="A153" s="197"/>
      <c r="B153" s="403" t="s">
        <v>8579</v>
      </c>
      <c r="C153" s="2092">
        <v>0</v>
      </c>
      <c r="D153" s="697">
        <v>0</v>
      </c>
      <c r="E153" s="697">
        <v>0</v>
      </c>
      <c r="F153" s="697">
        <v>0</v>
      </c>
      <c r="G153" s="1597">
        <f t="shared" si="67"/>
        <v>0</v>
      </c>
      <c r="H153" s="2092">
        <v>0</v>
      </c>
      <c r="I153" s="697">
        <v>0</v>
      </c>
      <c r="J153" s="1611">
        <v>0</v>
      </c>
      <c r="K153" s="1612">
        <v>0</v>
      </c>
      <c r="L153" s="197"/>
      <c r="M153" s="290" t="s">
        <v>8844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8579</v>
      </c>
      <c r="AF153" s="962" t="s">
        <v>16951</v>
      </c>
      <c r="AG153" s="905" t="s">
        <v>16952</v>
      </c>
      <c r="AH153" s="905" t="s">
        <v>16953</v>
      </c>
      <c r="AI153" s="905" t="s">
        <v>16954</v>
      </c>
      <c r="AJ153" s="963" t="s">
        <v>16955</v>
      </c>
      <c r="AK153" s="962" t="s">
        <v>16956</v>
      </c>
      <c r="AL153" s="905" t="s">
        <v>16957</v>
      </c>
      <c r="AM153" s="905" t="s">
        <v>16958</v>
      </c>
      <c r="AN153" s="964" t="s">
        <v>16959</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8845</v>
      </c>
      <c r="N154" s="197"/>
      <c r="O154" s="302"/>
      <c r="P154" s="197"/>
      <c r="Q154" s="828"/>
      <c r="R154" s="284"/>
      <c r="S154" s="828"/>
      <c r="T154" s="197"/>
      <c r="U154" s="197"/>
      <c r="V154" s="197"/>
      <c r="W154" s="197"/>
      <c r="X154" s="197"/>
      <c r="Y154" s="197"/>
      <c r="Z154" s="197"/>
      <c r="AA154" s="197"/>
      <c r="AB154" s="197"/>
      <c r="AC154" s="828"/>
      <c r="AD154" s="197"/>
      <c r="AE154" s="406" t="s">
        <v>4425</v>
      </c>
      <c r="AF154" s="965" t="s">
        <v>16960</v>
      </c>
      <c r="AG154" s="679" t="s">
        <v>16961</v>
      </c>
      <c r="AH154" s="679" t="s">
        <v>16962</v>
      </c>
      <c r="AI154" s="679" t="s">
        <v>16963</v>
      </c>
      <c r="AJ154" s="679" t="s">
        <v>16964</v>
      </c>
      <c r="AK154" s="679" t="s">
        <v>16965</v>
      </c>
      <c r="AL154" s="679" t="s">
        <v>16966</v>
      </c>
      <c r="AM154" s="966" t="s">
        <v>16967</v>
      </c>
      <c r="AN154" s="967" t="s">
        <v>16967</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8787</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8598</v>
      </c>
      <c r="C156" s="729"/>
      <c r="D156" s="1603"/>
      <c r="E156" s="1603"/>
      <c r="F156" s="1603"/>
      <c r="G156" s="1603"/>
      <c r="H156" s="1603"/>
      <c r="I156" s="1603"/>
      <c r="J156" s="1615"/>
      <c r="K156" s="1615"/>
      <c r="L156" s="197"/>
      <c r="M156" s="242" t="s">
        <v>8787</v>
      </c>
      <c r="N156" s="197"/>
      <c r="O156" s="197"/>
      <c r="P156" s="197"/>
      <c r="Q156" s="828"/>
      <c r="R156" s="284"/>
      <c r="S156" s="828"/>
      <c r="T156" s="197"/>
      <c r="U156" s="197"/>
      <c r="V156" s="197"/>
      <c r="W156" s="197"/>
      <c r="X156" s="197"/>
      <c r="Y156" s="197"/>
      <c r="Z156" s="197"/>
      <c r="AA156" s="197"/>
      <c r="AB156" s="197"/>
      <c r="AC156" s="828"/>
      <c r="AD156" s="197"/>
      <c r="AE156" s="393" t="s">
        <v>8598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8599</v>
      </c>
      <c r="C157" s="2091">
        <v>0</v>
      </c>
      <c r="D157" s="694">
        <v>0</v>
      </c>
      <c r="E157" s="694">
        <v>0</v>
      </c>
      <c r="F157" s="694">
        <v>0</v>
      </c>
      <c r="G157" s="1595">
        <f>IFERROR(SUM(C157:F157),0)</f>
        <v>0</v>
      </c>
      <c r="H157" s="694">
        <v>0</v>
      </c>
      <c r="I157" s="694">
        <v>0</v>
      </c>
      <c r="J157" s="1616"/>
      <c r="K157" s="1617"/>
      <c r="L157" s="197"/>
      <c r="M157" s="281" t="s">
        <v>8846</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8599</v>
      </c>
      <c r="AF157" s="958" t="s">
        <v>16968</v>
      </c>
      <c r="AG157" s="904" t="s">
        <v>16969</v>
      </c>
      <c r="AH157" s="904" t="s">
        <v>16970</v>
      </c>
      <c r="AI157" s="904" t="s">
        <v>16971</v>
      </c>
      <c r="AJ157" s="959" t="s">
        <v>16972</v>
      </c>
      <c r="AK157" s="904" t="s">
        <v>16973</v>
      </c>
      <c r="AL157" s="904" t="s">
        <v>16974</v>
      </c>
      <c r="AM157" s="973"/>
      <c r="AN157" s="974"/>
      <c r="AO157" s="961"/>
      <c r="AP157" s="197"/>
      <c r="AQ157" s="197"/>
      <c r="AR157" s="197"/>
      <c r="AS157" s="197"/>
    </row>
    <row r="158" spans="1:45" s="4" customFormat="1" ht="15.75" customHeight="1">
      <c r="A158" s="197"/>
      <c r="B158" s="403" t="s">
        <v>8608</v>
      </c>
      <c r="C158" s="2092">
        <v>0</v>
      </c>
      <c r="D158" s="697">
        <v>0</v>
      </c>
      <c r="E158" s="697">
        <v>0</v>
      </c>
      <c r="F158" s="697">
        <v>0</v>
      </c>
      <c r="G158" s="1597">
        <f>IFERROR(SUM(C158:F158),0)</f>
        <v>0</v>
      </c>
      <c r="H158" s="697">
        <v>0</v>
      </c>
      <c r="I158" s="697">
        <v>0</v>
      </c>
      <c r="J158" s="1618"/>
      <c r="K158" s="1619"/>
      <c r="L158" s="197"/>
      <c r="M158" s="290" t="s">
        <v>8847</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8608</v>
      </c>
      <c r="AF158" s="962" t="s">
        <v>16975</v>
      </c>
      <c r="AG158" s="905" t="s">
        <v>16976</v>
      </c>
      <c r="AH158" s="905" t="s">
        <v>16977</v>
      </c>
      <c r="AI158" s="905" t="s">
        <v>16978</v>
      </c>
      <c r="AJ158" s="963" t="s">
        <v>16979</v>
      </c>
      <c r="AK158" s="905" t="s">
        <v>16980</v>
      </c>
      <c r="AL158" s="905" t="s">
        <v>16981</v>
      </c>
      <c r="AM158" s="975"/>
      <c r="AN158" s="976"/>
      <c r="AO158" s="961"/>
      <c r="AP158" s="197"/>
      <c r="AQ158" s="197"/>
      <c r="AR158" s="197"/>
      <c r="AS158" s="197"/>
    </row>
    <row r="159" spans="1:45" s="4" customFormat="1" ht="15.75" customHeight="1">
      <c r="A159" s="197"/>
      <c r="B159" s="403" t="s">
        <v>8617</v>
      </c>
      <c r="C159" s="2092">
        <v>0</v>
      </c>
      <c r="D159" s="697">
        <v>0</v>
      </c>
      <c r="E159" s="697">
        <v>0</v>
      </c>
      <c r="F159" s="697">
        <v>0</v>
      </c>
      <c r="G159" s="1597">
        <f>IFERROR(SUM(C159:F159),0)</f>
        <v>0</v>
      </c>
      <c r="H159" s="697">
        <v>0</v>
      </c>
      <c r="I159" s="697">
        <v>0</v>
      </c>
      <c r="J159" s="1618"/>
      <c r="K159" s="1619"/>
      <c r="L159" s="197"/>
      <c r="M159" s="290" t="s">
        <v>8848</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8617</v>
      </c>
      <c r="AF159" s="962" t="s">
        <v>16982</v>
      </c>
      <c r="AG159" s="905" t="s">
        <v>16983</v>
      </c>
      <c r="AH159" s="905" t="s">
        <v>16984</v>
      </c>
      <c r="AI159" s="905" t="s">
        <v>16985</v>
      </c>
      <c r="AJ159" s="963" t="s">
        <v>16986</v>
      </c>
      <c r="AK159" s="905" t="s">
        <v>16987</v>
      </c>
      <c r="AL159" s="905" t="s">
        <v>16988</v>
      </c>
      <c r="AM159" s="975"/>
      <c r="AN159" s="976"/>
      <c r="AO159" s="961"/>
      <c r="AP159" s="197"/>
      <c r="AQ159" s="197"/>
      <c r="AR159" s="197"/>
      <c r="AS159" s="197"/>
    </row>
    <row r="160" spans="1:45" s="4" customFormat="1" ht="15.75" customHeight="1">
      <c r="A160" s="197"/>
      <c r="B160" s="403" t="s">
        <v>8626</v>
      </c>
      <c r="C160" s="2092">
        <v>0</v>
      </c>
      <c r="D160" s="697">
        <v>0</v>
      </c>
      <c r="E160" s="697">
        <v>0</v>
      </c>
      <c r="F160" s="697">
        <v>0</v>
      </c>
      <c r="G160" s="1597">
        <f>IFERROR(SUM(C160:F160),0)</f>
        <v>0</v>
      </c>
      <c r="H160" s="697">
        <v>0</v>
      </c>
      <c r="I160" s="697">
        <v>0</v>
      </c>
      <c r="J160" s="1618"/>
      <c r="K160" s="1619"/>
      <c r="L160" s="197"/>
      <c r="M160" s="290" t="s">
        <v>8849</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8626</v>
      </c>
      <c r="AF160" s="962" t="s">
        <v>16989</v>
      </c>
      <c r="AG160" s="905" t="s">
        <v>16990</v>
      </c>
      <c r="AH160" s="905" t="s">
        <v>16991</v>
      </c>
      <c r="AI160" s="905" t="s">
        <v>16992</v>
      </c>
      <c r="AJ160" s="963" t="s">
        <v>16993</v>
      </c>
      <c r="AK160" s="905" t="s">
        <v>16994</v>
      </c>
      <c r="AL160" s="905" t="s">
        <v>16995</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8850</v>
      </c>
      <c r="N161" s="197"/>
      <c r="O161" s="302"/>
      <c r="P161" s="197"/>
      <c r="Q161" s="828"/>
      <c r="R161" s="284"/>
      <c r="S161" s="828"/>
      <c r="T161" s="197"/>
      <c r="U161" s="197"/>
      <c r="V161" s="197"/>
      <c r="W161" s="197"/>
      <c r="X161" s="197"/>
      <c r="Y161" s="197"/>
      <c r="Z161" s="197"/>
      <c r="AA161" s="197"/>
      <c r="AB161" s="197"/>
      <c r="AC161" s="828"/>
      <c r="AD161" s="197"/>
      <c r="AE161" s="406" t="s">
        <v>4425</v>
      </c>
      <c r="AF161" s="965" t="s">
        <v>16996</v>
      </c>
      <c r="AG161" s="679" t="s">
        <v>16997</v>
      </c>
      <c r="AH161" s="679" t="s">
        <v>16998</v>
      </c>
      <c r="AI161" s="679" t="s">
        <v>16999</v>
      </c>
      <c r="AJ161" s="679" t="s">
        <v>17000</v>
      </c>
      <c r="AK161" s="679" t="s">
        <v>17001</v>
      </c>
      <c r="AL161" s="679" t="s">
        <v>17002</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8787</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8643</v>
      </c>
      <c r="C163" s="729"/>
      <c r="D163" s="1603"/>
      <c r="E163" s="1603"/>
      <c r="F163" s="1603"/>
      <c r="G163" s="1603"/>
      <c r="H163" s="1603"/>
      <c r="I163" s="1603"/>
      <c r="J163" s="1615"/>
      <c r="K163" s="1615"/>
      <c r="L163" s="197"/>
      <c r="M163" s="242" t="s">
        <v>8787</v>
      </c>
      <c r="N163" s="197"/>
      <c r="O163" s="197"/>
      <c r="P163" s="197"/>
      <c r="Q163" s="828"/>
      <c r="R163" s="284"/>
      <c r="S163" s="828"/>
      <c r="T163" s="197"/>
      <c r="U163" s="197"/>
      <c r="V163" s="197"/>
      <c r="W163" s="197"/>
      <c r="X163" s="197"/>
      <c r="Y163" s="197"/>
      <c r="Z163" s="197"/>
      <c r="AA163" s="197"/>
      <c r="AB163" s="197"/>
      <c r="AC163" s="828"/>
      <c r="AD163" s="197"/>
      <c r="AE163" s="393" t="s">
        <v>8643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8644</v>
      </c>
      <c r="C164" s="2091">
        <v>0</v>
      </c>
      <c r="D164" s="694">
        <v>0</v>
      </c>
      <c r="E164" s="694">
        <v>0</v>
      </c>
      <c r="F164" s="694">
        <v>0</v>
      </c>
      <c r="G164" s="1595">
        <f>IFERROR(SUM(C164:F164),0)</f>
        <v>0</v>
      </c>
      <c r="H164" s="694">
        <v>0</v>
      </c>
      <c r="I164" s="694">
        <v>0</v>
      </c>
      <c r="J164" s="1616"/>
      <c r="K164" s="1617"/>
      <c r="L164" s="197"/>
      <c r="M164" s="281" t="s">
        <v>8851</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8644</v>
      </c>
      <c r="AF164" s="958" t="s">
        <v>17003</v>
      </c>
      <c r="AG164" s="904" t="s">
        <v>17004</v>
      </c>
      <c r="AH164" s="904" t="s">
        <v>17005</v>
      </c>
      <c r="AI164" s="904" t="s">
        <v>17006</v>
      </c>
      <c r="AJ164" s="959" t="s">
        <v>17007</v>
      </c>
      <c r="AK164" s="904" t="s">
        <v>17008</v>
      </c>
      <c r="AL164" s="904" t="s">
        <v>17009</v>
      </c>
      <c r="AM164" s="973"/>
      <c r="AN164" s="974"/>
      <c r="AO164" s="961"/>
      <c r="AP164" s="197"/>
      <c r="AQ164" s="197"/>
      <c r="AR164" s="197"/>
      <c r="AS164" s="197"/>
    </row>
    <row r="165" spans="1:45" s="4" customFormat="1" ht="15.75" customHeight="1">
      <c r="A165" s="197"/>
      <c r="B165" s="403" t="s">
        <v>8653</v>
      </c>
      <c r="C165" s="2092">
        <v>0</v>
      </c>
      <c r="D165" s="697">
        <v>0</v>
      </c>
      <c r="E165" s="697">
        <v>0</v>
      </c>
      <c r="F165" s="697">
        <v>0</v>
      </c>
      <c r="G165" s="1597">
        <f>IFERROR(SUM(C165:F165),0)</f>
        <v>0</v>
      </c>
      <c r="H165" s="697">
        <v>0</v>
      </c>
      <c r="I165" s="697">
        <v>0</v>
      </c>
      <c r="J165" s="1618"/>
      <c r="K165" s="1619"/>
      <c r="L165" s="197"/>
      <c r="M165" s="290" t="s">
        <v>8852</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8653</v>
      </c>
      <c r="AF165" s="962" t="s">
        <v>17010</v>
      </c>
      <c r="AG165" s="905" t="s">
        <v>17011</v>
      </c>
      <c r="AH165" s="905" t="s">
        <v>17012</v>
      </c>
      <c r="AI165" s="905" t="s">
        <v>17013</v>
      </c>
      <c r="AJ165" s="963" t="s">
        <v>17014</v>
      </c>
      <c r="AK165" s="905" t="s">
        <v>17015</v>
      </c>
      <c r="AL165" s="905" t="s">
        <v>17016</v>
      </c>
      <c r="AM165" s="975"/>
      <c r="AN165" s="976"/>
      <c r="AO165" s="961"/>
      <c r="AP165" s="197"/>
      <c r="AQ165" s="197"/>
      <c r="AR165" s="197"/>
      <c r="AS165" s="197"/>
    </row>
    <row r="166" spans="1:45" s="4" customFormat="1" ht="15.75" customHeight="1">
      <c r="A166" s="197"/>
      <c r="B166" s="403" t="s">
        <v>8662</v>
      </c>
      <c r="C166" s="2092">
        <v>0</v>
      </c>
      <c r="D166" s="697">
        <v>0</v>
      </c>
      <c r="E166" s="697">
        <v>0</v>
      </c>
      <c r="F166" s="697">
        <v>0</v>
      </c>
      <c r="G166" s="1597">
        <f>IFERROR(SUM(C166:F166),0)</f>
        <v>0</v>
      </c>
      <c r="H166" s="697">
        <v>0</v>
      </c>
      <c r="I166" s="697">
        <v>0</v>
      </c>
      <c r="J166" s="1618"/>
      <c r="K166" s="1619"/>
      <c r="L166" s="197"/>
      <c r="M166" s="290" t="s">
        <v>8853</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8662</v>
      </c>
      <c r="AF166" s="962" t="s">
        <v>17017</v>
      </c>
      <c r="AG166" s="905" t="s">
        <v>17018</v>
      </c>
      <c r="AH166" s="905" t="s">
        <v>17019</v>
      </c>
      <c r="AI166" s="905" t="s">
        <v>17020</v>
      </c>
      <c r="AJ166" s="963" t="s">
        <v>17021</v>
      </c>
      <c r="AK166" s="905" t="s">
        <v>17022</v>
      </c>
      <c r="AL166" s="905" t="s">
        <v>17023</v>
      </c>
      <c r="AM166" s="975"/>
      <c r="AN166" s="976"/>
      <c r="AO166" s="961"/>
      <c r="AP166" s="197"/>
      <c r="AQ166" s="197"/>
      <c r="AR166" s="197"/>
      <c r="AS166" s="197"/>
    </row>
    <row r="167" spans="1:45" s="4" customFormat="1" ht="15.75" customHeight="1">
      <c r="A167" s="197"/>
      <c r="B167" s="403" t="s">
        <v>8671</v>
      </c>
      <c r="C167" s="2092">
        <v>0</v>
      </c>
      <c r="D167" s="697">
        <v>0</v>
      </c>
      <c r="E167" s="697">
        <v>0</v>
      </c>
      <c r="F167" s="697">
        <v>0</v>
      </c>
      <c r="G167" s="1597">
        <f>IFERROR(SUM(C167:F167),0)</f>
        <v>0</v>
      </c>
      <c r="H167" s="697">
        <v>0</v>
      </c>
      <c r="I167" s="697">
        <v>0</v>
      </c>
      <c r="J167" s="1618"/>
      <c r="K167" s="1619"/>
      <c r="L167" s="197"/>
      <c r="M167" s="290" t="s">
        <v>8854</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8671</v>
      </c>
      <c r="AF167" s="962" t="s">
        <v>17024</v>
      </c>
      <c r="AG167" s="905" t="s">
        <v>17025</v>
      </c>
      <c r="AH167" s="905" t="s">
        <v>17026</v>
      </c>
      <c r="AI167" s="905" t="s">
        <v>17027</v>
      </c>
      <c r="AJ167" s="963" t="s">
        <v>17028</v>
      </c>
      <c r="AK167" s="905" t="s">
        <v>17029</v>
      </c>
      <c r="AL167" s="905" t="s">
        <v>17030</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8855</v>
      </c>
      <c r="N168" s="197"/>
      <c r="O168" s="302"/>
      <c r="P168" s="197"/>
      <c r="Q168" s="828"/>
      <c r="R168" s="284"/>
      <c r="S168" s="828"/>
      <c r="T168" s="197"/>
      <c r="U168" s="197"/>
      <c r="V168" s="197"/>
      <c r="W168" s="197"/>
      <c r="X168" s="197"/>
      <c r="Y168" s="197"/>
      <c r="Z168" s="197"/>
      <c r="AA168" s="197"/>
      <c r="AB168" s="197"/>
      <c r="AC168" s="828"/>
      <c r="AD168" s="197"/>
      <c r="AE168" s="406" t="s">
        <v>4425</v>
      </c>
      <c r="AF168" s="965" t="s">
        <v>17031</v>
      </c>
      <c r="AG168" s="679" t="s">
        <v>17032</v>
      </c>
      <c r="AH168" s="679" t="s">
        <v>17033</v>
      </c>
      <c r="AI168" s="679" t="s">
        <v>17034</v>
      </c>
      <c r="AJ168" s="679" t="s">
        <v>17035</v>
      </c>
      <c r="AK168" s="679" t="s">
        <v>17036</v>
      </c>
      <c r="AL168" s="679" t="s">
        <v>17037</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8787</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8688</v>
      </c>
      <c r="C170" s="729"/>
      <c r="D170" s="1603"/>
      <c r="E170" s="1603"/>
      <c r="F170" s="1603"/>
      <c r="G170" s="1603"/>
      <c r="H170" s="1603"/>
      <c r="I170" s="1603"/>
      <c r="J170" s="1615"/>
      <c r="K170" s="1615"/>
      <c r="L170" s="197"/>
      <c r="M170" s="242" t="s">
        <v>8787</v>
      </c>
      <c r="N170" s="197"/>
      <c r="O170" s="197"/>
      <c r="P170" s="197"/>
      <c r="Q170" s="828"/>
      <c r="R170" s="284"/>
      <c r="S170" s="828"/>
      <c r="T170" s="197"/>
      <c r="U170" s="197"/>
      <c r="V170" s="197"/>
      <c r="W170" s="197"/>
      <c r="X170" s="197"/>
      <c r="Y170" s="197"/>
      <c r="Z170" s="197"/>
      <c r="AA170" s="197"/>
      <c r="AB170" s="197"/>
      <c r="AC170" s="828"/>
      <c r="AD170" s="197"/>
      <c r="AE170" s="393" t="s">
        <v>8688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8689</v>
      </c>
      <c r="C171" s="2091">
        <v>0</v>
      </c>
      <c r="D171" s="694">
        <v>0</v>
      </c>
      <c r="E171" s="694">
        <v>0</v>
      </c>
      <c r="F171" s="694">
        <v>0</v>
      </c>
      <c r="G171" s="1595">
        <f t="shared" ref="G171:G178" si="75">IFERROR(SUM(C171:F171),0)</f>
        <v>0</v>
      </c>
      <c r="H171" s="694">
        <v>0</v>
      </c>
      <c r="I171" s="694">
        <v>0</v>
      </c>
      <c r="J171" s="1616"/>
      <c r="K171" s="1617"/>
      <c r="L171" s="197"/>
      <c r="M171" s="281" t="s">
        <v>8856</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8689</v>
      </c>
      <c r="AF171" s="958" t="s">
        <v>17038</v>
      </c>
      <c r="AG171" s="904" t="s">
        <v>17039</v>
      </c>
      <c r="AH171" s="904" t="s">
        <v>17040</v>
      </c>
      <c r="AI171" s="904" t="s">
        <v>17041</v>
      </c>
      <c r="AJ171" s="959" t="s">
        <v>17042</v>
      </c>
      <c r="AK171" s="904" t="s">
        <v>17043</v>
      </c>
      <c r="AL171" s="904" t="s">
        <v>17044</v>
      </c>
      <c r="AM171" s="973"/>
      <c r="AN171" s="974"/>
      <c r="AO171" s="961"/>
      <c r="AP171" s="197"/>
      <c r="AQ171" s="197"/>
      <c r="AR171" s="197"/>
      <c r="AS171" s="197"/>
    </row>
    <row r="172" spans="1:45" s="4" customFormat="1" ht="15.75" customHeight="1">
      <c r="A172" s="197"/>
      <c r="B172" s="403" t="s">
        <v>8698</v>
      </c>
      <c r="C172" s="2092">
        <v>0</v>
      </c>
      <c r="D172" s="697">
        <v>0</v>
      </c>
      <c r="E172" s="697">
        <v>0</v>
      </c>
      <c r="F172" s="697">
        <v>0</v>
      </c>
      <c r="G172" s="1597">
        <f t="shared" si="75"/>
        <v>0</v>
      </c>
      <c r="H172" s="697">
        <v>0</v>
      </c>
      <c r="I172" s="697">
        <v>0</v>
      </c>
      <c r="J172" s="1618"/>
      <c r="K172" s="1619"/>
      <c r="L172" s="197"/>
      <c r="M172" s="290" t="s">
        <v>8857</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8698</v>
      </c>
      <c r="AF172" s="962" t="s">
        <v>17045</v>
      </c>
      <c r="AG172" s="905" t="s">
        <v>17046</v>
      </c>
      <c r="AH172" s="905" t="s">
        <v>17047</v>
      </c>
      <c r="AI172" s="905" t="s">
        <v>17048</v>
      </c>
      <c r="AJ172" s="963" t="s">
        <v>17049</v>
      </c>
      <c r="AK172" s="905" t="s">
        <v>17050</v>
      </c>
      <c r="AL172" s="905" t="s">
        <v>17051</v>
      </c>
      <c r="AM172" s="975"/>
      <c r="AN172" s="976"/>
      <c r="AO172" s="961"/>
      <c r="AP172" s="197"/>
      <c r="AQ172" s="197"/>
      <c r="AR172" s="197"/>
      <c r="AS172" s="197"/>
    </row>
    <row r="173" spans="1:45" s="4" customFormat="1" ht="15.75" customHeight="1">
      <c r="A173" s="197"/>
      <c r="B173" s="403" t="s">
        <v>8707</v>
      </c>
      <c r="C173" s="2092">
        <v>0</v>
      </c>
      <c r="D173" s="697">
        <v>0</v>
      </c>
      <c r="E173" s="697">
        <v>0</v>
      </c>
      <c r="F173" s="697">
        <v>0</v>
      </c>
      <c r="G173" s="1597">
        <f t="shared" si="75"/>
        <v>0</v>
      </c>
      <c r="H173" s="697">
        <v>0</v>
      </c>
      <c r="I173" s="697">
        <v>0</v>
      </c>
      <c r="J173" s="1618"/>
      <c r="K173" s="1619"/>
      <c r="L173" s="197"/>
      <c r="M173" s="290" t="s">
        <v>8858</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8707</v>
      </c>
      <c r="AF173" s="962" t="s">
        <v>17052</v>
      </c>
      <c r="AG173" s="905" t="s">
        <v>17053</v>
      </c>
      <c r="AH173" s="905" t="s">
        <v>17054</v>
      </c>
      <c r="AI173" s="905" t="s">
        <v>17055</v>
      </c>
      <c r="AJ173" s="963" t="s">
        <v>17056</v>
      </c>
      <c r="AK173" s="905" t="s">
        <v>17057</v>
      </c>
      <c r="AL173" s="905" t="s">
        <v>17058</v>
      </c>
      <c r="AM173" s="975"/>
      <c r="AN173" s="976"/>
      <c r="AO173" s="961"/>
      <c r="AP173" s="197"/>
      <c r="AQ173" s="197"/>
      <c r="AR173" s="197"/>
      <c r="AS173" s="197"/>
    </row>
    <row r="174" spans="1:45" s="4" customFormat="1" ht="15.75" customHeight="1">
      <c r="A174" s="197"/>
      <c r="B174" s="403" t="s">
        <v>8716</v>
      </c>
      <c r="C174" s="2092">
        <v>0</v>
      </c>
      <c r="D174" s="697">
        <v>0</v>
      </c>
      <c r="E174" s="697">
        <v>0</v>
      </c>
      <c r="F174" s="697">
        <v>0</v>
      </c>
      <c r="G174" s="1597">
        <f t="shared" si="75"/>
        <v>0</v>
      </c>
      <c r="H174" s="697">
        <v>0</v>
      </c>
      <c r="I174" s="697">
        <v>0</v>
      </c>
      <c r="J174" s="1618"/>
      <c r="K174" s="1619"/>
      <c r="L174" s="197"/>
      <c r="M174" s="290" t="s">
        <v>8859</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8716</v>
      </c>
      <c r="AF174" s="962" t="s">
        <v>17059</v>
      </c>
      <c r="AG174" s="905" t="s">
        <v>17060</v>
      </c>
      <c r="AH174" s="905" t="s">
        <v>17061</v>
      </c>
      <c r="AI174" s="905" t="s">
        <v>17062</v>
      </c>
      <c r="AJ174" s="963" t="s">
        <v>17063</v>
      </c>
      <c r="AK174" s="905" t="s">
        <v>17064</v>
      </c>
      <c r="AL174" s="905" t="s">
        <v>17065</v>
      </c>
      <c r="AM174" s="975"/>
      <c r="AN174" s="976"/>
      <c r="AO174" s="961"/>
      <c r="AP174" s="197"/>
      <c r="AQ174" s="197"/>
      <c r="AR174" s="197"/>
      <c r="AS174" s="197"/>
    </row>
    <row r="175" spans="1:45" s="4" customFormat="1" ht="15.75" customHeight="1">
      <c r="A175" s="197"/>
      <c r="B175" s="403" t="s">
        <v>8725</v>
      </c>
      <c r="C175" s="2092">
        <v>0</v>
      </c>
      <c r="D175" s="697">
        <v>0</v>
      </c>
      <c r="E175" s="697">
        <v>0</v>
      </c>
      <c r="F175" s="697">
        <v>0</v>
      </c>
      <c r="G175" s="1597">
        <f t="shared" si="75"/>
        <v>0</v>
      </c>
      <c r="H175" s="697">
        <v>0</v>
      </c>
      <c r="I175" s="697">
        <v>0</v>
      </c>
      <c r="J175" s="1618"/>
      <c r="K175" s="1619"/>
      <c r="L175" s="197"/>
      <c r="M175" s="290" t="s">
        <v>8860</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8725</v>
      </c>
      <c r="AF175" s="962" t="s">
        <v>17066</v>
      </c>
      <c r="AG175" s="905" t="s">
        <v>17067</v>
      </c>
      <c r="AH175" s="905" t="s">
        <v>17068</v>
      </c>
      <c r="AI175" s="905" t="s">
        <v>17069</v>
      </c>
      <c r="AJ175" s="963" t="s">
        <v>17070</v>
      </c>
      <c r="AK175" s="905" t="s">
        <v>17071</v>
      </c>
      <c r="AL175" s="905" t="s">
        <v>17072</v>
      </c>
      <c r="AM175" s="975"/>
      <c r="AN175" s="976"/>
      <c r="AO175" s="961"/>
      <c r="AP175" s="197"/>
      <c r="AQ175" s="197"/>
      <c r="AR175" s="197"/>
      <c r="AS175" s="197"/>
    </row>
    <row r="176" spans="1:45" s="4" customFormat="1" ht="15.75" customHeight="1">
      <c r="A176" s="197"/>
      <c r="B176" s="403" t="s">
        <v>8734</v>
      </c>
      <c r="C176" s="2092">
        <v>0</v>
      </c>
      <c r="D176" s="697">
        <v>0</v>
      </c>
      <c r="E176" s="697">
        <v>0</v>
      </c>
      <c r="F176" s="697">
        <v>0</v>
      </c>
      <c r="G176" s="1597">
        <f t="shared" si="75"/>
        <v>0</v>
      </c>
      <c r="H176" s="697">
        <v>0</v>
      </c>
      <c r="I176" s="697">
        <v>0</v>
      </c>
      <c r="J176" s="1618"/>
      <c r="K176" s="1619"/>
      <c r="L176" s="197"/>
      <c r="M176" s="290" t="s">
        <v>8861</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8734</v>
      </c>
      <c r="AF176" s="962" t="s">
        <v>17073</v>
      </c>
      <c r="AG176" s="905" t="s">
        <v>17074</v>
      </c>
      <c r="AH176" s="905" t="s">
        <v>17075</v>
      </c>
      <c r="AI176" s="905" t="s">
        <v>17076</v>
      </c>
      <c r="AJ176" s="963" t="s">
        <v>17077</v>
      </c>
      <c r="AK176" s="905" t="s">
        <v>17078</v>
      </c>
      <c r="AL176" s="905" t="s">
        <v>17079</v>
      </c>
      <c r="AM176" s="975"/>
      <c r="AN176" s="976"/>
      <c r="AO176" s="961"/>
      <c r="AP176" s="197"/>
      <c r="AQ176" s="197"/>
      <c r="AR176" s="197"/>
      <c r="AS176" s="197"/>
    </row>
    <row r="177" spans="1:45" s="4" customFormat="1" ht="15.75" customHeight="1">
      <c r="A177" s="197"/>
      <c r="B177" s="403" t="s">
        <v>8743</v>
      </c>
      <c r="C177" s="2092">
        <v>0</v>
      </c>
      <c r="D177" s="697">
        <v>0</v>
      </c>
      <c r="E177" s="697">
        <v>0</v>
      </c>
      <c r="F177" s="697">
        <v>0</v>
      </c>
      <c r="G177" s="1597">
        <f t="shared" si="75"/>
        <v>0</v>
      </c>
      <c r="H177" s="697">
        <v>0</v>
      </c>
      <c r="I177" s="697">
        <v>0</v>
      </c>
      <c r="J177" s="1618"/>
      <c r="K177" s="1619"/>
      <c r="L177" s="197"/>
      <c r="M177" s="290" t="s">
        <v>8862</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8743</v>
      </c>
      <c r="AF177" s="962" t="s">
        <v>17080</v>
      </c>
      <c r="AG177" s="905" t="s">
        <v>17081</v>
      </c>
      <c r="AH177" s="905" t="s">
        <v>17082</v>
      </c>
      <c r="AI177" s="905" t="s">
        <v>17083</v>
      </c>
      <c r="AJ177" s="963" t="s">
        <v>17084</v>
      </c>
      <c r="AK177" s="905" t="s">
        <v>17085</v>
      </c>
      <c r="AL177" s="905" t="s">
        <v>17086</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8863</v>
      </c>
      <c r="N178" s="197"/>
      <c r="O178" s="302"/>
      <c r="P178" s="197"/>
      <c r="Q178" s="828"/>
      <c r="R178" s="284"/>
      <c r="S178" s="828"/>
      <c r="T178" s="197"/>
      <c r="U178" s="197"/>
      <c r="V178" s="197"/>
      <c r="W178" s="197"/>
      <c r="X178" s="197"/>
      <c r="Y178" s="197"/>
      <c r="Z178" s="197"/>
      <c r="AA178" s="197"/>
      <c r="AB178" s="197"/>
      <c r="AC178" s="828"/>
      <c r="AD178" s="197"/>
      <c r="AE178" s="406" t="s">
        <v>4425</v>
      </c>
      <c r="AF178" s="965" t="s">
        <v>17087</v>
      </c>
      <c r="AG178" s="679" t="s">
        <v>17088</v>
      </c>
      <c r="AH178" s="679" t="s">
        <v>17089</v>
      </c>
      <c r="AI178" s="679" t="s">
        <v>17090</v>
      </c>
      <c r="AJ178" s="679" t="s">
        <v>17091</v>
      </c>
      <c r="AK178" s="679" t="s">
        <v>17092</v>
      </c>
      <c r="AL178" s="679" t="s">
        <v>17093</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8787</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8760</v>
      </c>
      <c r="C180" s="729"/>
      <c r="D180" s="1603"/>
      <c r="E180" s="1603"/>
      <c r="F180" s="1603"/>
      <c r="G180" s="1603"/>
      <c r="H180" s="1603"/>
      <c r="I180" s="1603"/>
      <c r="J180" s="1615"/>
      <c r="K180" s="1615"/>
      <c r="L180" s="197"/>
      <c r="M180" s="260" t="s">
        <v>8787</v>
      </c>
      <c r="N180" s="197"/>
      <c r="O180" s="197"/>
      <c r="P180" s="197"/>
      <c r="Q180" s="828"/>
      <c r="R180" s="284"/>
      <c r="S180" s="828"/>
      <c r="T180" s="197"/>
      <c r="U180" s="197"/>
      <c r="V180" s="197"/>
      <c r="W180" s="197"/>
      <c r="X180" s="197"/>
      <c r="Y180" s="197"/>
      <c r="Z180" s="197"/>
      <c r="AA180" s="197"/>
      <c r="AB180" s="197"/>
      <c r="AC180" s="828"/>
      <c r="AD180" s="197"/>
      <c r="AE180" s="393" t="s">
        <v>8760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8760</v>
      </c>
      <c r="C181" s="701">
        <v>0</v>
      </c>
      <c r="D181" s="701">
        <v>0</v>
      </c>
      <c r="E181" s="701">
        <v>0</v>
      </c>
      <c r="F181" s="701">
        <v>0</v>
      </c>
      <c r="G181" s="1586">
        <f>IFERROR(SUM(C181:F181),0)</f>
        <v>0</v>
      </c>
      <c r="H181" s="701">
        <v>0</v>
      </c>
      <c r="I181" s="701">
        <v>0</v>
      </c>
      <c r="J181" s="1620"/>
      <c r="K181" s="1621"/>
      <c r="L181" s="197"/>
      <c r="M181" s="374" t="s">
        <v>8864</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8760</v>
      </c>
      <c r="AF181" s="978" t="s">
        <v>17094</v>
      </c>
      <c r="AG181" s="978" t="s">
        <v>17095</v>
      </c>
      <c r="AH181" s="978" t="s">
        <v>17096</v>
      </c>
      <c r="AI181" s="978" t="s">
        <v>17097</v>
      </c>
      <c r="AJ181" s="979" t="s">
        <v>17098</v>
      </c>
      <c r="AK181" s="978" t="s">
        <v>17099</v>
      </c>
      <c r="AL181" s="978" t="s">
        <v>17100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8787</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8769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8865</v>
      </c>
      <c r="N183" s="197"/>
      <c r="O183" s="982"/>
      <c r="P183" s="389"/>
      <c r="Q183" s="825"/>
      <c r="R183" s="284"/>
      <c r="S183" s="825"/>
      <c r="T183" s="197"/>
      <c r="U183" s="197"/>
      <c r="V183" s="197"/>
      <c r="W183" s="197"/>
      <c r="X183" s="197"/>
      <c r="Y183" s="197"/>
      <c r="Z183" s="197"/>
      <c r="AA183" s="197"/>
      <c r="AB183" s="197"/>
      <c r="AC183" s="825"/>
      <c r="AD183" s="389"/>
      <c r="AE183" s="420" t="s">
        <v>8769</v>
      </c>
      <c r="AF183" s="985" t="s">
        <v>17101</v>
      </c>
      <c r="AG183" s="372" t="s">
        <v>17102</v>
      </c>
      <c r="AH183" s="372" t="s">
        <v>17103</v>
      </c>
      <c r="AI183" s="372" t="s">
        <v>17104</v>
      </c>
      <c r="AJ183" s="372" t="s">
        <v>17105</v>
      </c>
      <c r="AK183" s="372" t="s">
        <v>17106</v>
      </c>
      <c r="AL183" s="372" t="s">
        <v>17107</v>
      </c>
      <c r="AM183" s="986"/>
      <c r="AN183" s="987"/>
      <c r="AO183" s="961"/>
      <c r="AP183" s="389"/>
      <c r="AQ183" s="389"/>
      <c r="AR183" s="389"/>
      <c r="AS183" s="389"/>
    </row>
    <row r="184" spans="1:45" s="4" customFormat="1" ht="16.8"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6.05" customHeight="1" thickTop="1">
      <c r="A185" s="197"/>
      <c r="B185" s="2734" t="s">
        <v>4202</v>
      </c>
      <c r="C185" s="2715" t="s">
        <v>8866</v>
      </c>
      <c r="D185" s="2715"/>
      <c r="E185" s="2715"/>
      <c r="F185" s="2715"/>
      <c r="G185" s="2715"/>
      <c r="H185" s="2715"/>
      <c r="I185" s="2715"/>
      <c r="J185" s="2715"/>
      <c r="K185" s="2717"/>
      <c r="L185" s="651"/>
      <c r="M185" s="197"/>
      <c r="N185" s="197"/>
      <c r="O185" s="197"/>
      <c r="P185" s="651"/>
      <c r="Q185" s="907"/>
      <c r="R185" s="284"/>
      <c r="S185" s="907"/>
      <c r="T185" s="651"/>
      <c r="U185" s="651"/>
      <c r="V185" s="651"/>
      <c r="W185" s="651"/>
      <c r="X185" s="651"/>
      <c r="Y185" s="651"/>
      <c r="Z185" s="651"/>
      <c r="AA185" s="651"/>
      <c r="AB185" s="651"/>
      <c r="AC185" s="907"/>
      <c r="AD185" s="651"/>
      <c r="AE185" s="2734" t="s">
        <v>4202</v>
      </c>
      <c r="AF185" s="2715" t="s">
        <v>8866</v>
      </c>
      <c r="AG185" s="2715"/>
      <c r="AH185" s="2715"/>
      <c r="AI185" s="2715"/>
      <c r="AJ185" s="2715"/>
      <c r="AK185" s="2715"/>
      <c r="AL185" s="2715"/>
      <c r="AM185" s="2715"/>
      <c r="AN185" s="2717"/>
      <c r="AO185" s="317"/>
      <c r="AP185" s="197"/>
      <c r="AQ185" s="197"/>
      <c r="AR185" s="197"/>
      <c r="AS185" s="197"/>
    </row>
    <row r="186" spans="1:45" s="4" customFormat="1">
      <c r="A186" s="197"/>
      <c r="B186" s="2817"/>
      <c r="C186" s="2818" t="s">
        <v>8500</v>
      </c>
      <c r="D186" s="2818"/>
      <c r="E186" s="2818"/>
      <c r="F186" s="2818"/>
      <c r="G186" s="2818" t="s">
        <v>8501</v>
      </c>
      <c r="H186" s="2818"/>
      <c r="I186" s="2818" t="s">
        <v>8502</v>
      </c>
      <c r="J186" s="2818" t="s">
        <v>8503</v>
      </c>
      <c r="K186" s="2859"/>
      <c r="L186" s="197"/>
      <c r="M186" s="197"/>
      <c r="N186" s="197"/>
      <c r="O186" s="197"/>
      <c r="P186" s="197"/>
      <c r="Q186" s="828"/>
      <c r="R186" s="284"/>
      <c r="S186" s="828"/>
      <c r="T186" s="197"/>
      <c r="U186" s="197"/>
      <c r="V186" s="197"/>
      <c r="W186" s="197"/>
      <c r="X186" s="197"/>
      <c r="Y186" s="197"/>
      <c r="Z186" s="197"/>
      <c r="AA186" s="197"/>
      <c r="AB186" s="197"/>
      <c r="AC186" s="828"/>
      <c r="AD186" s="197"/>
      <c r="AE186" s="2817"/>
      <c r="AF186" s="2818" t="s">
        <v>8500</v>
      </c>
      <c r="AG186" s="2818"/>
      <c r="AH186" s="2818"/>
      <c r="AI186" s="2818"/>
      <c r="AJ186" s="2818" t="s">
        <v>8501</v>
      </c>
      <c r="AK186" s="2818"/>
      <c r="AL186" s="2818" t="s">
        <v>8502</v>
      </c>
      <c r="AM186" s="2818" t="s">
        <v>8503</v>
      </c>
      <c r="AN186" s="2859"/>
      <c r="AO186" s="317"/>
      <c r="AP186" s="197"/>
      <c r="AQ186" s="197"/>
      <c r="AR186" s="197"/>
      <c r="AS186" s="197"/>
    </row>
    <row r="187" spans="1:45" s="4" customFormat="1" ht="30">
      <c r="A187" s="197"/>
      <c r="B187" s="2817"/>
      <c r="C187" s="427" t="s">
        <v>8504</v>
      </c>
      <c r="D187" s="427" t="s">
        <v>8505</v>
      </c>
      <c r="E187" s="427" t="s">
        <v>8506</v>
      </c>
      <c r="F187" s="427" t="s">
        <v>8507</v>
      </c>
      <c r="G187" s="427" t="s">
        <v>8508</v>
      </c>
      <c r="H187" s="427" t="s">
        <v>8509</v>
      </c>
      <c r="I187" s="2818"/>
      <c r="J187" s="427" t="s">
        <v>8510</v>
      </c>
      <c r="K187" s="428" t="s">
        <v>8511</v>
      </c>
      <c r="L187" s="197"/>
      <c r="M187" s="197"/>
      <c r="N187" s="197"/>
      <c r="O187" s="197"/>
      <c r="P187" s="197"/>
      <c r="Q187" s="828"/>
      <c r="R187" s="284"/>
      <c r="S187" s="828"/>
      <c r="T187" s="197"/>
      <c r="U187" s="197"/>
      <c r="V187" s="197"/>
      <c r="W187" s="197"/>
      <c r="X187" s="197"/>
      <c r="Y187" s="197"/>
      <c r="Z187" s="197"/>
      <c r="AA187" s="197"/>
      <c r="AB187" s="197"/>
      <c r="AC187" s="828"/>
      <c r="AD187" s="197"/>
      <c r="AE187" s="2817"/>
      <c r="AF187" s="427" t="s">
        <v>8504</v>
      </c>
      <c r="AG187" s="427" t="s">
        <v>8505</v>
      </c>
      <c r="AH187" s="427" t="s">
        <v>8506</v>
      </c>
      <c r="AI187" s="427" t="s">
        <v>8507</v>
      </c>
      <c r="AJ187" s="427" t="s">
        <v>8508</v>
      </c>
      <c r="AK187" s="427" t="s">
        <v>8509</v>
      </c>
      <c r="AL187" s="2818"/>
      <c r="AM187" s="427" t="s">
        <v>8510</v>
      </c>
      <c r="AN187" s="428" t="s">
        <v>8511</v>
      </c>
      <c r="AO187" s="317"/>
      <c r="AP187" s="197"/>
      <c r="AQ187" s="197"/>
      <c r="AR187" s="197"/>
      <c r="AS187" s="197"/>
    </row>
    <row r="188" spans="1:45" s="4" customFormat="1" ht="16.05"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2"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710" t="s">
        <v>4201</v>
      </c>
      <c r="U189" s="2710"/>
      <c r="V189" s="2843"/>
      <c r="W189" s="2843"/>
      <c r="X189" s="2843"/>
      <c r="Y189" s="2843"/>
      <c r="Z189" s="2843"/>
      <c r="AA189" s="2843"/>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8"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8512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8512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8513</v>
      </c>
      <c r="C192" s="2091">
        <v>0</v>
      </c>
      <c r="D192" s="694">
        <v>0</v>
      </c>
      <c r="E192" s="694">
        <v>0</v>
      </c>
      <c r="F192" s="694">
        <v>192</v>
      </c>
      <c r="G192" s="1595">
        <f t="shared" ref="G192:G199" si="79">IFERROR(SUM(C192:F192),0)</f>
        <v>192</v>
      </c>
      <c r="H192" s="2091">
        <v>26.155999999999999</v>
      </c>
      <c r="I192" s="694">
        <v>0</v>
      </c>
      <c r="J192" s="1609">
        <v>5.67E-2</v>
      </c>
      <c r="K192" s="1610">
        <v>9.5999999999999992E-3</v>
      </c>
      <c r="L192" s="197"/>
      <c r="M192" s="281" t="s">
        <v>8867</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8513</v>
      </c>
      <c r="AF192" s="958" t="s">
        <v>17108</v>
      </c>
      <c r="AG192" s="904" t="s">
        <v>17109</v>
      </c>
      <c r="AH192" s="904" t="s">
        <v>17110</v>
      </c>
      <c r="AI192" s="904" t="s">
        <v>17111</v>
      </c>
      <c r="AJ192" s="959" t="s">
        <v>17112</v>
      </c>
      <c r="AK192" s="958" t="s">
        <v>17113</v>
      </c>
      <c r="AL192" s="904" t="s">
        <v>17114</v>
      </c>
      <c r="AM192" s="904" t="s">
        <v>17115</v>
      </c>
      <c r="AN192" s="960" t="s">
        <v>17116</v>
      </c>
      <c r="AO192" s="961"/>
      <c r="AP192" s="197"/>
      <c r="AQ192" s="197"/>
      <c r="AR192" s="197"/>
      <c r="AS192" s="197"/>
    </row>
    <row r="193" spans="1:45" s="4" customFormat="1" ht="15.75" customHeight="1">
      <c r="A193" s="197"/>
      <c r="B193" s="403" t="s">
        <v>8524</v>
      </c>
      <c r="C193" s="2092">
        <v>0</v>
      </c>
      <c r="D193" s="697">
        <v>0</v>
      </c>
      <c r="E193" s="697">
        <v>0</v>
      </c>
      <c r="F193" s="697">
        <v>0</v>
      </c>
      <c r="G193" s="1597">
        <f t="shared" si="79"/>
        <v>0</v>
      </c>
      <c r="H193" s="2092">
        <v>0</v>
      </c>
      <c r="I193" s="697">
        <v>0</v>
      </c>
      <c r="J193" s="1611">
        <v>0</v>
      </c>
      <c r="K193" s="1612">
        <v>0</v>
      </c>
      <c r="L193" s="197"/>
      <c r="M193" s="290" t="s">
        <v>8868</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8524</v>
      </c>
      <c r="AF193" s="962" t="s">
        <v>17117</v>
      </c>
      <c r="AG193" s="905" t="s">
        <v>17118</v>
      </c>
      <c r="AH193" s="905" t="s">
        <v>17119</v>
      </c>
      <c r="AI193" s="905" t="s">
        <v>17120</v>
      </c>
      <c r="AJ193" s="963" t="s">
        <v>17121</v>
      </c>
      <c r="AK193" s="962" t="s">
        <v>17122</v>
      </c>
      <c r="AL193" s="905" t="s">
        <v>17123</v>
      </c>
      <c r="AM193" s="905" t="s">
        <v>17124</v>
      </c>
      <c r="AN193" s="964" t="s">
        <v>17125</v>
      </c>
      <c r="AO193" s="961"/>
      <c r="AP193" s="197"/>
      <c r="AQ193" s="197"/>
      <c r="AR193" s="197"/>
      <c r="AS193" s="197"/>
    </row>
    <row r="194" spans="1:45" s="4" customFormat="1" ht="15.75" customHeight="1">
      <c r="A194" s="197"/>
      <c r="B194" s="403" t="s">
        <v>8535</v>
      </c>
      <c r="C194" s="2092">
        <v>0</v>
      </c>
      <c r="D194" s="697">
        <v>0</v>
      </c>
      <c r="E194" s="697">
        <v>550</v>
      </c>
      <c r="F194" s="697">
        <v>700</v>
      </c>
      <c r="G194" s="1597">
        <f t="shared" si="79"/>
        <v>1250</v>
      </c>
      <c r="H194" s="2092">
        <v>367.93</v>
      </c>
      <c r="I194" s="697">
        <v>344.654</v>
      </c>
      <c r="J194" s="1611">
        <v>-5.0000000000000001E-4</v>
      </c>
      <c r="K194" s="1612">
        <v>3.2099999999999997E-2</v>
      </c>
      <c r="L194" s="197"/>
      <c r="M194" s="290" t="s">
        <v>8869</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8535</v>
      </c>
      <c r="AF194" s="962" t="s">
        <v>17126</v>
      </c>
      <c r="AG194" s="905" t="s">
        <v>17127</v>
      </c>
      <c r="AH194" s="905" t="s">
        <v>17128</v>
      </c>
      <c r="AI194" s="905" t="s">
        <v>17129</v>
      </c>
      <c r="AJ194" s="963" t="s">
        <v>17130</v>
      </c>
      <c r="AK194" s="962" t="s">
        <v>17131</v>
      </c>
      <c r="AL194" s="905" t="s">
        <v>17132</v>
      </c>
      <c r="AM194" s="905" t="s">
        <v>17133</v>
      </c>
      <c r="AN194" s="964" t="s">
        <v>17134</v>
      </c>
      <c r="AO194" s="961"/>
      <c r="AP194" s="197"/>
      <c r="AQ194" s="197"/>
      <c r="AR194" s="197"/>
      <c r="AS194" s="197"/>
    </row>
    <row r="195" spans="1:45" s="4" customFormat="1" ht="15.75" customHeight="1">
      <c r="A195" s="197"/>
      <c r="B195" s="403" t="s">
        <v>8546</v>
      </c>
      <c r="C195" s="2092">
        <v>0</v>
      </c>
      <c r="D195" s="697">
        <v>0</v>
      </c>
      <c r="E195" s="697">
        <v>0</v>
      </c>
      <c r="F195" s="697">
        <v>0</v>
      </c>
      <c r="G195" s="1597">
        <f t="shared" si="79"/>
        <v>0</v>
      </c>
      <c r="H195" s="2092">
        <v>0</v>
      </c>
      <c r="I195" s="697">
        <v>0</v>
      </c>
      <c r="J195" s="1611">
        <v>0</v>
      </c>
      <c r="K195" s="1612">
        <v>0</v>
      </c>
      <c r="L195" s="197"/>
      <c r="M195" s="290" t="s">
        <v>8870</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8546</v>
      </c>
      <c r="AF195" s="962" t="s">
        <v>17135</v>
      </c>
      <c r="AG195" s="905" t="s">
        <v>17136</v>
      </c>
      <c r="AH195" s="905" t="s">
        <v>17137</v>
      </c>
      <c r="AI195" s="905" t="s">
        <v>17138</v>
      </c>
      <c r="AJ195" s="963" t="s">
        <v>17139</v>
      </c>
      <c r="AK195" s="962" t="s">
        <v>17140</v>
      </c>
      <c r="AL195" s="905" t="s">
        <v>17141</v>
      </c>
      <c r="AM195" s="905" t="s">
        <v>17142</v>
      </c>
      <c r="AN195" s="964" t="s">
        <v>17143</v>
      </c>
      <c r="AO195" s="961"/>
      <c r="AP195" s="197"/>
      <c r="AQ195" s="197"/>
      <c r="AR195" s="197"/>
      <c r="AS195" s="197"/>
    </row>
    <row r="196" spans="1:45" s="4" customFormat="1" ht="15.75" customHeight="1">
      <c r="A196" s="197"/>
      <c r="B196" s="403" t="s">
        <v>8557</v>
      </c>
      <c r="C196" s="2092">
        <v>0</v>
      </c>
      <c r="D196" s="697">
        <v>0</v>
      </c>
      <c r="E196" s="697">
        <v>0</v>
      </c>
      <c r="F196" s="697">
        <v>0</v>
      </c>
      <c r="G196" s="1597">
        <f t="shared" si="79"/>
        <v>0</v>
      </c>
      <c r="H196" s="2092">
        <v>0</v>
      </c>
      <c r="I196" s="697">
        <v>0</v>
      </c>
      <c r="J196" s="1611">
        <v>0</v>
      </c>
      <c r="K196" s="1612">
        <v>0</v>
      </c>
      <c r="L196" s="197"/>
      <c r="M196" s="290" t="s">
        <v>8871</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8557</v>
      </c>
      <c r="AF196" s="962" t="s">
        <v>17144</v>
      </c>
      <c r="AG196" s="905" t="s">
        <v>17145</v>
      </c>
      <c r="AH196" s="905" t="s">
        <v>17146</v>
      </c>
      <c r="AI196" s="905" t="s">
        <v>17147</v>
      </c>
      <c r="AJ196" s="963" t="s">
        <v>17148</v>
      </c>
      <c r="AK196" s="962" t="s">
        <v>17149</v>
      </c>
      <c r="AL196" s="905" t="s">
        <v>17150</v>
      </c>
      <c r="AM196" s="905" t="s">
        <v>17151</v>
      </c>
      <c r="AN196" s="964" t="s">
        <v>17152</v>
      </c>
      <c r="AO196" s="961"/>
      <c r="AP196" s="197"/>
      <c r="AQ196" s="197"/>
      <c r="AR196" s="197"/>
      <c r="AS196" s="197"/>
    </row>
    <row r="197" spans="1:45" s="4" customFormat="1" ht="15.75" customHeight="1">
      <c r="A197" s="197"/>
      <c r="B197" s="403" t="s">
        <v>8568</v>
      </c>
      <c r="C197" s="2092">
        <v>0</v>
      </c>
      <c r="D197" s="697">
        <v>0</v>
      </c>
      <c r="E197" s="697">
        <v>0</v>
      </c>
      <c r="F197" s="697">
        <v>0</v>
      </c>
      <c r="G197" s="1597">
        <f t="shared" si="79"/>
        <v>0</v>
      </c>
      <c r="H197" s="2092">
        <v>0</v>
      </c>
      <c r="I197" s="697">
        <v>0</v>
      </c>
      <c r="J197" s="1611">
        <v>0</v>
      </c>
      <c r="K197" s="1612">
        <v>0</v>
      </c>
      <c r="L197" s="197"/>
      <c r="M197" s="290" t="s">
        <v>8872</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8568</v>
      </c>
      <c r="AF197" s="962" t="s">
        <v>17153</v>
      </c>
      <c r="AG197" s="905" t="s">
        <v>17154</v>
      </c>
      <c r="AH197" s="905" t="s">
        <v>17155</v>
      </c>
      <c r="AI197" s="905" t="s">
        <v>17156</v>
      </c>
      <c r="AJ197" s="963" t="s">
        <v>17157</v>
      </c>
      <c r="AK197" s="962" t="s">
        <v>17158</v>
      </c>
      <c r="AL197" s="905" t="s">
        <v>17159</v>
      </c>
      <c r="AM197" s="905" t="s">
        <v>17160</v>
      </c>
      <c r="AN197" s="964" t="s">
        <v>17161</v>
      </c>
      <c r="AO197" s="961"/>
      <c r="AP197" s="197"/>
      <c r="AQ197" s="197"/>
      <c r="AR197" s="197"/>
      <c r="AS197" s="197"/>
    </row>
    <row r="198" spans="1:45" s="4" customFormat="1" ht="15.75" customHeight="1">
      <c r="A198" s="197"/>
      <c r="B198" s="403" t="s">
        <v>8579</v>
      </c>
      <c r="C198" s="2092">
        <v>0</v>
      </c>
      <c r="D198" s="697">
        <v>0</v>
      </c>
      <c r="E198" s="697">
        <v>0</v>
      </c>
      <c r="F198" s="697">
        <v>0</v>
      </c>
      <c r="G198" s="1597">
        <f t="shared" si="79"/>
        <v>0</v>
      </c>
      <c r="H198" s="2092">
        <v>0</v>
      </c>
      <c r="I198" s="697">
        <v>0</v>
      </c>
      <c r="J198" s="1611">
        <v>0</v>
      </c>
      <c r="K198" s="1612">
        <v>0</v>
      </c>
      <c r="L198" s="197"/>
      <c r="M198" s="290" t="s">
        <v>8873</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8579</v>
      </c>
      <c r="AF198" s="962" t="s">
        <v>17162</v>
      </c>
      <c r="AG198" s="905" t="s">
        <v>17163</v>
      </c>
      <c r="AH198" s="905" t="s">
        <v>17164</v>
      </c>
      <c r="AI198" s="905" t="s">
        <v>17165</v>
      </c>
      <c r="AJ198" s="963" t="s">
        <v>17166</v>
      </c>
      <c r="AK198" s="962" t="s">
        <v>17167</v>
      </c>
      <c r="AL198" s="905" t="s">
        <v>17168</v>
      </c>
      <c r="AM198" s="905" t="s">
        <v>17169</v>
      </c>
      <c r="AN198" s="964" t="s">
        <v>17170</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550</v>
      </c>
      <c r="F199" s="1589">
        <f>IFERROR(SUM(F192:F198), 0)</f>
        <v>892</v>
      </c>
      <c r="G199" s="1589">
        <f t="shared" si="79"/>
        <v>1442</v>
      </c>
      <c r="H199" s="1589">
        <f>IFERROR(SUM(H192:H198), 0)</f>
        <v>394.08600000000001</v>
      </c>
      <c r="I199" s="1589">
        <f>IFERROR(SUM(I192:I198), 0)</f>
        <v>344.654</v>
      </c>
      <c r="J199" s="1613"/>
      <c r="K199" s="1614"/>
      <c r="L199" s="197"/>
      <c r="M199" s="576" t="s">
        <v>8874</v>
      </c>
      <c r="N199" s="197"/>
      <c r="O199" s="302"/>
      <c r="P199" s="197"/>
      <c r="Q199" s="828"/>
      <c r="R199" s="284"/>
      <c r="S199" s="828"/>
      <c r="T199" s="197"/>
      <c r="U199" s="197"/>
      <c r="V199" s="197"/>
      <c r="W199" s="197"/>
      <c r="X199" s="197"/>
      <c r="Y199" s="197"/>
      <c r="Z199" s="197"/>
      <c r="AA199" s="197"/>
      <c r="AB199" s="197"/>
      <c r="AC199" s="828"/>
      <c r="AD199" s="197"/>
      <c r="AE199" s="406" t="s">
        <v>4425</v>
      </c>
      <c r="AF199" s="965" t="s">
        <v>17171</v>
      </c>
      <c r="AG199" s="679" t="s">
        <v>17172</v>
      </c>
      <c r="AH199" s="679" t="s">
        <v>17173</v>
      </c>
      <c r="AI199" s="679" t="s">
        <v>17174</v>
      </c>
      <c r="AJ199" s="679" t="s">
        <v>17175</v>
      </c>
      <c r="AK199" s="679" t="s">
        <v>17176</v>
      </c>
      <c r="AL199" s="679" t="s">
        <v>17177</v>
      </c>
      <c r="AM199" s="966" t="s">
        <v>17178</v>
      </c>
      <c r="AN199" s="967" t="s">
        <v>17178</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8787</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8598</v>
      </c>
      <c r="C201" s="729"/>
      <c r="D201" s="1603"/>
      <c r="E201" s="1603"/>
      <c r="F201" s="1603"/>
      <c r="G201" s="1603"/>
      <c r="H201" s="1603"/>
      <c r="I201" s="1603"/>
      <c r="J201" s="1615"/>
      <c r="K201" s="1615"/>
      <c r="L201" s="197"/>
      <c r="M201" s="242" t="s">
        <v>8787</v>
      </c>
      <c r="N201" s="197"/>
      <c r="O201" s="197"/>
      <c r="P201" s="197"/>
      <c r="Q201" s="828"/>
      <c r="R201" s="284"/>
      <c r="S201" s="828"/>
      <c r="T201" s="197"/>
      <c r="U201" s="197"/>
      <c r="V201" s="197"/>
      <c r="W201" s="197"/>
      <c r="X201" s="197"/>
      <c r="Y201" s="197"/>
      <c r="Z201" s="197"/>
      <c r="AA201" s="197"/>
      <c r="AB201" s="197"/>
      <c r="AC201" s="828"/>
      <c r="AD201" s="197"/>
      <c r="AE201" s="393" t="s">
        <v>8598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8599</v>
      </c>
      <c r="C202" s="2091">
        <v>0</v>
      </c>
      <c r="D202" s="694">
        <v>0</v>
      </c>
      <c r="E202" s="694">
        <v>0</v>
      </c>
      <c r="F202" s="694">
        <v>0</v>
      </c>
      <c r="G202" s="1595">
        <f>IFERROR(SUM(C202:F202),0)</f>
        <v>0</v>
      </c>
      <c r="H202" s="694">
        <v>0</v>
      </c>
      <c r="I202" s="694">
        <v>0</v>
      </c>
      <c r="J202" s="1616"/>
      <c r="K202" s="1617"/>
      <c r="L202" s="197"/>
      <c r="M202" s="281" t="s">
        <v>8875</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8599</v>
      </c>
      <c r="AF202" s="958" t="s">
        <v>17179</v>
      </c>
      <c r="AG202" s="904" t="s">
        <v>17180</v>
      </c>
      <c r="AH202" s="904" t="s">
        <v>17181</v>
      </c>
      <c r="AI202" s="904" t="s">
        <v>17182</v>
      </c>
      <c r="AJ202" s="959" t="s">
        <v>17183</v>
      </c>
      <c r="AK202" s="904" t="s">
        <v>17184</v>
      </c>
      <c r="AL202" s="904" t="s">
        <v>17185</v>
      </c>
      <c r="AM202" s="973"/>
      <c r="AN202" s="974"/>
      <c r="AO202" s="961"/>
      <c r="AP202" s="197"/>
      <c r="AQ202" s="197"/>
      <c r="AR202" s="197"/>
      <c r="AS202" s="197"/>
    </row>
    <row r="203" spans="1:45" s="4" customFormat="1" ht="15.75" customHeight="1">
      <c r="A203" s="197"/>
      <c r="B203" s="403" t="s">
        <v>8608</v>
      </c>
      <c r="C203" s="2092">
        <v>0</v>
      </c>
      <c r="D203" s="697">
        <v>0</v>
      </c>
      <c r="E203" s="697">
        <v>0</v>
      </c>
      <c r="F203" s="697">
        <v>0</v>
      </c>
      <c r="G203" s="1597">
        <f>IFERROR(SUM(C203:F203),0)</f>
        <v>0</v>
      </c>
      <c r="H203" s="697">
        <v>0</v>
      </c>
      <c r="I203" s="697">
        <v>0</v>
      </c>
      <c r="J203" s="1618"/>
      <c r="K203" s="1619"/>
      <c r="L203" s="197"/>
      <c r="M203" s="290" t="s">
        <v>8876</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8608</v>
      </c>
      <c r="AF203" s="962" t="s">
        <v>17186</v>
      </c>
      <c r="AG203" s="905" t="s">
        <v>17187</v>
      </c>
      <c r="AH203" s="905" t="s">
        <v>17188</v>
      </c>
      <c r="AI203" s="905" t="s">
        <v>17189</v>
      </c>
      <c r="AJ203" s="963" t="s">
        <v>17190</v>
      </c>
      <c r="AK203" s="905" t="s">
        <v>17191</v>
      </c>
      <c r="AL203" s="905" t="s">
        <v>17192</v>
      </c>
      <c r="AM203" s="975"/>
      <c r="AN203" s="976"/>
      <c r="AO203" s="961"/>
      <c r="AP203" s="197"/>
      <c r="AQ203" s="197"/>
      <c r="AR203" s="197"/>
      <c r="AS203" s="197"/>
    </row>
    <row r="204" spans="1:45" s="4" customFormat="1" ht="15.75" customHeight="1">
      <c r="A204" s="197"/>
      <c r="B204" s="403" t="s">
        <v>8617</v>
      </c>
      <c r="C204" s="2092">
        <v>0</v>
      </c>
      <c r="D204" s="697">
        <v>0</v>
      </c>
      <c r="E204" s="697">
        <v>0</v>
      </c>
      <c r="F204" s="697">
        <v>0</v>
      </c>
      <c r="G204" s="1597">
        <f>IFERROR(SUM(C204:F204),0)</f>
        <v>0</v>
      </c>
      <c r="H204" s="697">
        <v>0</v>
      </c>
      <c r="I204" s="697">
        <v>0</v>
      </c>
      <c r="J204" s="1618"/>
      <c r="K204" s="1619"/>
      <c r="L204" s="197"/>
      <c r="M204" s="290" t="s">
        <v>8877</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8617</v>
      </c>
      <c r="AF204" s="962" t="s">
        <v>17193</v>
      </c>
      <c r="AG204" s="905" t="s">
        <v>17194</v>
      </c>
      <c r="AH204" s="905" t="s">
        <v>17195</v>
      </c>
      <c r="AI204" s="905" t="s">
        <v>17196</v>
      </c>
      <c r="AJ204" s="963" t="s">
        <v>17197</v>
      </c>
      <c r="AK204" s="905" t="s">
        <v>17198</v>
      </c>
      <c r="AL204" s="905" t="s">
        <v>17199</v>
      </c>
      <c r="AM204" s="975"/>
      <c r="AN204" s="976"/>
      <c r="AO204" s="961"/>
      <c r="AP204" s="197"/>
      <c r="AQ204" s="197"/>
      <c r="AR204" s="197"/>
      <c r="AS204" s="197"/>
    </row>
    <row r="205" spans="1:45" s="4" customFormat="1" ht="15.75" customHeight="1">
      <c r="A205" s="197"/>
      <c r="B205" s="403" t="s">
        <v>8626</v>
      </c>
      <c r="C205" s="2092">
        <v>0</v>
      </c>
      <c r="D205" s="697">
        <v>0</v>
      </c>
      <c r="E205" s="697">
        <v>0</v>
      </c>
      <c r="F205" s="697">
        <v>0</v>
      </c>
      <c r="G205" s="1597">
        <f>IFERROR(SUM(C205:F205),0)</f>
        <v>0</v>
      </c>
      <c r="H205" s="697">
        <v>0</v>
      </c>
      <c r="I205" s="697">
        <v>0</v>
      </c>
      <c r="J205" s="1618"/>
      <c r="K205" s="1619"/>
      <c r="L205" s="197"/>
      <c r="M205" s="290" t="s">
        <v>8878</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8626</v>
      </c>
      <c r="AF205" s="962" t="s">
        <v>17200</v>
      </c>
      <c r="AG205" s="905" t="s">
        <v>17201</v>
      </c>
      <c r="AH205" s="905" t="s">
        <v>17202</v>
      </c>
      <c r="AI205" s="905" t="s">
        <v>17203</v>
      </c>
      <c r="AJ205" s="963" t="s">
        <v>17204</v>
      </c>
      <c r="AK205" s="905" t="s">
        <v>17205</v>
      </c>
      <c r="AL205" s="905" t="s">
        <v>17206</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8879</v>
      </c>
      <c r="N206" s="197"/>
      <c r="O206" s="302"/>
      <c r="P206" s="197"/>
      <c r="Q206" s="828"/>
      <c r="R206" s="284"/>
      <c r="S206" s="828"/>
      <c r="T206" s="197"/>
      <c r="U206" s="197"/>
      <c r="V206" s="197"/>
      <c r="W206" s="197"/>
      <c r="X206" s="197"/>
      <c r="Y206" s="197"/>
      <c r="Z206" s="197"/>
      <c r="AA206" s="197"/>
      <c r="AB206" s="197"/>
      <c r="AC206" s="828"/>
      <c r="AD206" s="197"/>
      <c r="AE206" s="406" t="s">
        <v>4425</v>
      </c>
      <c r="AF206" s="965" t="s">
        <v>17207</v>
      </c>
      <c r="AG206" s="679" t="s">
        <v>17208</v>
      </c>
      <c r="AH206" s="679" t="s">
        <v>17209</v>
      </c>
      <c r="AI206" s="679" t="s">
        <v>17210</v>
      </c>
      <c r="AJ206" s="679" t="s">
        <v>17211</v>
      </c>
      <c r="AK206" s="679" t="s">
        <v>17212</v>
      </c>
      <c r="AL206" s="679" t="s">
        <v>17213</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8787</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8643</v>
      </c>
      <c r="C208" s="729"/>
      <c r="D208" s="1603"/>
      <c r="E208" s="1603"/>
      <c r="F208" s="1603"/>
      <c r="G208" s="1603"/>
      <c r="H208" s="1603"/>
      <c r="I208" s="1603"/>
      <c r="J208" s="1615"/>
      <c r="K208" s="1615"/>
      <c r="L208" s="197"/>
      <c r="M208" s="242" t="s">
        <v>8787</v>
      </c>
      <c r="N208" s="197"/>
      <c r="O208" s="197"/>
      <c r="P208" s="197"/>
      <c r="Q208" s="828"/>
      <c r="R208" s="284"/>
      <c r="S208" s="828"/>
      <c r="T208" s="197"/>
      <c r="U208" s="197"/>
      <c r="V208" s="197"/>
      <c r="W208" s="197"/>
      <c r="X208" s="197"/>
      <c r="Y208" s="197"/>
      <c r="Z208" s="197"/>
      <c r="AA208" s="197"/>
      <c r="AB208" s="197"/>
      <c r="AC208" s="828"/>
      <c r="AD208" s="197"/>
      <c r="AE208" s="393" t="s">
        <v>8643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8644</v>
      </c>
      <c r="C209" s="2091">
        <v>0</v>
      </c>
      <c r="D209" s="694">
        <v>0</v>
      </c>
      <c r="E209" s="694">
        <v>0</v>
      </c>
      <c r="F209" s="694">
        <v>0</v>
      </c>
      <c r="G209" s="1595">
        <f>IFERROR(SUM(C209:F209),0)</f>
        <v>0</v>
      </c>
      <c r="H209" s="694">
        <v>0</v>
      </c>
      <c r="I209" s="694">
        <v>0</v>
      </c>
      <c r="J209" s="1616"/>
      <c r="K209" s="1617"/>
      <c r="L209" s="197"/>
      <c r="M209" s="281" t="s">
        <v>8880</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8644</v>
      </c>
      <c r="AF209" s="958" t="s">
        <v>17214</v>
      </c>
      <c r="AG209" s="904" t="s">
        <v>17215</v>
      </c>
      <c r="AH209" s="904" t="s">
        <v>17216</v>
      </c>
      <c r="AI209" s="904" t="s">
        <v>17217</v>
      </c>
      <c r="AJ209" s="959" t="s">
        <v>17218</v>
      </c>
      <c r="AK209" s="904" t="s">
        <v>17219</v>
      </c>
      <c r="AL209" s="904" t="s">
        <v>17220</v>
      </c>
      <c r="AM209" s="973"/>
      <c r="AN209" s="974"/>
      <c r="AO209" s="961"/>
      <c r="AP209" s="197"/>
      <c r="AQ209" s="197"/>
      <c r="AR209" s="197"/>
      <c r="AS209" s="197"/>
    </row>
    <row r="210" spans="1:45" s="4" customFormat="1" ht="15.75" customHeight="1">
      <c r="A210" s="197"/>
      <c r="B210" s="403" t="s">
        <v>8653</v>
      </c>
      <c r="C210" s="2092">
        <v>0</v>
      </c>
      <c r="D210" s="697">
        <v>0</v>
      </c>
      <c r="E210" s="697">
        <v>0</v>
      </c>
      <c r="F210" s="697">
        <v>0</v>
      </c>
      <c r="G210" s="1597">
        <f>IFERROR(SUM(C210:F210),0)</f>
        <v>0</v>
      </c>
      <c r="H210" s="697">
        <v>0</v>
      </c>
      <c r="I210" s="697">
        <v>0</v>
      </c>
      <c r="J210" s="1618"/>
      <c r="K210" s="1619"/>
      <c r="L210" s="197"/>
      <c r="M210" s="290" t="s">
        <v>8881</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8653</v>
      </c>
      <c r="AF210" s="962" t="s">
        <v>17221</v>
      </c>
      <c r="AG210" s="905" t="s">
        <v>17222</v>
      </c>
      <c r="AH210" s="905" t="s">
        <v>17223</v>
      </c>
      <c r="AI210" s="905" t="s">
        <v>17224</v>
      </c>
      <c r="AJ210" s="963" t="s">
        <v>17225</v>
      </c>
      <c r="AK210" s="905" t="s">
        <v>17226</v>
      </c>
      <c r="AL210" s="905" t="s">
        <v>17227</v>
      </c>
      <c r="AM210" s="975"/>
      <c r="AN210" s="976"/>
      <c r="AO210" s="961"/>
      <c r="AP210" s="197"/>
      <c r="AQ210" s="197"/>
      <c r="AR210" s="197"/>
      <c r="AS210" s="197"/>
    </row>
    <row r="211" spans="1:45" s="4" customFormat="1" ht="15.75" customHeight="1">
      <c r="A211" s="197"/>
      <c r="B211" s="403" t="s">
        <v>8662</v>
      </c>
      <c r="C211" s="2092">
        <v>0</v>
      </c>
      <c r="D211" s="697">
        <v>0</v>
      </c>
      <c r="E211" s="697">
        <v>0</v>
      </c>
      <c r="F211" s="697">
        <v>0</v>
      </c>
      <c r="G211" s="1597">
        <f>IFERROR(SUM(C211:F211),0)</f>
        <v>0</v>
      </c>
      <c r="H211" s="697">
        <v>0</v>
      </c>
      <c r="I211" s="697">
        <v>0</v>
      </c>
      <c r="J211" s="1618"/>
      <c r="K211" s="1619"/>
      <c r="L211" s="197"/>
      <c r="M211" s="290" t="s">
        <v>8882</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8662</v>
      </c>
      <c r="AF211" s="962" t="s">
        <v>17228</v>
      </c>
      <c r="AG211" s="905" t="s">
        <v>17229</v>
      </c>
      <c r="AH211" s="905" t="s">
        <v>17230</v>
      </c>
      <c r="AI211" s="905" t="s">
        <v>17231</v>
      </c>
      <c r="AJ211" s="963" t="s">
        <v>17232</v>
      </c>
      <c r="AK211" s="905" t="s">
        <v>17233</v>
      </c>
      <c r="AL211" s="905" t="s">
        <v>17234</v>
      </c>
      <c r="AM211" s="975"/>
      <c r="AN211" s="976"/>
      <c r="AO211" s="961"/>
      <c r="AP211" s="197"/>
      <c r="AQ211" s="197"/>
      <c r="AR211" s="197"/>
      <c r="AS211" s="197"/>
    </row>
    <row r="212" spans="1:45" s="4" customFormat="1" ht="15.75" customHeight="1">
      <c r="A212" s="197"/>
      <c r="B212" s="403" t="s">
        <v>8671</v>
      </c>
      <c r="C212" s="2092">
        <v>0</v>
      </c>
      <c r="D212" s="697">
        <v>0</v>
      </c>
      <c r="E212" s="697">
        <v>0</v>
      </c>
      <c r="F212" s="697">
        <v>0</v>
      </c>
      <c r="G212" s="1597">
        <f>IFERROR(SUM(C212:F212),0)</f>
        <v>0</v>
      </c>
      <c r="H212" s="697">
        <v>0</v>
      </c>
      <c r="I212" s="697">
        <v>0</v>
      </c>
      <c r="J212" s="1618"/>
      <c r="K212" s="1619"/>
      <c r="L212" s="197"/>
      <c r="M212" s="290" t="s">
        <v>8883</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8671</v>
      </c>
      <c r="AF212" s="962" t="s">
        <v>17235</v>
      </c>
      <c r="AG212" s="905" t="s">
        <v>17236</v>
      </c>
      <c r="AH212" s="905" t="s">
        <v>17237</v>
      </c>
      <c r="AI212" s="905" t="s">
        <v>17238</v>
      </c>
      <c r="AJ212" s="963" t="s">
        <v>17239</v>
      </c>
      <c r="AK212" s="905" t="s">
        <v>17240</v>
      </c>
      <c r="AL212" s="905" t="s">
        <v>17241</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8884</v>
      </c>
      <c r="N213" s="197"/>
      <c r="O213" s="302"/>
      <c r="P213" s="197"/>
      <c r="Q213" s="828"/>
      <c r="R213" s="284"/>
      <c r="S213" s="828"/>
      <c r="T213" s="197"/>
      <c r="U213" s="197"/>
      <c r="V213" s="197"/>
      <c r="W213" s="197"/>
      <c r="X213" s="197"/>
      <c r="Y213" s="197"/>
      <c r="Z213" s="197"/>
      <c r="AA213" s="197"/>
      <c r="AB213" s="197"/>
      <c r="AC213" s="828"/>
      <c r="AD213" s="197"/>
      <c r="AE213" s="406" t="s">
        <v>4425</v>
      </c>
      <c r="AF213" s="965" t="s">
        <v>17242</v>
      </c>
      <c r="AG213" s="679" t="s">
        <v>17243</v>
      </c>
      <c r="AH213" s="679" t="s">
        <v>17244</v>
      </c>
      <c r="AI213" s="679" t="s">
        <v>17245</v>
      </c>
      <c r="AJ213" s="679" t="s">
        <v>17246</v>
      </c>
      <c r="AK213" s="679" t="s">
        <v>17247</v>
      </c>
      <c r="AL213" s="679" t="s">
        <v>17248</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8787</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8688</v>
      </c>
      <c r="C215" s="729"/>
      <c r="D215" s="1603"/>
      <c r="E215" s="1603"/>
      <c r="F215" s="1603"/>
      <c r="G215" s="1603"/>
      <c r="H215" s="1603"/>
      <c r="I215" s="1603"/>
      <c r="J215" s="1615"/>
      <c r="K215" s="1615"/>
      <c r="L215" s="197"/>
      <c r="M215" s="242" t="s">
        <v>8787</v>
      </c>
      <c r="N215" s="197"/>
      <c r="O215" s="197"/>
      <c r="P215" s="197"/>
      <c r="Q215" s="828"/>
      <c r="R215" s="284"/>
      <c r="S215" s="828"/>
      <c r="T215" s="197"/>
      <c r="U215" s="197"/>
      <c r="V215" s="197"/>
      <c r="W215" s="197"/>
      <c r="X215" s="197"/>
      <c r="Y215" s="197"/>
      <c r="Z215" s="197"/>
      <c r="AA215" s="197"/>
      <c r="AB215" s="197"/>
      <c r="AC215" s="828"/>
      <c r="AD215" s="197"/>
      <c r="AE215" s="393" t="s">
        <v>8688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8689</v>
      </c>
      <c r="C216" s="2091">
        <v>0</v>
      </c>
      <c r="D216" s="694">
        <v>0</v>
      </c>
      <c r="E216" s="694">
        <v>0</v>
      </c>
      <c r="F216" s="694">
        <v>0</v>
      </c>
      <c r="G216" s="1595">
        <f t="shared" ref="G216:G223" si="87">IFERROR(SUM(C216:F216),0)</f>
        <v>0</v>
      </c>
      <c r="H216" s="694">
        <v>0</v>
      </c>
      <c r="I216" s="694">
        <v>0</v>
      </c>
      <c r="J216" s="1616"/>
      <c r="K216" s="1617"/>
      <c r="L216" s="197"/>
      <c r="M216" s="281" t="s">
        <v>8885</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8689</v>
      </c>
      <c r="AF216" s="958" t="s">
        <v>17249</v>
      </c>
      <c r="AG216" s="904" t="s">
        <v>17250</v>
      </c>
      <c r="AH216" s="904" t="s">
        <v>17251</v>
      </c>
      <c r="AI216" s="904" t="s">
        <v>17252</v>
      </c>
      <c r="AJ216" s="959" t="s">
        <v>17253</v>
      </c>
      <c r="AK216" s="904" t="s">
        <v>17254</v>
      </c>
      <c r="AL216" s="904" t="s">
        <v>17255</v>
      </c>
      <c r="AM216" s="973"/>
      <c r="AN216" s="974"/>
      <c r="AO216" s="961"/>
      <c r="AP216" s="197"/>
      <c r="AQ216" s="197"/>
      <c r="AR216" s="197"/>
      <c r="AS216" s="197"/>
    </row>
    <row r="217" spans="1:45" s="4" customFormat="1" ht="15.75" customHeight="1">
      <c r="A217" s="197"/>
      <c r="B217" s="403" t="s">
        <v>8698</v>
      </c>
      <c r="C217" s="2092">
        <v>0</v>
      </c>
      <c r="D217" s="697">
        <v>0</v>
      </c>
      <c r="E217" s="697">
        <v>0</v>
      </c>
      <c r="F217" s="697">
        <v>0</v>
      </c>
      <c r="G217" s="1597">
        <f t="shared" si="87"/>
        <v>0</v>
      </c>
      <c r="H217" s="697">
        <v>0</v>
      </c>
      <c r="I217" s="697">
        <v>0</v>
      </c>
      <c r="J217" s="1618"/>
      <c r="K217" s="1619"/>
      <c r="L217" s="197"/>
      <c r="M217" s="290" t="s">
        <v>8886</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8698</v>
      </c>
      <c r="AF217" s="962" t="s">
        <v>17256</v>
      </c>
      <c r="AG217" s="905" t="s">
        <v>17257</v>
      </c>
      <c r="AH217" s="905" t="s">
        <v>17258</v>
      </c>
      <c r="AI217" s="905" t="s">
        <v>17259</v>
      </c>
      <c r="AJ217" s="963" t="s">
        <v>17260</v>
      </c>
      <c r="AK217" s="905" t="s">
        <v>17261</v>
      </c>
      <c r="AL217" s="905" t="s">
        <v>17262</v>
      </c>
      <c r="AM217" s="975"/>
      <c r="AN217" s="976"/>
      <c r="AO217" s="961"/>
      <c r="AP217" s="197"/>
      <c r="AQ217" s="197"/>
      <c r="AR217" s="197"/>
      <c r="AS217" s="197"/>
    </row>
    <row r="218" spans="1:45" s="4" customFormat="1" ht="15.75" customHeight="1">
      <c r="A218" s="197"/>
      <c r="B218" s="403" t="s">
        <v>8707</v>
      </c>
      <c r="C218" s="2092">
        <v>0</v>
      </c>
      <c r="D218" s="697">
        <v>0</v>
      </c>
      <c r="E218" s="697">
        <v>0</v>
      </c>
      <c r="F218" s="697">
        <v>0</v>
      </c>
      <c r="G218" s="1597">
        <f t="shared" si="87"/>
        <v>0</v>
      </c>
      <c r="H218" s="697">
        <v>0</v>
      </c>
      <c r="I218" s="697">
        <v>0</v>
      </c>
      <c r="J218" s="1618"/>
      <c r="K218" s="1619"/>
      <c r="L218" s="197"/>
      <c r="M218" s="290" t="s">
        <v>8887</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8707</v>
      </c>
      <c r="AF218" s="962" t="s">
        <v>17263</v>
      </c>
      <c r="AG218" s="905" t="s">
        <v>17264</v>
      </c>
      <c r="AH218" s="905" t="s">
        <v>17265</v>
      </c>
      <c r="AI218" s="905" t="s">
        <v>17266</v>
      </c>
      <c r="AJ218" s="963" t="s">
        <v>17267</v>
      </c>
      <c r="AK218" s="905" t="s">
        <v>17268</v>
      </c>
      <c r="AL218" s="905" t="s">
        <v>17269</v>
      </c>
      <c r="AM218" s="975"/>
      <c r="AN218" s="976"/>
      <c r="AO218" s="961"/>
      <c r="AP218" s="197"/>
      <c r="AQ218" s="197"/>
      <c r="AR218" s="197"/>
      <c r="AS218" s="197"/>
    </row>
    <row r="219" spans="1:45" s="4" customFormat="1" ht="15.75" customHeight="1">
      <c r="A219" s="197"/>
      <c r="B219" s="403" t="s">
        <v>8716</v>
      </c>
      <c r="C219" s="2092">
        <v>0</v>
      </c>
      <c r="D219" s="697">
        <v>0</v>
      </c>
      <c r="E219" s="697">
        <v>0</v>
      </c>
      <c r="F219" s="697">
        <v>0</v>
      </c>
      <c r="G219" s="1597">
        <f t="shared" si="87"/>
        <v>0</v>
      </c>
      <c r="H219" s="697">
        <v>0</v>
      </c>
      <c r="I219" s="697">
        <v>0</v>
      </c>
      <c r="J219" s="1618"/>
      <c r="K219" s="1619"/>
      <c r="L219" s="197"/>
      <c r="M219" s="290" t="s">
        <v>8888</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8716</v>
      </c>
      <c r="AF219" s="962" t="s">
        <v>17270</v>
      </c>
      <c r="AG219" s="905" t="s">
        <v>17271</v>
      </c>
      <c r="AH219" s="905" t="s">
        <v>17272</v>
      </c>
      <c r="AI219" s="905" t="s">
        <v>17273</v>
      </c>
      <c r="AJ219" s="963" t="s">
        <v>17274</v>
      </c>
      <c r="AK219" s="905" t="s">
        <v>17275</v>
      </c>
      <c r="AL219" s="905" t="s">
        <v>17276</v>
      </c>
      <c r="AM219" s="975"/>
      <c r="AN219" s="976"/>
      <c r="AO219" s="961"/>
      <c r="AP219" s="197"/>
      <c r="AQ219" s="197"/>
      <c r="AR219" s="197"/>
      <c r="AS219" s="197"/>
    </row>
    <row r="220" spans="1:45" s="4" customFormat="1" ht="15.75" customHeight="1">
      <c r="A220" s="197"/>
      <c r="B220" s="403" t="s">
        <v>8725</v>
      </c>
      <c r="C220" s="2092">
        <v>0</v>
      </c>
      <c r="D220" s="697">
        <v>0</v>
      </c>
      <c r="E220" s="697">
        <v>0</v>
      </c>
      <c r="F220" s="697">
        <v>0</v>
      </c>
      <c r="G220" s="1597">
        <f t="shared" si="87"/>
        <v>0</v>
      </c>
      <c r="H220" s="697">
        <v>0</v>
      </c>
      <c r="I220" s="697">
        <v>0</v>
      </c>
      <c r="J220" s="1618"/>
      <c r="K220" s="1619"/>
      <c r="L220" s="197"/>
      <c r="M220" s="290" t="s">
        <v>8889</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8725</v>
      </c>
      <c r="AF220" s="962" t="s">
        <v>17277</v>
      </c>
      <c r="AG220" s="905" t="s">
        <v>17278</v>
      </c>
      <c r="AH220" s="905" t="s">
        <v>17279</v>
      </c>
      <c r="AI220" s="905" t="s">
        <v>17280</v>
      </c>
      <c r="AJ220" s="963" t="s">
        <v>17281</v>
      </c>
      <c r="AK220" s="905" t="s">
        <v>17282</v>
      </c>
      <c r="AL220" s="905" t="s">
        <v>17283</v>
      </c>
      <c r="AM220" s="975"/>
      <c r="AN220" s="976"/>
      <c r="AO220" s="961"/>
      <c r="AP220" s="197"/>
      <c r="AQ220" s="197"/>
      <c r="AR220" s="197"/>
      <c r="AS220" s="197"/>
    </row>
    <row r="221" spans="1:45" s="4" customFormat="1" ht="15.75" customHeight="1">
      <c r="A221" s="197"/>
      <c r="B221" s="403" t="s">
        <v>8734</v>
      </c>
      <c r="C221" s="2092">
        <v>0</v>
      </c>
      <c r="D221" s="697">
        <v>0</v>
      </c>
      <c r="E221" s="697">
        <v>0</v>
      </c>
      <c r="F221" s="697">
        <v>0</v>
      </c>
      <c r="G221" s="1597">
        <f t="shared" si="87"/>
        <v>0</v>
      </c>
      <c r="H221" s="697">
        <v>0</v>
      </c>
      <c r="I221" s="697">
        <v>0</v>
      </c>
      <c r="J221" s="1618"/>
      <c r="K221" s="1619"/>
      <c r="L221" s="197"/>
      <c r="M221" s="290" t="s">
        <v>8890</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8734</v>
      </c>
      <c r="AF221" s="962" t="s">
        <v>17284</v>
      </c>
      <c r="AG221" s="905" t="s">
        <v>17285</v>
      </c>
      <c r="AH221" s="905" t="s">
        <v>17286</v>
      </c>
      <c r="AI221" s="905" t="s">
        <v>17287</v>
      </c>
      <c r="AJ221" s="963" t="s">
        <v>17288</v>
      </c>
      <c r="AK221" s="905" t="s">
        <v>17289</v>
      </c>
      <c r="AL221" s="905" t="s">
        <v>17290</v>
      </c>
      <c r="AM221" s="975"/>
      <c r="AN221" s="976"/>
      <c r="AO221" s="961"/>
      <c r="AP221" s="197"/>
      <c r="AQ221" s="197"/>
      <c r="AR221" s="197"/>
      <c r="AS221" s="197"/>
    </row>
    <row r="222" spans="1:45" s="4" customFormat="1" ht="15.75" customHeight="1">
      <c r="A222" s="197"/>
      <c r="B222" s="403" t="s">
        <v>8743</v>
      </c>
      <c r="C222" s="2092">
        <v>0</v>
      </c>
      <c r="D222" s="697">
        <v>0</v>
      </c>
      <c r="E222" s="697">
        <v>0</v>
      </c>
      <c r="F222" s="697">
        <v>0</v>
      </c>
      <c r="G222" s="1597">
        <f t="shared" si="87"/>
        <v>0</v>
      </c>
      <c r="H222" s="697">
        <v>0</v>
      </c>
      <c r="I222" s="697">
        <v>0</v>
      </c>
      <c r="J222" s="1618"/>
      <c r="K222" s="1619"/>
      <c r="L222" s="197"/>
      <c r="M222" s="290" t="s">
        <v>8891</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8743</v>
      </c>
      <c r="AF222" s="962" t="s">
        <v>17291</v>
      </c>
      <c r="AG222" s="905" t="s">
        <v>17292</v>
      </c>
      <c r="AH222" s="905" t="s">
        <v>17293</v>
      </c>
      <c r="AI222" s="905" t="s">
        <v>17294</v>
      </c>
      <c r="AJ222" s="963" t="s">
        <v>17295</v>
      </c>
      <c r="AK222" s="905" t="s">
        <v>17296</v>
      </c>
      <c r="AL222" s="905" t="s">
        <v>17297</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8892</v>
      </c>
      <c r="N223" s="197"/>
      <c r="O223" s="302"/>
      <c r="P223" s="197"/>
      <c r="Q223" s="828"/>
      <c r="R223" s="284"/>
      <c r="S223" s="828"/>
      <c r="T223" s="197"/>
      <c r="U223" s="197"/>
      <c r="V223" s="197"/>
      <c r="W223" s="197"/>
      <c r="X223" s="197"/>
      <c r="Y223" s="197"/>
      <c r="Z223" s="197"/>
      <c r="AA223" s="197"/>
      <c r="AB223" s="197"/>
      <c r="AC223" s="828"/>
      <c r="AD223" s="197"/>
      <c r="AE223" s="406" t="s">
        <v>4425</v>
      </c>
      <c r="AF223" s="965" t="s">
        <v>17298</v>
      </c>
      <c r="AG223" s="679" t="s">
        <v>17299</v>
      </c>
      <c r="AH223" s="679" t="s">
        <v>17300</v>
      </c>
      <c r="AI223" s="679" t="s">
        <v>17301</v>
      </c>
      <c r="AJ223" s="679" t="s">
        <v>17302</v>
      </c>
      <c r="AK223" s="679" t="s">
        <v>17303</v>
      </c>
      <c r="AL223" s="679" t="s">
        <v>17304</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8787</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8760</v>
      </c>
      <c r="C225" s="729"/>
      <c r="D225" s="1603"/>
      <c r="E225" s="1603"/>
      <c r="F225" s="1603"/>
      <c r="G225" s="1603"/>
      <c r="H225" s="1603"/>
      <c r="I225" s="1603"/>
      <c r="J225" s="1615"/>
      <c r="K225" s="1615"/>
      <c r="L225" s="197"/>
      <c r="M225" s="260" t="s">
        <v>8787</v>
      </c>
      <c r="N225" s="197"/>
      <c r="O225" s="197"/>
      <c r="P225" s="197"/>
      <c r="Q225" s="828"/>
      <c r="R225" s="284"/>
      <c r="S225" s="828"/>
      <c r="T225" s="197"/>
      <c r="U225" s="197"/>
      <c r="V225" s="197"/>
      <c r="W225" s="197"/>
      <c r="X225" s="197"/>
      <c r="Y225" s="197"/>
      <c r="Z225" s="197"/>
      <c r="AA225" s="197"/>
      <c r="AB225" s="197"/>
      <c r="AC225" s="828"/>
      <c r="AD225" s="197"/>
      <c r="AE225" s="393" t="s">
        <v>8760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8760</v>
      </c>
      <c r="C226" s="701">
        <v>2.718</v>
      </c>
      <c r="D226" s="701">
        <v>2.1589999999999998</v>
      </c>
      <c r="E226" s="701">
        <v>0</v>
      </c>
      <c r="F226" s="701">
        <v>0</v>
      </c>
      <c r="G226" s="1586">
        <f>IFERROR(SUM(C226:F226),0)</f>
        <v>4.8769999999999998</v>
      </c>
      <c r="H226" s="701">
        <v>-9.9619999999999997</v>
      </c>
      <c r="I226" s="701">
        <v>0</v>
      </c>
      <c r="J226" s="1620"/>
      <c r="K226" s="1621"/>
      <c r="L226" s="197"/>
      <c r="M226" s="374" t="s">
        <v>8893</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8760</v>
      </c>
      <c r="AF226" s="978" t="s">
        <v>17305</v>
      </c>
      <c r="AG226" s="978" t="s">
        <v>17306</v>
      </c>
      <c r="AH226" s="978" t="s">
        <v>17307</v>
      </c>
      <c r="AI226" s="978" t="s">
        <v>17308</v>
      </c>
      <c r="AJ226" s="979" t="s">
        <v>17309</v>
      </c>
      <c r="AK226" s="978" t="s">
        <v>17310</v>
      </c>
      <c r="AL226" s="978" t="s">
        <v>17311</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8787</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8769</v>
      </c>
      <c r="C228" s="2038">
        <f>IFERROR(SUM(C199,C206,C213,C223,C226), 0)</f>
        <v>2.718</v>
      </c>
      <c r="D228" s="1586">
        <f>IFERROR(SUM(D199,D206,D213,D223,D226), 0)</f>
        <v>2.1589999999999998</v>
      </c>
      <c r="E228" s="1586">
        <f>IFERROR(SUM(E199,E206,E213,E223,E226), 0)</f>
        <v>550</v>
      </c>
      <c r="F228" s="1586">
        <f>IFERROR(SUM(F199,F206,F213,F223,F226), 0)</f>
        <v>892</v>
      </c>
      <c r="G228" s="1586">
        <f>IFERROR(SUM(C228:F228),0)</f>
        <v>1446.877</v>
      </c>
      <c r="H228" s="1586">
        <f>IFERROR(SUM(H199,H206,H213,H223,H226), 0)</f>
        <v>384.12400000000002</v>
      </c>
      <c r="I228" s="1586">
        <f>IFERROR(SUM(I199,I206,I213,I223,I226), 0)</f>
        <v>344.654</v>
      </c>
      <c r="J228" s="1622"/>
      <c r="K228" s="1623"/>
      <c r="L228" s="389"/>
      <c r="M228" s="374" t="s">
        <v>8894</v>
      </c>
      <c r="N228" s="197"/>
      <c r="O228" s="982"/>
      <c r="P228" s="389"/>
      <c r="Q228" s="825"/>
      <c r="R228" s="284"/>
      <c r="S228" s="825"/>
      <c r="T228" s="197"/>
      <c r="U228" s="197"/>
      <c r="V228" s="197"/>
      <c r="W228" s="197"/>
      <c r="X228" s="197"/>
      <c r="Y228" s="197"/>
      <c r="Z228" s="197"/>
      <c r="AA228" s="197"/>
      <c r="AB228" s="197"/>
      <c r="AC228" s="825"/>
      <c r="AD228" s="389"/>
      <c r="AE228" s="420" t="s">
        <v>8769</v>
      </c>
      <c r="AF228" s="985" t="s">
        <v>17312</v>
      </c>
      <c r="AG228" s="372" t="s">
        <v>17313</v>
      </c>
      <c r="AH228" s="372" t="s">
        <v>17314</v>
      </c>
      <c r="AI228" s="372" t="s">
        <v>17315</v>
      </c>
      <c r="AJ228" s="372" t="s">
        <v>17316</v>
      </c>
      <c r="AK228" s="372" t="s">
        <v>17317</v>
      </c>
      <c r="AL228" s="372" t="s">
        <v>17318</v>
      </c>
      <c r="AM228" s="986"/>
      <c r="AN228" s="987"/>
      <c r="AO228" s="961"/>
      <c r="AP228" s="389"/>
      <c r="AQ228" s="389"/>
      <c r="AR228" s="389"/>
      <c r="AS228" s="389"/>
    </row>
    <row r="229" spans="1:45" s="4" customFormat="1" ht="16.2"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Normal="100" zoomScaleSheetLayoutView="100" workbookViewId="0">
      <selection activeCell="N30" sqref="N30"/>
    </sheetView>
  </sheetViews>
  <sheetFormatPr defaultColWidth="9" defaultRowHeight="15.6"/>
  <cols>
    <col min="1" max="1" width="1.59765625" style="224" customWidth="1"/>
    <col min="2" max="2" width="64.69921875" style="1022" customWidth="1"/>
    <col min="3" max="3" width="5.5" style="1022" bestFit="1" customWidth="1"/>
    <col min="4" max="4" width="4.69921875" style="1022" bestFit="1" customWidth="1"/>
    <col min="5" max="5" width="15.69921875" style="1022" bestFit="1" customWidth="1"/>
    <col min="6" max="6" width="10.69921875" style="1022" bestFit="1" customWidth="1"/>
    <col min="7" max="7" width="10.19921875" style="1022" bestFit="1" customWidth="1"/>
    <col min="8" max="8" width="9.19921875" style="1022" bestFit="1" customWidth="1"/>
    <col min="9" max="9" width="13.19921875" style="1022" bestFit="1" customWidth="1"/>
    <col min="10" max="10" width="11.69921875" style="1022" customWidth="1"/>
    <col min="11" max="11" width="1.59765625" style="1022" customWidth="1"/>
    <col min="12" max="12" width="15.69921875" style="1024" bestFit="1" customWidth="1"/>
    <col min="13" max="13" width="1.59765625" style="248" customWidth="1"/>
    <col min="14" max="14" width="29.5" style="248" bestFit="1" customWidth="1"/>
    <col min="15" max="15" width="1.59765625" style="248" customWidth="1"/>
    <col min="16" max="16" width="1.59765625" style="105" customWidth="1"/>
    <col min="17" max="17" width="25" style="224" customWidth="1"/>
    <col min="18" max="18" width="1.59765625" style="224" customWidth="1"/>
    <col min="19" max="23" width="4.59765625" style="224" hidden="1" customWidth="1"/>
    <col min="24" max="24" width="1.59765625" style="224" hidden="1" customWidth="1"/>
    <col min="25" max="25" width="1.59765625" style="224" customWidth="1"/>
    <col min="26" max="26" width="36.09765625" style="224" customWidth="1"/>
    <col min="27" max="32" width="12.5" style="224" customWidth="1"/>
    <col min="33" max="34" width="1.59765625" style="224" customWidth="1"/>
    <col min="35" max="38" width="9" style="224"/>
    <col min="39" max="16384" width="9" style="1022"/>
  </cols>
  <sheetData>
    <row r="1" spans="1:38" s="991" customFormat="1" ht="29.25" customHeight="1">
      <c r="A1" s="389"/>
      <c r="B1" s="2721" t="s">
        <v>8895</v>
      </c>
      <c r="C1" s="2721"/>
      <c r="D1" s="2721"/>
      <c r="E1" s="2721"/>
      <c r="F1" s="2721"/>
      <c r="G1" s="2721"/>
      <c r="H1" s="2721"/>
      <c r="I1" s="2721"/>
      <c r="J1" s="2721"/>
      <c r="K1" s="339"/>
      <c r="L1" s="424"/>
      <c r="M1" s="989"/>
      <c r="N1" s="989"/>
      <c r="O1" s="989"/>
      <c r="P1" s="990"/>
      <c r="Q1" s="389"/>
      <c r="R1" s="825"/>
      <c r="S1" s="389"/>
      <c r="T1" s="389"/>
      <c r="U1" s="389"/>
      <c r="V1" s="389"/>
      <c r="W1" s="389"/>
      <c r="X1" s="825"/>
      <c r="Y1" s="389"/>
      <c r="Z1" s="2721" t="s">
        <v>4198</v>
      </c>
      <c r="AA1" s="2721"/>
      <c r="AB1" s="2721"/>
      <c r="AC1" s="2721"/>
      <c r="AD1" s="2721"/>
      <c r="AE1" s="2721"/>
      <c r="AF1" s="2721"/>
      <c r="AG1" s="389"/>
      <c r="AH1" s="389"/>
      <c r="AI1" s="389"/>
      <c r="AJ1" s="389"/>
      <c r="AK1" s="389"/>
      <c r="AL1" s="389"/>
    </row>
    <row r="2" spans="1:38" s="991" customFormat="1" ht="29.25" customHeight="1">
      <c r="A2" s="389"/>
      <c r="B2" s="2721" t="str">
        <f>SelectCompany!B4</f>
        <v>Dŵr Cymru</v>
      </c>
      <c r="C2" s="2721"/>
      <c r="D2" s="2721"/>
      <c r="E2" s="2721"/>
      <c r="F2" s="2721"/>
      <c r="G2" s="2721"/>
      <c r="H2" s="2721"/>
      <c r="I2" s="529"/>
      <c r="J2" s="529"/>
      <c r="K2" s="529"/>
      <c r="L2" s="529"/>
      <c r="M2" s="529"/>
      <c r="N2" s="529"/>
      <c r="O2" s="529"/>
      <c r="P2" s="990"/>
      <c r="Q2" s="389"/>
      <c r="R2" s="825"/>
      <c r="S2" s="389"/>
      <c r="T2" s="389"/>
      <c r="U2" s="389"/>
      <c r="V2" s="389"/>
      <c r="W2" s="389"/>
      <c r="X2" s="825"/>
      <c r="Y2" s="389"/>
      <c r="Z2" s="2721"/>
      <c r="AA2" s="2721"/>
      <c r="AB2" s="2721"/>
      <c r="AC2" s="2721"/>
      <c r="AD2" s="2721"/>
      <c r="AE2" s="2721"/>
      <c r="AF2" s="2721"/>
      <c r="AG2" s="389"/>
      <c r="AH2" s="389"/>
      <c r="AI2" s="389"/>
      <c r="AJ2" s="389"/>
      <c r="AK2" s="389"/>
      <c r="AL2" s="389"/>
    </row>
    <row r="3" spans="1:38" s="995" customFormat="1" ht="45" customHeight="1">
      <c r="A3" s="197"/>
      <c r="B3" s="2829" t="s">
        <v>8896</v>
      </c>
      <c r="C3" s="2829"/>
      <c r="D3" s="2829"/>
      <c r="E3" s="2829"/>
      <c r="F3" s="2829"/>
      <c r="G3" s="2829"/>
      <c r="H3" s="2829"/>
      <c r="I3" s="2829"/>
      <c r="J3" s="2829"/>
      <c r="K3" s="2829"/>
      <c r="L3" s="2829"/>
      <c r="M3" s="2829"/>
      <c r="N3" s="2829"/>
      <c r="O3" s="992"/>
      <c r="P3" s="993"/>
      <c r="Q3" s="650" t="s">
        <v>4200</v>
      </c>
      <c r="R3" s="994"/>
      <c r="S3" s="197"/>
      <c r="T3" s="197"/>
      <c r="U3" s="197"/>
      <c r="V3" s="197"/>
      <c r="W3" s="197"/>
      <c r="X3" s="828"/>
      <c r="Y3" s="197"/>
      <c r="Z3" s="2829" t="s">
        <v>8896</v>
      </c>
      <c r="AA3" s="2829"/>
      <c r="AB3" s="2829"/>
      <c r="AC3" s="2829"/>
      <c r="AD3" s="2829"/>
      <c r="AE3" s="2829"/>
      <c r="AF3" s="2829"/>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63" t="s">
        <v>4202</v>
      </c>
      <c r="C5" s="2865" t="s">
        <v>4203</v>
      </c>
      <c r="D5" s="2865" t="s">
        <v>4204</v>
      </c>
      <c r="E5" s="2865" t="s">
        <v>5141</v>
      </c>
      <c r="F5" s="2867" t="s">
        <v>6185</v>
      </c>
      <c r="G5" s="2867"/>
      <c r="H5" s="2867"/>
      <c r="I5" s="2867"/>
      <c r="J5" s="2868" t="s">
        <v>4425</v>
      </c>
      <c r="K5" s="997"/>
      <c r="L5" s="2830" t="s">
        <v>4208</v>
      </c>
      <c r="M5" s="482"/>
      <c r="N5" s="2830" t="s">
        <v>4209</v>
      </c>
      <c r="O5" s="482"/>
      <c r="P5" s="993"/>
      <c r="Q5" s="106"/>
      <c r="R5" s="994"/>
      <c r="S5" s="197"/>
      <c r="T5" s="197"/>
      <c r="U5" s="197"/>
      <c r="V5" s="197"/>
      <c r="W5" s="197"/>
      <c r="X5" s="828"/>
      <c r="Y5" s="197"/>
      <c r="Z5" s="2863" t="s">
        <v>4202</v>
      </c>
      <c r="AA5" s="2865" t="s">
        <v>5141</v>
      </c>
      <c r="AB5" s="2867" t="s">
        <v>6185</v>
      </c>
      <c r="AC5" s="2867"/>
      <c r="AD5" s="2867"/>
      <c r="AE5" s="2867"/>
      <c r="AF5" s="2868" t="s">
        <v>4425</v>
      </c>
      <c r="AG5" s="197"/>
      <c r="AH5" s="197"/>
      <c r="AI5" s="197"/>
      <c r="AJ5" s="197"/>
      <c r="AK5" s="197"/>
      <c r="AL5" s="197"/>
    </row>
    <row r="6" spans="1:38" s="995" customFormat="1" ht="48" customHeight="1" thickBot="1">
      <c r="A6" s="197"/>
      <c r="B6" s="2864"/>
      <c r="C6" s="2870"/>
      <c r="D6" s="2870"/>
      <c r="E6" s="2866"/>
      <c r="F6" s="999" t="s">
        <v>8897</v>
      </c>
      <c r="G6" s="999" t="s">
        <v>7883</v>
      </c>
      <c r="H6" s="999" t="s">
        <v>7884</v>
      </c>
      <c r="I6" s="999" t="s">
        <v>7885</v>
      </c>
      <c r="J6" s="2869"/>
      <c r="K6" s="997"/>
      <c r="L6" s="2831"/>
      <c r="M6" s="482"/>
      <c r="N6" s="2831"/>
      <c r="O6" s="482"/>
      <c r="P6" s="993"/>
      <c r="Q6" s="888"/>
      <c r="R6" s="1000"/>
      <c r="S6" s="197"/>
      <c r="T6" s="197"/>
      <c r="U6" s="197"/>
      <c r="V6" s="197"/>
      <c r="W6" s="197"/>
      <c r="X6" s="828"/>
      <c r="Y6" s="197"/>
      <c r="Z6" s="2864"/>
      <c r="AA6" s="2866"/>
      <c r="AB6" s="999" t="s">
        <v>8897</v>
      </c>
      <c r="AC6" s="999" t="s">
        <v>7883</v>
      </c>
      <c r="AD6" s="999" t="s">
        <v>7884</v>
      </c>
      <c r="AE6" s="999" t="s">
        <v>7885</v>
      </c>
      <c r="AF6" s="2869"/>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710" t="s">
        <v>4201</v>
      </c>
      <c r="T7" s="2843"/>
      <c r="U7" s="2843"/>
      <c r="V7" s="2843"/>
      <c r="W7" s="2843"/>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10.773999999999999</v>
      </c>
      <c r="F9" s="1624">
        <v>3.714</v>
      </c>
      <c r="G9" s="1624">
        <v>1.4999999999999999E-2</v>
      </c>
      <c r="H9" s="1624">
        <v>10.521000000000001</v>
      </c>
      <c r="I9" s="1624">
        <v>18.891999999999999</v>
      </c>
      <c r="J9" s="1625">
        <f>IFERROR(SUM(E9:I9), 0)</f>
        <v>43.915999999999997</v>
      </c>
      <c r="K9" s="997"/>
      <c r="L9" s="43" t="s">
        <v>8898</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8899</v>
      </c>
      <c r="AC9" s="1006" t="s">
        <v>8900</v>
      </c>
      <c r="AD9" s="1006" t="s">
        <v>8901</v>
      </c>
      <c r="AE9" s="1006" t="s">
        <v>8902</v>
      </c>
      <c r="AF9" s="1007" t="s">
        <v>8903</v>
      </c>
      <c r="AG9" s="197"/>
      <c r="AH9" s="197"/>
      <c r="AI9" s="197"/>
      <c r="AJ9" s="197"/>
      <c r="AK9" s="197"/>
      <c r="AL9" s="197"/>
    </row>
    <row r="10" spans="1:38" s="995" customFormat="1" ht="15.75" customHeight="1">
      <c r="A10" s="197"/>
      <c r="B10" s="96" t="s">
        <v>5251</v>
      </c>
      <c r="C10" s="97" t="s">
        <v>4215</v>
      </c>
      <c r="D10" s="97">
        <v>3</v>
      </c>
      <c r="E10" s="1626">
        <v>-6.742</v>
      </c>
      <c r="F10" s="1626">
        <v>-8.5000000000000006E-2</v>
      </c>
      <c r="G10" s="1626">
        <v>-2.1000000000000001E-2</v>
      </c>
      <c r="H10" s="1626">
        <v>-1.899</v>
      </c>
      <c r="I10" s="1626">
        <v>-1.371</v>
      </c>
      <c r="J10" s="1627">
        <f>IFERROR(SUM(E10:I10), 0)</f>
        <v>-10.118</v>
      </c>
      <c r="K10" s="997"/>
      <c r="L10" s="52" t="s">
        <v>8904</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8905</v>
      </c>
      <c r="AC10" s="1008" t="s">
        <v>8906</v>
      </c>
      <c r="AD10" s="1008" t="s">
        <v>8907</v>
      </c>
      <c r="AE10" s="1008" t="s">
        <v>8908</v>
      </c>
      <c r="AF10" s="1009" t="s">
        <v>8909</v>
      </c>
      <c r="AG10" s="197"/>
      <c r="AH10" s="197"/>
      <c r="AI10" s="197"/>
      <c r="AJ10" s="197"/>
      <c r="AK10" s="197"/>
      <c r="AL10" s="197"/>
    </row>
    <row r="11" spans="1:38" s="995" customFormat="1" ht="15.75" customHeight="1">
      <c r="A11" s="197"/>
      <c r="B11" s="96" t="s">
        <v>5268</v>
      </c>
      <c r="C11" s="97" t="s">
        <v>4215</v>
      </c>
      <c r="D11" s="97">
        <v>3</v>
      </c>
      <c r="E11" s="1626">
        <v>0.14099999999999999</v>
      </c>
      <c r="F11" s="1626">
        <v>5.8999999999999997E-2</v>
      </c>
      <c r="G11" s="1626">
        <v>0</v>
      </c>
      <c r="H11" s="1626">
        <v>0.189</v>
      </c>
      <c r="I11" s="1626">
        <v>0.79200000000000004</v>
      </c>
      <c r="J11" s="1627">
        <f t="shared" ref="J11:J14" si="7">IFERROR(SUM(E11:I11), 0)</f>
        <v>1.181</v>
      </c>
      <c r="K11" s="997"/>
      <c r="L11" s="52" t="s">
        <v>8910</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8911</v>
      </c>
      <c r="AA11" s="1008" t="s">
        <v>5270</v>
      </c>
      <c r="AB11" s="1008" t="s">
        <v>8912</v>
      </c>
      <c r="AC11" s="1008" t="s">
        <v>8913</v>
      </c>
      <c r="AD11" s="1008" t="s">
        <v>8914</v>
      </c>
      <c r="AE11" s="1008" t="s">
        <v>8915</v>
      </c>
      <c r="AF11" s="1009" t="s">
        <v>8916</v>
      </c>
      <c r="AG11" s="197"/>
      <c r="AH11" s="197"/>
      <c r="AI11" s="197"/>
      <c r="AJ11" s="197"/>
      <c r="AK11" s="197"/>
      <c r="AL11" s="197"/>
    </row>
    <row r="12" spans="1:38" s="995" customFormat="1" ht="15.75" customHeight="1">
      <c r="A12" s="197"/>
      <c r="B12" s="96" t="s">
        <v>8917</v>
      </c>
      <c r="C12" s="97" t="s">
        <v>4215</v>
      </c>
      <c r="D12" s="97">
        <v>3</v>
      </c>
      <c r="E12" s="1626">
        <v>0.65100000000000002</v>
      </c>
      <c r="F12" s="1626">
        <v>0</v>
      </c>
      <c r="G12" s="1626">
        <v>0</v>
      </c>
      <c r="H12" s="1626">
        <v>0</v>
      </c>
      <c r="I12" s="1626">
        <v>45.625999999999998</v>
      </c>
      <c r="J12" s="1627">
        <f t="shared" si="7"/>
        <v>46.277000000000001</v>
      </c>
      <c r="K12" s="997"/>
      <c r="L12" s="52" t="s">
        <v>8918</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8917</v>
      </c>
      <c r="AA12" s="1008" t="s">
        <v>5278</v>
      </c>
      <c r="AB12" s="1008" t="s">
        <v>8919</v>
      </c>
      <c r="AC12" s="1008" t="s">
        <v>8920</v>
      </c>
      <c r="AD12" s="1008" t="s">
        <v>8921</v>
      </c>
      <c r="AE12" s="1008" t="s">
        <v>8922</v>
      </c>
      <c r="AF12" s="1009" t="s">
        <v>8923</v>
      </c>
      <c r="AG12" s="197"/>
      <c r="AH12" s="197"/>
      <c r="AI12" s="197"/>
      <c r="AJ12" s="197"/>
      <c r="AK12" s="197"/>
      <c r="AL12" s="197"/>
    </row>
    <row r="13" spans="1:38" s="995" customFormat="1" ht="15.75" customHeight="1">
      <c r="A13" s="197"/>
      <c r="B13" s="96" t="s">
        <v>8924</v>
      </c>
      <c r="C13" s="97" t="s">
        <v>4215</v>
      </c>
      <c r="D13" s="97">
        <v>3</v>
      </c>
      <c r="E13" s="1626">
        <v>0</v>
      </c>
      <c r="F13" s="1626">
        <v>0</v>
      </c>
      <c r="G13" s="1626">
        <v>0</v>
      </c>
      <c r="H13" s="1626">
        <v>0</v>
      </c>
      <c r="I13" s="1626">
        <v>0</v>
      </c>
      <c r="J13" s="1627">
        <f t="shared" si="7"/>
        <v>0</v>
      </c>
      <c r="K13" s="997"/>
      <c r="L13" s="52" t="s">
        <v>8925</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8924</v>
      </c>
      <c r="AA13" s="1008" t="s">
        <v>5286</v>
      </c>
      <c r="AB13" s="1008" t="s">
        <v>8926</v>
      </c>
      <c r="AC13" s="1008" t="s">
        <v>8927</v>
      </c>
      <c r="AD13" s="1008" t="s">
        <v>8928</v>
      </c>
      <c r="AE13" s="1008" t="s">
        <v>8929</v>
      </c>
      <c r="AF13" s="1009" t="s">
        <v>8930</v>
      </c>
      <c r="AG13" s="197"/>
      <c r="AH13" s="197"/>
      <c r="AI13" s="197"/>
      <c r="AJ13" s="197"/>
      <c r="AK13" s="197"/>
      <c r="AL13" s="197"/>
    </row>
    <row r="14" spans="1:38" s="995" customFormat="1" ht="15.75" customHeight="1">
      <c r="A14" s="197"/>
      <c r="B14" s="96" t="s">
        <v>5294</v>
      </c>
      <c r="C14" s="97" t="s">
        <v>4215</v>
      </c>
      <c r="D14" s="97">
        <v>3</v>
      </c>
      <c r="E14" s="1626">
        <v>14.262</v>
      </c>
      <c r="F14" s="1626">
        <v>0.92100000000000004</v>
      </c>
      <c r="G14" s="1626">
        <v>0.92200000000000004</v>
      </c>
      <c r="H14" s="1626">
        <v>44.279000000000003</v>
      </c>
      <c r="I14" s="1626">
        <v>56.277000000000001</v>
      </c>
      <c r="J14" s="1627">
        <f t="shared" si="7"/>
        <v>116.661</v>
      </c>
      <c r="K14" s="997"/>
      <c r="L14" s="52" t="s">
        <v>8931</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8932</v>
      </c>
      <c r="AB14" s="1008" t="s">
        <v>8933</v>
      </c>
      <c r="AC14" s="1008" t="s">
        <v>8934</v>
      </c>
      <c r="AD14" s="1008" t="s">
        <v>8935</v>
      </c>
      <c r="AE14" s="1008" t="s">
        <v>8936</v>
      </c>
      <c r="AF14" s="1009" t="s">
        <v>8937</v>
      </c>
      <c r="AG14" s="197"/>
      <c r="AH14" s="197"/>
      <c r="AI14" s="197"/>
      <c r="AJ14" s="197"/>
      <c r="AK14" s="197"/>
      <c r="AL14" s="197"/>
    </row>
    <row r="15" spans="1:38" s="995" customFormat="1" ht="15.75" customHeight="1" thickBot="1">
      <c r="A15" s="197"/>
      <c r="B15" s="100" t="s">
        <v>5301</v>
      </c>
      <c r="C15" s="101" t="s">
        <v>4215</v>
      </c>
      <c r="D15" s="101">
        <v>3</v>
      </c>
      <c r="E15" s="1628">
        <v>2.2320000000000002</v>
      </c>
      <c r="F15" s="1628">
        <v>0.02</v>
      </c>
      <c r="G15" s="1628">
        <v>3.7999999999999999E-2</v>
      </c>
      <c r="H15" s="1628">
        <v>1.4039999999999999</v>
      </c>
      <c r="I15" s="1628">
        <v>12.451000000000001</v>
      </c>
      <c r="J15" s="1629">
        <f>IFERROR(SUM(E15:I15), 0)</f>
        <v>16.145</v>
      </c>
      <c r="K15" s="997"/>
      <c r="L15" s="54" t="s">
        <v>8938</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8939</v>
      </c>
      <c r="AC15" s="1010" t="s">
        <v>8940</v>
      </c>
      <c r="AD15" s="1010" t="s">
        <v>8941</v>
      </c>
      <c r="AE15" s="1010" t="s">
        <v>8942</v>
      </c>
      <c r="AF15" s="1011" t="s">
        <v>8943</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8944</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8944</v>
      </c>
      <c r="AA17" s="482"/>
      <c r="AB17" s="482"/>
      <c r="AC17" s="482"/>
      <c r="AD17" s="1001"/>
      <c r="AE17" s="1001"/>
      <c r="AF17" s="997"/>
      <c r="AG17" s="197"/>
      <c r="AH17" s="197"/>
      <c r="AI17" s="197"/>
      <c r="AJ17" s="197"/>
      <c r="AK17" s="197"/>
      <c r="AL17" s="197"/>
    </row>
    <row r="18" spans="1:38" s="995" customFormat="1" ht="15.75" customHeight="1" thickTop="1">
      <c r="A18" s="197"/>
      <c r="B18" s="93" t="s">
        <v>8945</v>
      </c>
      <c r="C18" s="94" t="s">
        <v>4215</v>
      </c>
      <c r="D18" s="94">
        <v>3</v>
      </c>
      <c r="E18" s="1624">
        <v>0</v>
      </c>
      <c r="F18" s="1624">
        <v>0</v>
      </c>
      <c r="G18" s="1624">
        <v>0</v>
      </c>
      <c r="H18" s="1624">
        <v>0</v>
      </c>
      <c r="I18" s="1624">
        <v>0</v>
      </c>
      <c r="J18" s="1625">
        <f>IFERROR(SUM(E18:I18), 0)</f>
        <v>0</v>
      </c>
      <c r="K18" s="997"/>
      <c r="L18" s="43" t="s">
        <v>8946</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8945</v>
      </c>
      <c r="AA18" s="1006" t="s">
        <v>8947</v>
      </c>
      <c r="AB18" s="1006" t="s">
        <v>8948</v>
      </c>
      <c r="AC18" s="1006" t="s">
        <v>8949</v>
      </c>
      <c r="AD18" s="1006" t="s">
        <v>8950</v>
      </c>
      <c r="AE18" s="1006" t="s">
        <v>8951</v>
      </c>
      <c r="AF18" s="1007" t="s">
        <v>8952</v>
      </c>
      <c r="AG18" s="197"/>
      <c r="AH18" s="197"/>
      <c r="AI18" s="197"/>
      <c r="AJ18" s="197"/>
      <c r="AK18" s="197"/>
      <c r="AL18" s="197"/>
    </row>
    <row r="19" spans="1:38" s="995" customFormat="1" ht="15.75" customHeight="1">
      <c r="A19" s="197"/>
      <c r="B19" s="96" t="s">
        <v>8953</v>
      </c>
      <c r="C19" s="97" t="s">
        <v>4215</v>
      </c>
      <c r="D19" s="97">
        <v>3</v>
      </c>
      <c r="E19" s="1626">
        <v>9.6620000000000008</v>
      </c>
      <c r="F19" s="1626">
        <v>0</v>
      </c>
      <c r="G19" s="1626">
        <v>0.23899999999999999</v>
      </c>
      <c r="H19" s="1626">
        <v>1E-3</v>
      </c>
      <c r="I19" s="1626">
        <v>0</v>
      </c>
      <c r="J19" s="1627">
        <f>IFERROR(SUM(E19:I19), 0)</f>
        <v>9.902000000000001</v>
      </c>
      <c r="K19" s="997"/>
      <c r="L19" s="52" t="s">
        <v>8954</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8953</v>
      </c>
      <c r="AA19" s="1008" t="s">
        <v>8955</v>
      </c>
      <c r="AB19" s="1008" t="s">
        <v>8956</v>
      </c>
      <c r="AC19" s="1008" t="s">
        <v>8957</v>
      </c>
      <c r="AD19" s="1008" t="s">
        <v>8958</v>
      </c>
      <c r="AE19" s="1008" t="s">
        <v>8959</v>
      </c>
      <c r="AF19" s="1009" t="s">
        <v>8960</v>
      </c>
      <c r="AG19" s="197"/>
      <c r="AH19" s="197"/>
      <c r="AI19" s="197"/>
      <c r="AJ19" s="197"/>
      <c r="AK19" s="197"/>
      <c r="AL19" s="197"/>
    </row>
    <row r="20" spans="1:38" s="995" customFormat="1" ht="15.75" customHeight="1" thickBot="1">
      <c r="A20" s="197"/>
      <c r="B20" s="100" t="s">
        <v>8961</v>
      </c>
      <c r="C20" s="101" t="s">
        <v>4215</v>
      </c>
      <c r="D20" s="101">
        <v>3</v>
      </c>
      <c r="E20" s="1628">
        <v>0</v>
      </c>
      <c r="F20" s="1628">
        <v>0</v>
      </c>
      <c r="G20" s="1628">
        <v>0</v>
      </c>
      <c r="H20" s="1628">
        <v>0</v>
      </c>
      <c r="I20" s="1628">
        <v>0</v>
      </c>
      <c r="J20" s="1629">
        <f>IFERROR(SUM(E20:I20), 0)</f>
        <v>0</v>
      </c>
      <c r="K20" s="997"/>
      <c r="L20" s="54" t="s">
        <v>8962</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8961</v>
      </c>
      <c r="AA20" s="1010" t="s">
        <v>8963</v>
      </c>
      <c r="AB20" s="1010" t="s">
        <v>8964</v>
      </c>
      <c r="AC20" s="1010" t="s">
        <v>8965</v>
      </c>
      <c r="AD20" s="1010" t="s">
        <v>8966</v>
      </c>
      <c r="AE20" s="1010" t="s">
        <v>8967</v>
      </c>
      <c r="AF20" s="1011" t="s">
        <v>8968</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8969</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8970</v>
      </c>
      <c r="C23" s="94" t="s">
        <v>4215</v>
      </c>
      <c r="D23" s="94">
        <v>3</v>
      </c>
      <c r="E23" s="1624">
        <v>0</v>
      </c>
      <c r="F23" s="1624">
        <v>0</v>
      </c>
      <c r="G23" s="1624">
        <v>0</v>
      </c>
      <c r="H23" s="1624">
        <v>0</v>
      </c>
      <c r="I23" s="1624">
        <v>9.2999999999999999E-2</v>
      </c>
      <c r="J23" s="1625">
        <f>IFERROR(SUM(E23:I23), 0)</f>
        <v>9.2999999999999999E-2</v>
      </c>
      <c r="K23" s="997"/>
      <c r="L23" s="43" t="s">
        <v>8971</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8970</v>
      </c>
      <c r="AA23" s="1006" t="s">
        <v>8972</v>
      </c>
      <c r="AB23" s="1006" t="s">
        <v>8973</v>
      </c>
      <c r="AC23" s="1006" t="s">
        <v>8974</v>
      </c>
      <c r="AD23" s="1006" t="s">
        <v>8975</v>
      </c>
      <c r="AE23" s="1006" t="s">
        <v>8976</v>
      </c>
      <c r="AF23" s="1007" t="s">
        <v>8977</v>
      </c>
      <c r="AG23" s="197"/>
      <c r="AH23" s="197"/>
      <c r="AI23" s="197"/>
      <c r="AJ23" s="197"/>
      <c r="AK23" s="197"/>
      <c r="AL23" s="197"/>
    </row>
    <row r="24" spans="1:38" s="995" customFormat="1" ht="15.75" customHeight="1">
      <c r="A24" s="197"/>
      <c r="B24" s="96" t="s">
        <v>8978</v>
      </c>
      <c r="C24" s="97" t="s">
        <v>4215</v>
      </c>
      <c r="D24" s="97">
        <v>3</v>
      </c>
      <c r="E24" s="1626">
        <v>0</v>
      </c>
      <c r="F24" s="1626">
        <v>0</v>
      </c>
      <c r="G24" s="1626">
        <v>0</v>
      </c>
      <c r="H24" s="1626">
        <v>0</v>
      </c>
      <c r="I24" s="1626">
        <v>0</v>
      </c>
      <c r="J24" s="1627">
        <f>IFERROR(SUM(E24:I24), 0)</f>
        <v>0</v>
      </c>
      <c r="K24" s="997"/>
      <c r="L24" s="52" t="s">
        <v>8979</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8978</v>
      </c>
      <c r="AA24" s="1008" t="s">
        <v>8980</v>
      </c>
      <c r="AB24" s="1008" t="s">
        <v>8981</v>
      </c>
      <c r="AC24" s="1008" t="s">
        <v>8982</v>
      </c>
      <c r="AD24" s="1008" t="s">
        <v>8983</v>
      </c>
      <c r="AE24" s="1008" t="s">
        <v>8984</v>
      </c>
      <c r="AF24" s="1009" t="s">
        <v>8985</v>
      </c>
      <c r="AG24" s="197"/>
      <c r="AH24" s="197"/>
      <c r="AI24" s="197"/>
      <c r="AJ24" s="197"/>
      <c r="AK24" s="197"/>
      <c r="AL24" s="197"/>
    </row>
    <row r="25" spans="1:38" s="995" customFormat="1" ht="15.75" customHeight="1" thickBot="1">
      <c r="A25" s="197"/>
      <c r="B25" s="100" t="s">
        <v>8986</v>
      </c>
      <c r="C25" s="101" t="s">
        <v>4215</v>
      </c>
      <c r="D25" s="101">
        <v>3</v>
      </c>
      <c r="E25" s="1628">
        <v>0</v>
      </c>
      <c r="F25" s="1628">
        <v>0</v>
      </c>
      <c r="G25" s="1628">
        <v>0</v>
      </c>
      <c r="H25" s="1628">
        <v>0</v>
      </c>
      <c r="I25" s="1628">
        <v>0</v>
      </c>
      <c r="J25" s="1629">
        <f>IFERROR(SUM(E25:I25), 0)</f>
        <v>0</v>
      </c>
      <c r="K25" s="997"/>
      <c r="L25" s="54" t="s">
        <v>8987</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8986</v>
      </c>
      <c r="AA25" s="1010" t="s">
        <v>8988</v>
      </c>
      <c r="AB25" s="1010" t="s">
        <v>8989</v>
      </c>
      <c r="AC25" s="1010" t="s">
        <v>8990</v>
      </c>
      <c r="AD25" s="1010" t="s">
        <v>8991</v>
      </c>
      <c r="AE25" s="1010" t="s">
        <v>8992</v>
      </c>
      <c r="AF25" s="1011" t="s">
        <v>8993</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30.979999999999997</v>
      </c>
      <c r="F27" s="1635">
        <f t="shared" ref="F27:I27" si="20">IFERROR(SUM(F9:F15,F18:F20,F23:F25), 0)</f>
        <v>4.6289999999999996</v>
      </c>
      <c r="G27" s="1635">
        <f t="shared" si="20"/>
        <v>1.1930000000000001</v>
      </c>
      <c r="H27" s="1635">
        <f t="shared" si="20"/>
        <v>54.494999999999997</v>
      </c>
      <c r="I27" s="1635">
        <f t="shared" si="20"/>
        <v>132.76</v>
      </c>
      <c r="J27" s="1636">
        <f>IFERROR(SUM(J9:J15,J18:J20,J23:J25), 0)</f>
        <v>224.05699999999999</v>
      </c>
      <c r="K27" s="997"/>
      <c r="L27" s="59" t="s">
        <v>8994</v>
      </c>
      <c r="M27" s="174"/>
      <c r="N27" s="1018"/>
      <c r="O27" s="174"/>
      <c r="P27" s="993"/>
      <c r="Q27" s="106"/>
      <c r="R27" s="994"/>
      <c r="S27" s="270"/>
      <c r="T27" s="270"/>
      <c r="U27" s="270"/>
      <c r="V27" s="270"/>
      <c r="W27" s="270"/>
      <c r="X27" s="828"/>
      <c r="Y27" s="197"/>
      <c r="Z27" s="192" t="s">
        <v>5309</v>
      </c>
      <c r="AA27" s="1016" t="s">
        <v>7887</v>
      </c>
      <c r="AB27" s="1016" t="s">
        <v>7888</v>
      </c>
      <c r="AC27" s="1016" t="s">
        <v>7889</v>
      </c>
      <c r="AD27" s="1016" t="s">
        <v>7890</v>
      </c>
      <c r="AE27" s="1016" t="s">
        <v>7891</v>
      </c>
      <c r="AF27" s="1017" t="s">
        <v>8995</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8996</v>
      </c>
      <c r="C30" s="94" t="s">
        <v>4215</v>
      </c>
      <c r="D30" s="94">
        <v>3</v>
      </c>
      <c r="E30" s="1624">
        <v>11.885</v>
      </c>
      <c r="F30" s="1624">
        <v>-3.0000000000000001E-3</v>
      </c>
      <c r="G30" s="1624">
        <v>0</v>
      </c>
      <c r="H30" s="1624">
        <v>0</v>
      </c>
      <c r="I30" s="1624">
        <v>19.042999999999999</v>
      </c>
      <c r="J30" s="1625">
        <f>IFERROR(SUM(E30:I30), 0)</f>
        <v>30.924999999999997</v>
      </c>
      <c r="K30" s="997"/>
      <c r="L30" s="43" t="s">
        <v>8997</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8996</v>
      </c>
      <c r="AA30" s="1006" t="s">
        <v>8998</v>
      </c>
      <c r="AB30" s="1006" t="s">
        <v>8999</v>
      </c>
      <c r="AC30" s="1006" t="s">
        <v>9000</v>
      </c>
      <c r="AD30" s="1006" t="s">
        <v>9001</v>
      </c>
      <c r="AE30" s="1006" t="s">
        <v>9002</v>
      </c>
      <c r="AF30" s="1007" t="s">
        <v>9003</v>
      </c>
      <c r="AG30" s="197"/>
      <c r="AH30" s="197"/>
      <c r="AI30" s="197"/>
      <c r="AJ30" s="197"/>
      <c r="AK30" s="197"/>
      <c r="AL30" s="197"/>
    </row>
    <row r="31" spans="1:38" s="995" customFormat="1" ht="15.75" customHeight="1">
      <c r="A31" s="197"/>
      <c r="B31" s="96" t="s">
        <v>9004</v>
      </c>
      <c r="C31" s="97" t="s">
        <v>4215</v>
      </c>
      <c r="D31" s="97">
        <v>3</v>
      </c>
      <c r="E31" s="1626">
        <v>1.389</v>
      </c>
      <c r="F31" s="1626">
        <v>0.28399999999999997</v>
      </c>
      <c r="G31" s="1626">
        <v>5.7000000000000002E-2</v>
      </c>
      <c r="H31" s="1626">
        <v>34.19</v>
      </c>
      <c r="I31" s="1626">
        <v>37.975999999999999</v>
      </c>
      <c r="J31" s="1627">
        <f>IFERROR(SUM(E31:I31), 0)</f>
        <v>73.895999999999987</v>
      </c>
      <c r="K31" s="997"/>
      <c r="L31" s="52" t="s">
        <v>9005</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9004</v>
      </c>
      <c r="AA31" s="1008" t="s">
        <v>9006</v>
      </c>
      <c r="AB31" s="1008" t="s">
        <v>9007</v>
      </c>
      <c r="AC31" s="1008" t="s">
        <v>9008</v>
      </c>
      <c r="AD31" s="1008" t="s">
        <v>9009</v>
      </c>
      <c r="AE31" s="1008" t="s">
        <v>9010</v>
      </c>
      <c r="AF31" s="1009" t="s">
        <v>9011</v>
      </c>
      <c r="AG31" s="197"/>
      <c r="AH31" s="197"/>
      <c r="AI31" s="197"/>
      <c r="AJ31" s="197"/>
      <c r="AK31" s="197"/>
      <c r="AL31" s="197"/>
    </row>
    <row r="32" spans="1:38" s="995" customFormat="1" ht="15.75" customHeight="1" thickBot="1">
      <c r="A32" s="197"/>
      <c r="B32" s="100" t="s">
        <v>9012</v>
      </c>
      <c r="C32" s="101" t="s">
        <v>4215</v>
      </c>
      <c r="D32" s="101">
        <v>3</v>
      </c>
      <c r="E32" s="1637">
        <f>IFERROR(SUM(E30:E31), 0)</f>
        <v>13.273999999999999</v>
      </c>
      <c r="F32" s="1637">
        <f>IFERROR(SUM(F30:F31), 0)</f>
        <v>0.28099999999999997</v>
      </c>
      <c r="G32" s="1637">
        <f>IFERROR(SUM(G30:G31), 0)</f>
        <v>5.7000000000000002E-2</v>
      </c>
      <c r="H32" s="1637">
        <f>IFERROR(SUM(H30:H31), 0)</f>
        <v>34.19</v>
      </c>
      <c r="I32" s="1637">
        <f>IFERROR(SUM(I30:I31), 0)</f>
        <v>57.018999999999998</v>
      </c>
      <c r="J32" s="1629">
        <f>IFERROR(SUM(E32:I32), 0)</f>
        <v>104.821</v>
      </c>
      <c r="K32" s="997"/>
      <c r="L32" s="54" t="s">
        <v>9013</v>
      </c>
      <c r="M32" s="174"/>
      <c r="N32" s="942"/>
      <c r="O32" s="174"/>
      <c r="P32" s="993"/>
      <c r="Q32" s="106"/>
      <c r="R32" s="994"/>
      <c r="S32" s="270"/>
      <c r="T32" s="270"/>
      <c r="U32" s="270"/>
      <c r="V32" s="270"/>
      <c r="W32" s="270"/>
      <c r="X32" s="828"/>
      <c r="Y32" s="197"/>
      <c r="Z32" s="100" t="s">
        <v>9012</v>
      </c>
      <c r="AA32" s="1019" t="s">
        <v>5368</v>
      </c>
      <c r="AB32" s="1019" t="s">
        <v>7934</v>
      </c>
      <c r="AC32" s="1019" t="s">
        <v>7935</v>
      </c>
      <c r="AD32" s="1019" t="s">
        <v>7936</v>
      </c>
      <c r="AE32" s="1019" t="s">
        <v>7937</v>
      </c>
      <c r="AF32" s="1011" t="s">
        <v>9014</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9015</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9015</v>
      </c>
      <c r="AA34" s="83"/>
      <c r="AB34" s="83"/>
      <c r="AC34" s="83"/>
      <c r="AD34" s="83"/>
      <c r="AE34" s="83"/>
      <c r="AF34" s="83"/>
      <c r="AG34" s="197"/>
      <c r="AH34" s="197"/>
      <c r="AI34" s="197"/>
      <c r="AJ34" s="197"/>
      <c r="AK34" s="197"/>
      <c r="AL34" s="197"/>
    </row>
    <row r="35" spans="1:38" ht="15.75" customHeight="1" thickTop="1" thickBot="1">
      <c r="A35" s="197"/>
      <c r="B35" s="192" t="s">
        <v>9016</v>
      </c>
      <c r="C35" s="1015" t="s">
        <v>4843</v>
      </c>
      <c r="D35" s="1015">
        <v>0</v>
      </c>
      <c r="E35" s="1638">
        <v>0</v>
      </c>
      <c r="F35" s="1638">
        <v>0</v>
      </c>
      <c r="G35" s="1638">
        <v>0</v>
      </c>
      <c r="H35" s="1638">
        <v>0</v>
      </c>
      <c r="I35" s="1638">
        <v>1815</v>
      </c>
      <c r="J35" s="1639">
        <f>IFERROR(SUM(E35:I35), 0)</f>
        <v>1815</v>
      </c>
      <c r="K35" s="997"/>
      <c r="L35" s="59" t="s">
        <v>9017</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9016</v>
      </c>
      <c r="AA35" s="1020" t="s">
        <v>9018</v>
      </c>
      <c r="AB35" s="1020" t="s">
        <v>9019</v>
      </c>
      <c r="AC35" s="1020" t="s">
        <v>9020</v>
      </c>
      <c r="AD35" s="1020" t="s">
        <v>9021</v>
      </c>
      <c r="AE35" s="1020" t="s">
        <v>9022</v>
      </c>
      <c r="AF35" s="1017" t="s">
        <v>9023</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5" priority="5" operator="equal">
      <formula>0</formula>
    </cfRule>
  </conditionalFormatting>
  <conditionalFormatting sqref="Q18:Q20">
    <cfRule type="cellIs" dxfId="124" priority="4" operator="equal">
      <formula>0</formula>
    </cfRule>
  </conditionalFormatting>
  <conditionalFormatting sqref="Q23:Q25">
    <cfRule type="cellIs" dxfId="123" priority="3" operator="equal">
      <formula>0</formula>
    </cfRule>
  </conditionalFormatting>
  <conditionalFormatting sqref="Q30:Q31">
    <cfRule type="cellIs" dxfId="122" priority="2" operator="equal">
      <formula>0</formula>
    </cfRule>
  </conditionalFormatting>
  <conditionalFormatting sqref="Q35">
    <cfRule type="cellIs" dxfId="121"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13" zoomScaleNormal="100" zoomScaleSheetLayoutView="100" workbookViewId="0">
      <selection activeCell="E39" sqref="E39:M40"/>
    </sheetView>
  </sheetViews>
  <sheetFormatPr defaultColWidth="9" defaultRowHeight="15.6"/>
  <cols>
    <col min="1" max="1" width="1.59765625" style="17" customWidth="1"/>
    <col min="2" max="2" width="71.09765625" style="19" customWidth="1"/>
    <col min="3" max="3" width="5.5" style="17" customWidth="1"/>
    <col min="4" max="4" width="4.69921875" style="17" bestFit="1" customWidth="1"/>
    <col min="5" max="5" width="7.19921875" style="17" bestFit="1" customWidth="1"/>
    <col min="6" max="6" width="13.19921875" style="17" bestFit="1" customWidth="1"/>
    <col min="7" max="7" width="8.69921875" style="17" bestFit="1" customWidth="1"/>
    <col min="8" max="8" width="17.1992187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6992187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389"/>
      <c r="B1" s="2773" t="s">
        <v>9024</v>
      </c>
      <c r="C1" s="2773"/>
      <c r="D1" s="2773"/>
      <c r="E1" s="2773"/>
      <c r="F1" s="2773"/>
      <c r="G1" s="2773"/>
      <c r="H1" s="2773"/>
      <c r="I1" s="2773"/>
      <c r="J1" s="2773"/>
      <c r="K1" s="1025"/>
      <c r="L1" s="1025"/>
      <c r="M1" s="1025"/>
      <c r="N1" s="1025"/>
      <c r="O1" s="1026"/>
      <c r="P1" s="1027"/>
      <c r="Q1" s="1027"/>
      <c r="R1" s="1027"/>
      <c r="S1" s="825"/>
      <c r="T1" s="389"/>
      <c r="U1" s="825"/>
      <c r="V1" s="389"/>
      <c r="W1" s="389"/>
      <c r="X1" s="389"/>
      <c r="Y1" s="389"/>
      <c r="Z1" s="389"/>
      <c r="AA1" s="389"/>
      <c r="AB1" s="389"/>
      <c r="AC1" s="389"/>
      <c r="AD1" s="825"/>
      <c r="AE1" s="389"/>
      <c r="AF1" s="2773" t="s">
        <v>4198</v>
      </c>
      <c r="AG1" s="2773"/>
      <c r="AH1" s="2773"/>
      <c r="AI1" s="2773"/>
      <c r="AJ1" s="2773"/>
      <c r="AK1" s="2773"/>
      <c r="AL1" s="2773"/>
      <c r="AM1" s="2773"/>
      <c r="AN1" s="2773"/>
      <c r="AO1" s="2773"/>
      <c r="AP1" s="389"/>
      <c r="AQ1" s="389"/>
      <c r="AR1" s="389"/>
      <c r="AS1" s="389"/>
    </row>
    <row r="2" spans="1:45" s="13" customFormat="1" ht="29.25" customHeight="1">
      <c r="A2" s="389"/>
      <c r="B2" s="2773" t="str">
        <f>SelectCompany!B4</f>
        <v>Dŵr Cymru</v>
      </c>
      <c r="C2" s="2773"/>
      <c r="D2" s="2773"/>
      <c r="E2" s="2773"/>
      <c r="F2" s="2773"/>
      <c r="G2" s="2773"/>
      <c r="H2" s="2773"/>
      <c r="I2" s="2773"/>
      <c r="J2" s="2773"/>
      <c r="K2" s="1025"/>
      <c r="L2" s="1025"/>
      <c r="M2" s="1025"/>
      <c r="N2" s="1025"/>
      <c r="O2" s="1028"/>
      <c r="P2" s="1027"/>
      <c r="Q2" s="1027"/>
      <c r="R2" s="1027"/>
      <c r="S2" s="825"/>
      <c r="T2" s="389"/>
      <c r="U2" s="825"/>
      <c r="V2" s="389"/>
      <c r="W2" s="389"/>
      <c r="X2" s="389"/>
      <c r="Y2" s="389"/>
      <c r="Z2" s="389"/>
      <c r="AA2" s="389"/>
      <c r="AB2" s="389"/>
      <c r="AC2" s="389"/>
      <c r="AD2" s="825"/>
      <c r="AE2" s="389"/>
      <c r="AF2" s="2773"/>
      <c r="AG2" s="2773"/>
      <c r="AH2" s="2773"/>
      <c r="AI2" s="2773"/>
      <c r="AJ2" s="2773"/>
      <c r="AK2" s="2773"/>
      <c r="AL2" s="2773"/>
      <c r="AM2" s="2773"/>
      <c r="AN2" s="2773"/>
      <c r="AO2" s="2773"/>
      <c r="AP2" s="2773"/>
      <c r="AQ2" s="2773"/>
      <c r="AR2" s="2773"/>
      <c r="AS2" s="389"/>
    </row>
    <row r="3" spans="1:45" s="23" customFormat="1" ht="46.5" customHeight="1">
      <c r="A3" s="224"/>
      <c r="B3" s="2829" t="s">
        <v>9025</v>
      </c>
      <c r="C3" s="2829"/>
      <c r="D3" s="2829"/>
      <c r="E3" s="2829"/>
      <c r="F3" s="2829"/>
      <c r="G3" s="2829"/>
      <c r="H3" s="2829"/>
      <c r="I3" s="2829"/>
      <c r="J3" s="2829"/>
      <c r="K3" s="2829"/>
      <c r="L3" s="2829"/>
      <c r="M3" s="2829"/>
      <c r="N3" s="2829"/>
      <c r="O3" s="2829"/>
      <c r="P3" s="2829"/>
      <c r="Q3" s="2829"/>
      <c r="R3" s="1027"/>
      <c r="S3" s="1021"/>
      <c r="T3" s="650" t="s">
        <v>4200</v>
      </c>
      <c r="U3" s="363"/>
      <c r="V3" s="224"/>
      <c r="W3" s="224"/>
      <c r="X3" s="224"/>
      <c r="Y3" s="224"/>
      <c r="Z3" s="224"/>
      <c r="AA3" s="224"/>
      <c r="AB3" s="224"/>
      <c r="AC3" s="224"/>
      <c r="AD3" s="363"/>
      <c r="AE3" s="224"/>
      <c r="AF3" s="2874" t="s">
        <v>9025</v>
      </c>
      <c r="AG3" s="2874"/>
      <c r="AH3" s="2874"/>
      <c r="AI3" s="2874"/>
      <c r="AJ3" s="2874"/>
      <c r="AK3" s="2874"/>
      <c r="AL3" s="2874"/>
      <c r="AM3" s="2874"/>
      <c r="AN3" s="2874"/>
      <c r="AO3" s="2874"/>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71" t="s">
        <v>4202</v>
      </c>
      <c r="C5" s="2855" t="s">
        <v>4203</v>
      </c>
      <c r="D5" s="2855" t="s">
        <v>4204</v>
      </c>
      <c r="E5" s="2835" t="s">
        <v>9026</v>
      </c>
      <c r="F5" s="2835"/>
      <c r="G5" s="2835"/>
      <c r="H5" s="2835"/>
      <c r="I5" s="2835"/>
      <c r="J5" s="2835"/>
      <c r="K5" s="2835"/>
      <c r="L5" s="2835"/>
      <c r="M5" s="2836"/>
      <c r="N5" s="997"/>
      <c r="O5" s="2811" t="s">
        <v>4208</v>
      </c>
      <c r="P5" s="1031"/>
      <c r="Q5" s="2811" t="s">
        <v>4209</v>
      </c>
      <c r="R5" s="1031"/>
      <c r="S5" s="1021"/>
      <c r="T5" s="224"/>
      <c r="U5" s="363"/>
      <c r="V5" s="224"/>
      <c r="W5" s="224"/>
      <c r="X5" s="224"/>
      <c r="Y5" s="224"/>
      <c r="Z5" s="224"/>
      <c r="AA5" s="224"/>
      <c r="AB5" s="224"/>
      <c r="AC5" s="224"/>
      <c r="AD5" s="363"/>
      <c r="AE5" s="224"/>
      <c r="AF5" s="2871" t="s">
        <v>4202</v>
      </c>
      <c r="AG5" s="2835" t="s">
        <v>9026</v>
      </c>
      <c r="AH5" s="2835"/>
      <c r="AI5" s="2835"/>
      <c r="AJ5" s="2835"/>
      <c r="AK5" s="2835"/>
      <c r="AL5" s="2835"/>
      <c r="AM5" s="2835"/>
      <c r="AN5" s="2835"/>
      <c r="AO5" s="2836"/>
      <c r="AP5" s="224"/>
      <c r="AQ5" s="224"/>
      <c r="AR5" s="224"/>
      <c r="AS5" s="224"/>
    </row>
    <row r="6" spans="1:45" s="23" customFormat="1" ht="18" customHeight="1">
      <c r="A6" s="197"/>
      <c r="B6" s="2872"/>
      <c r="C6" s="2856"/>
      <c r="D6" s="2856"/>
      <c r="E6" s="2857" t="s">
        <v>9027</v>
      </c>
      <c r="F6" s="2857"/>
      <c r="G6" s="2857"/>
      <c r="H6" s="2857"/>
      <c r="I6" s="2857"/>
      <c r="J6" s="2850" t="s">
        <v>5144</v>
      </c>
      <c r="K6" s="2850"/>
      <c r="L6" s="2850"/>
      <c r="M6" s="2852" t="s">
        <v>4425</v>
      </c>
      <c r="N6" s="997"/>
      <c r="O6" s="2812"/>
      <c r="P6" s="1031"/>
      <c r="Q6" s="2812"/>
      <c r="R6" s="1031"/>
      <c r="S6" s="1021"/>
      <c r="T6" s="224"/>
      <c r="U6" s="363"/>
      <c r="V6" s="224"/>
      <c r="W6" s="224"/>
      <c r="X6" s="224"/>
      <c r="Y6" s="224"/>
      <c r="Z6" s="224"/>
      <c r="AA6" s="224"/>
      <c r="AB6" s="224"/>
      <c r="AC6" s="224"/>
      <c r="AD6" s="363"/>
      <c r="AE6" s="224"/>
      <c r="AF6" s="2872"/>
      <c r="AG6" s="2857" t="s">
        <v>9027</v>
      </c>
      <c r="AH6" s="2857"/>
      <c r="AI6" s="2857"/>
      <c r="AJ6" s="2857"/>
      <c r="AK6" s="2857"/>
      <c r="AL6" s="2850" t="s">
        <v>5144</v>
      </c>
      <c r="AM6" s="2850"/>
      <c r="AN6" s="2850"/>
      <c r="AO6" s="2852" t="s">
        <v>4425</v>
      </c>
      <c r="AP6" s="224"/>
      <c r="AQ6" s="224"/>
      <c r="AR6" s="224"/>
      <c r="AS6" s="224"/>
    </row>
    <row r="7" spans="1:45" s="3" customFormat="1" ht="45" customHeight="1" thickBot="1">
      <c r="A7" s="197"/>
      <c r="B7" s="2873"/>
      <c r="C7" s="2838"/>
      <c r="D7" s="2838"/>
      <c r="E7" s="887" t="s">
        <v>8058</v>
      </c>
      <c r="F7" s="887" t="s">
        <v>8059</v>
      </c>
      <c r="G7" s="887" t="s">
        <v>8060</v>
      </c>
      <c r="H7" s="887" t="s">
        <v>8061</v>
      </c>
      <c r="I7" s="887" t="s">
        <v>8360</v>
      </c>
      <c r="J7" s="887" t="s">
        <v>9028</v>
      </c>
      <c r="K7" s="887" t="s">
        <v>9029</v>
      </c>
      <c r="L7" s="887" t="s">
        <v>9030</v>
      </c>
      <c r="M7" s="2853"/>
      <c r="N7" s="1032"/>
      <c r="O7" s="2813"/>
      <c r="P7" s="1033"/>
      <c r="Q7" s="2813"/>
      <c r="R7" s="1033"/>
      <c r="S7" s="994"/>
      <c r="T7" s="888"/>
      <c r="U7" s="828"/>
      <c r="V7" s="197"/>
      <c r="W7" s="197"/>
      <c r="X7" s="197"/>
      <c r="Y7" s="197"/>
      <c r="Z7" s="197"/>
      <c r="AA7" s="197"/>
      <c r="AB7" s="197"/>
      <c r="AC7" s="197"/>
      <c r="AD7" s="828"/>
      <c r="AE7" s="197"/>
      <c r="AF7" s="2873"/>
      <c r="AG7" s="887" t="s">
        <v>8058</v>
      </c>
      <c r="AH7" s="887" t="s">
        <v>8059</v>
      </c>
      <c r="AI7" s="887" t="s">
        <v>8060</v>
      </c>
      <c r="AJ7" s="887" t="s">
        <v>8061</v>
      </c>
      <c r="AK7" s="887" t="s">
        <v>8360</v>
      </c>
      <c r="AL7" s="887" t="s">
        <v>9028</v>
      </c>
      <c r="AM7" s="887" t="s">
        <v>9029</v>
      </c>
      <c r="AN7" s="887" t="s">
        <v>9030</v>
      </c>
      <c r="AO7" s="2853"/>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710" t="s">
        <v>4201</v>
      </c>
      <c r="W8" s="2843"/>
      <c r="X8" s="2843"/>
      <c r="Y8" s="2843"/>
      <c r="Z8" s="2843"/>
      <c r="AA8" s="2843"/>
      <c r="AB8" s="2843"/>
      <c r="AC8" s="2843"/>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v>5.0439999999999996</v>
      </c>
      <c r="F10" s="694">
        <v>1.6459999999999999</v>
      </c>
      <c r="G10" s="694">
        <v>0.85899999999999999</v>
      </c>
      <c r="H10" s="694">
        <v>33.067</v>
      </c>
      <c r="I10" s="694">
        <v>2.3069999999999999</v>
      </c>
      <c r="J10" s="694">
        <v>1.0369999999999999</v>
      </c>
      <c r="K10" s="694">
        <v>-0.437</v>
      </c>
      <c r="L10" s="694">
        <v>1.9E-2</v>
      </c>
      <c r="M10" s="1596">
        <f>IFERROR(SUM(E10:L10), 0)</f>
        <v>43.542000000000002</v>
      </c>
      <c r="N10" s="1039"/>
      <c r="O10" s="1040" t="s">
        <v>9031</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5243</v>
      </c>
      <c r="AG10" s="904" t="s">
        <v>9032</v>
      </c>
      <c r="AH10" s="904" t="s">
        <v>9033</v>
      </c>
      <c r="AI10" s="904" t="s">
        <v>9034</v>
      </c>
      <c r="AJ10" s="904" t="s">
        <v>9035</v>
      </c>
      <c r="AK10" s="904" t="s">
        <v>9036</v>
      </c>
      <c r="AL10" s="904" t="s">
        <v>9037</v>
      </c>
      <c r="AM10" s="904" t="s">
        <v>9038</v>
      </c>
      <c r="AN10" s="904" t="s">
        <v>9039</v>
      </c>
      <c r="AO10" s="416" t="s">
        <v>9040</v>
      </c>
      <c r="AP10" s="197"/>
      <c r="AQ10" s="197"/>
      <c r="AR10" s="197"/>
      <c r="AS10" s="197"/>
    </row>
    <row r="11" spans="1:45" s="3" customFormat="1" ht="15.75" customHeight="1">
      <c r="A11" s="197"/>
      <c r="B11" s="460" t="s">
        <v>5251</v>
      </c>
      <c r="C11" s="286" t="s">
        <v>4215</v>
      </c>
      <c r="D11" s="286">
        <v>3</v>
      </c>
      <c r="E11" s="697">
        <v>-3.0000000000000001E-3</v>
      </c>
      <c r="F11" s="697">
        <v>-1E-3</v>
      </c>
      <c r="G11" s="697">
        <v>0</v>
      </c>
      <c r="H11" s="697">
        <v>-0.63400000000000001</v>
      </c>
      <c r="I11" s="697">
        <v>-6.4000000000000001E-2</v>
      </c>
      <c r="J11" s="697">
        <v>0</v>
      </c>
      <c r="K11" s="697">
        <v>-7.6459999999999999</v>
      </c>
      <c r="L11" s="697">
        <v>0</v>
      </c>
      <c r="M11" s="1598">
        <f t="shared" ref="M11:M16" si="7">IFERROR(SUM(E11:L11), 0)</f>
        <v>-8.347999999999999</v>
      </c>
      <c r="N11" s="1039"/>
      <c r="O11" s="1041" t="s">
        <v>9041</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5251</v>
      </c>
      <c r="AG11" s="905" t="s">
        <v>9042</v>
      </c>
      <c r="AH11" s="905" t="s">
        <v>9043</v>
      </c>
      <c r="AI11" s="905" t="s">
        <v>9044</v>
      </c>
      <c r="AJ11" s="905" t="s">
        <v>9045</v>
      </c>
      <c r="AK11" s="905" t="s">
        <v>9046</v>
      </c>
      <c r="AL11" s="905" t="s">
        <v>9047</v>
      </c>
      <c r="AM11" s="905" t="s">
        <v>9048</v>
      </c>
      <c r="AN11" s="905" t="s">
        <v>9049</v>
      </c>
      <c r="AO11" s="893" t="s">
        <v>9050</v>
      </c>
      <c r="AP11" s="197"/>
      <c r="AQ11" s="197"/>
      <c r="AR11" s="197"/>
      <c r="AS11" s="197"/>
    </row>
    <row r="12" spans="1:45" s="3" customFormat="1" ht="15.75" customHeight="1">
      <c r="A12" s="197"/>
      <c r="B12" s="460" t="s">
        <v>5268</v>
      </c>
      <c r="C12" s="286" t="s">
        <v>4215</v>
      </c>
      <c r="D12" s="286">
        <v>3</v>
      </c>
      <c r="E12" s="697">
        <v>0</v>
      </c>
      <c r="F12" s="697">
        <v>0</v>
      </c>
      <c r="G12" s="697">
        <v>0</v>
      </c>
      <c r="H12" s="697">
        <v>0</v>
      </c>
      <c r="I12" s="697">
        <v>0</v>
      </c>
      <c r="J12" s="697">
        <v>0</v>
      </c>
      <c r="K12" s="697">
        <v>0</v>
      </c>
      <c r="L12" s="697">
        <v>0</v>
      </c>
      <c r="M12" s="1598">
        <f t="shared" si="7"/>
        <v>0</v>
      </c>
      <c r="N12" s="1039"/>
      <c r="O12" s="1041" t="s">
        <v>9051</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9052</v>
      </c>
      <c r="AG12" s="905" t="s">
        <v>9053</v>
      </c>
      <c r="AH12" s="905" t="s">
        <v>9054</v>
      </c>
      <c r="AI12" s="905" t="s">
        <v>9055</v>
      </c>
      <c r="AJ12" s="905" t="s">
        <v>9056</v>
      </c>
      <c r="AK12" s="905" t="s">
        <v>9057</v>
      </c>
      <c r="AL12" s="905" t="s">
        <v>9058</v>
      </c>
      <c r="AM12" s="905" t="s">
        <v>9059</v>
      </c>
      <c r="AN12" s="905" t="s">
        <v>9060</v>
      </c>
      <c r="AO12" s="893" t="s">
        <v>9061</v>
      </c>
      <c r="AP12" s="197"/>
      <c r="AQ12" s="197"/>
      <c r="AR12" s="197"/>
      <c r="AS12" s="197"/>
    </row>
    <row r="13" spans="1:45" s="3" customFormat="1" ht="15.75" customHeight="1">
      <c r="A13" s="197"/>
      <c r="B13" s="460" t="s">
        <v>8917</v>
      </c>
      <c r="C13" s="286" t="s">
        <v>4215</v>
      </c>
      <c r="D13" s="286">
        <v>3</v>
      </c>
      <c r="E13" s="697">
        <v>10.775</v>
      </c>
      <c r="F13" s="697">
        <v>7.9340000000000002</v>
      </c>
      <c r="G13" s="697">
        <v>3.4289999999999998</v>
      </c>
      <c r="H13" s="697">
        <v>0</v>
      </c>
      <c r="I13" s="697">
        <v>0</v>
      </c>
      <c r="J13" s="697">
        <v>0</v>
      </c>
      <c r="K13" s="697">
        <v>0</v>
      </c>
      <c r="L13" s="697">
        <v>0</v>
      </c>
      <c r="M13" s="1598">
        <f t="shared" si="7"/>
        <v>22.137999999999998</v>
      </c>
      <c r="N13" s="1039"/>
      <c r="O13" s="1041" t="s">
        <v>9062</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8917</v>
      </c>
      <c r="AG13" s="905" t="s">
        <v>9063</v>
      </c>
      <c r="AH13" s="905" t="s">
        <v>9064</v>
      </c>
      <c r="AI13" s="905" t="s">
        <v>9065</v>
      </c>
      <c r="AJ13" s="905" t="s">
        <v>9066</v>
      </c>
      <c r="AK13" s="905" t="s">
        <v>9067</v>
      </c>
      <c r="AL13" s="905" t="s">
        <v>9068</v>
      </c>
      <c r="AM13" s="905" t="s">
        <v>9069</v>
      </c>
      <c r="AN13" s="905" t="s">
        <v>9070</v>
      </c>
      <c r="AO13" s="893" t="s">
        <v>9071</v>
      </c>
      <c r="AP13" s="197"/>
      <c r="AQ13" s="197"/>
      <c r="AR13" s="197"/>
      <c r="AS13" s="197"/>
    </row>
    <row r="14" spans="1:45" s="3" customFormat="1" ht="15.75" customHeight="1">
      <c r="A14" s="197"/>
      <c r="B14" s="460" t="s">
        <v>8924</v>
      </c>
      <c r="C14" s="286" t="s">
        <v>4215</v>
      </c>
      <c r="D14" s="286">
        <v>3</v>
      </c>
      <c r="E14" s="697">
        <v>0</v>
      </c>
      <c r="F14" s="697">
        <v>0</v>
      </c>
      <c r="G14" s="697">
        <v>0</v>
      </c>
      <c r="H14" s="697">
        <v>0</v>
      </c>
      <c r="I14" s="697">
        <v>0</v>
      </c>
      <c r="J14" s="697">
        <v>0</v>
      </c>
      <c r="K14" s="697">
        <v>0</v>
      </c>
      <c r="L14" s="697">
        <v>0</v>
      </c>
      <c r="M14" s="1598">
        <f t="shared" si="7"/>
        <v>0</v>
      </c>
      <c r="N14" s="1039"/>
      <c r="O14" s="1041" t="s">
        <v>9072</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8924</v>
      </c>
      <c r="AG14" s="905" t="s">
        <v>9073</v>
      </c>
      <c r="AH14" s="905" t="s">
        <v>9074</v>
      </c>
      <c r="AI14" s="905" t="s">
        <v>9075</v>
      </c>
      <c r="AJ14" s="905" t="s">
        <v>9076</v>
      </c>
      <c r="AK14" s="905" t="s">
        <v>9077</v>
      </c>
      <c r="AL14" s="905" t="s">
        <v>9078</v>
      </c>
      <c r="AM14" s="905" t="s">
        <v>9079</v>
      </c>
      <c r="AN14" s="905" t="s">
        <v>9080</v>
      </c>
      <c r="AO14" s="893" t="s">
        <v>9081</v>
      </c>
      <c r="AP14" s="197"/>
      <c r="AQ14" s="197"/>
      <c r="AR14" s="197"/>
      <c r="AS14" s="197"/>
    </row>
    <row r="15" spans="1:45" s="3" customFormat="1" ht="15.75" customHeight="1">
      <c r="A15" s="197"/>
      <c r="B15" s="460" t="s">
        <v>5294</v>
      </c>
      <c r="C15" s="286" t="s">
        <v>4215</v>
      </c>
      <c r="D15" s="286">
        <v>3</v>
      </c>
      <c r="E15" s="697">
        <v>19.617999999999999</v>
      </c>
      <c r="F15" s="697">
        <v>7.9160000000000004</v>
      </c>
      <c r="G15" s="697">
        <v>4.2779999999999996</v>
      </c>
      <c r="H15" s="697">
        <v>41.197000000000003</v>
      </c>
      <c r="I15" s="697">
        <v>3.1829999999999998</v>
      </c>
      <c r="J15" s="697">
        <v>6.0469999999999997</v>
      </c>
      <c r="K15" s="697">
        <v>14.834</v>
      </c>
      <c r="L15" s="697">
        <v>5.14</v>
      </c>
      <c r="M15" s="1598">
        <f t="shared" si="7"/>
        <v>102.21300000000001</v>
      </c>
      <c r="N15" s="1039"/>
      <c r="O15" s="1041" t="s">
        <v>9082</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5294</v>
      </c>
      <c r="AG15" s="905" t="s">
        <v>9083</v>
      </c>
      <c r="AH15" s="905" t="s">
        <v>9084</v>
      </c>
      <c r="AI15" s="905" t="s">
        <v>9085</v>
      </c>
      <c r="AJ15" s="905" t="s">
        <v>9086</v>
      </c>
      <c r="AK15" s="905" t="s">
        <v>9087</v>
      </c>
      <c r="AL15" s="905" t="s">
        <v>9088</v>
      </c>
      <c r="AM15" s="905" t="s">
        <v>9089</v>
      </c>
      <c r="AN15" s="905" t="s">
        <v>9090</v>
      </c>
      <c r="AO15" s="893" t="s">
        <v>9091</v>
      </c>
      <c r="AP15" s="197"/>
      <c r="AQ15" s="197"/>
      <c r="AR15" s="197"/>
      <c r="AS15" s="197"/>
    </row>
    <row r="16" spans="1:45" s="3" customFormat="1" ht="15.75" customHeight="1" thickBot="1">
      <c r="A16" s="197"/>
      <c r="B16" s="463" t="s">
        <v>5301</v>
      </c>
      <c r="C16" s="355" t="s">
        <v>4215</v>
      </c>
      <c r="D16" s="355">
        <v>3</v>
      </c>
      <c r="E16" s="1640">
        <v>7.8E-2</v>
      </c>
      <c r="F16" s="1640">
        <v>3.1E-2</v>
      </c>
      <c r="G16" s="1640">
        <v>1.6E-2</v>
      </c>
      <c r="H16" s="1640">
        <v>8.1649999999999991</v>
      </c>
      <c r="I16" s="1640">
        <v>1E-3</v>
      </c>
      <c r="J16" s="1640">
        <v>7.0000000000000001E-3</v>
      </c>
      <c r="K16" s="1640">
        <v>0.628</v>
      </c>
      <c r="L16" s="1640">
        <v>5.0000000000000001E-3</v>
      </c>
      <c r="M16" s="1599">
        <f t="shared" si="7"/>
        <v>8.9309999999999992</v>
      </c>
      <c r="N16" s="1039"/>
      <c r="O16" s="1043" t="s">
        <v>9092</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5301</v>
      </c>
      <c r="AG16" s="1042" t="s">
        <v>9093</v>
      </c>
      <c r="AH16" s="1042" t="s">
        <v>9094</v>
      </c>
      <c r="AI16" s="1042" t="s">
        <v>9095</v>
      </c>
      <c r="AJ16" s="1042" t="s">
        <v>9096</v>
      </c>
      <c r="AK16" s="1042" t="s">
        <v>9097</v>
      </c>
      <c r="AL16" s="1042" t="s">
        <v>9098</v>
      </c>
      <c r="AM16" s="1042" t="s">
        <v>9099</v>
      </c>
      <c r="AN16" s="1042" t="s">
        <v>9100</v>
      </c>
      <c r="AO16" s="417" t="s">
        <v>9101</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8944</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8944</v>
      </c>
      <c r="AG18" s="1037"/>
      <c r="AH18" s="1037"/>
      <c r="AI18" s="1037"/>
      <c r="AJ18" s="1037"/>
      <c r="AK18" s="274"/>
      <c r="AL18" s="274"/>
      <c r="AM18" s="274"/>
      <c r="AN18" s="1001"/>
      <c r="AO18" s="1001"/>
      <c r="AP18" s="197"/>
      <c r="AQ18" s="197"/>
      <c r="AR18" s="197"/>
      <c r="AS18" s="197"/>
    </row>
    <row r="19" spans="1:45" s="3" customFormat="1" ht="15.75" customHeight="1" thickTop="1">
      <c r="A19" s="197"/>
      <c r="B19" s="451" t="s">
        <v>8945</v>
      </c>
      <c r="C19" s="277" t="s">
        <v>4215</v>
      </c>
      <c r="D19" s="277">
        <v>3</v>
      </c>
      <c r="E19" s="694">
        <v>1.0999999999999999E-2</v>
      </c>
      <c r="F19" s="694">
        <v>4.0000000000000001E-3</v>
      </c>
      <c r="G19" s="694">
        <v>2E-3</v>
      </c>
      <c r="H19" s="694">
        <v>0</v>
      </c>
      <c r="I19" s="694">
        <v>0</v>
      </c>
      <c r="J19" s="694">
        <v>0</v>
      </c>
      <c r="K19" s="694">
        <v>0</v>
      </c>
      <c r="L19" s="694">
        <v>0</v>
      </c>
      <c r="M19" s="1596">
        <f>IFERROR(SUM(E19:L19), 0)</f>
        <v>1.7000000000000001E-2</v>
      </c>
      <c r="N19" s="1039"/>
      <c r="O19" s="1040" t="s">
        <v>9102</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9103</v>
      </c>
      <c r="AG19" s="904" t="s">
        <v>9104</v>
      </c>
      <c r="AH19" s="904" t="s">
        <v>9105</v>
      </c>
      <c r="AI19" s="904" t="s">
        <v>9106</v>
      </c>
      <c r="AJ19" s="904" t="s">
        <v>9107</v>
      </c>
      <c r="AK19" s="904" t="s">
        <v>9108</v>
      </c>
      <c r="AL19" s="904" t="s">
        <v>9109</v>
      </c>
      <c r="AM19" s="904" t="s">
        <v>9110</v>
      </c>
      <c r="AN19" s="904" t="s">
        <v>9111</v>
      </c>
      <c r="AO19" s="416" t="s">
        <v>9112</v>
      </c>
      <c r="AP19" s="197"/>
      <c r="AQ19" s="197"/>
      <c r="AR19" s="197"/>
      <c r="AS19" s="197"/>
    </row>
    <row r="20" spans="1:45" s="3" customFormat="1" ht="15.75" customHeight="1">
      <c r="A20" s="197"/>
      <c r="B20" s="460" t="s">
        <v>9113</v>
      </c>
      <c r="C20" s="286" t="s">
        <v>4215</v>
      </c>
      <c r="D20" s="286">
        <v>3</v>
      </c>
      <c r="E20" s="697">
        <v>1.0449999999999999</v>
      </c>
      <c r="F20" s="697">
        <v>0.34</v>
      </c>
      <c r="G20" s="697">
        <v>0.17799999999999999</v>
      </c>
      <c r="H20" s="697">
        <v>3.4889999999999999</v>
      </c>
      <c r="I20" s="697">
        <v>0.16200000000000001</v>
      </c>
      <c r="J20" s="697">
        <v>0</v>
      </c>
      <c r="K20" s="697">
        <v>3.2000000000000001E-2</v>
      </c>
      <c r="L20" s="697">
        <v>0</v>
      </c>
      <c r="M20" s="1598">
        <f t="shared" ref="M20:M21" si="19">IFERROR(SUM(E20:L20), 0)</f>
        <v>5.2459999999999996</v>
      </c>
      <c r="N20" s="1039"/>
      <c r="O20" s="1041" t="s">
        <v>9114</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9115</v>
      </c>
      <c r="AG20" s="905" t="s">
        <v>9116</v>
      </c>
      <c r="AH20" s="905" t="s">
        <v>9117</v>
      </c>
      <c r="AI20" s="905" t="s">
        <v>9118</v>
      </c>
      <c r="AJ20" s="905" t="s">
        <v>9119</v>
      </c>
      <c r="AK20" s="905" t="s">
        <v>9120</v>
      </c>
      <c r="AL20" s="905" t="s">
        <v>9121</v>
      </c>
      <c r="AM20" s="905" t="s">
        <v>9122</v>
      </c>
      <c r="AN20" s="905" t="s">
        <v>9123</v>
      </c>
      <c r="AO20" s="893" t="s">
        <v>9124</v>
      </c>
      <c r="AP20" s="197"/>
      <c r="AQ20" s="197"/>
      <c r="AR20" s="197"/>
      <c r="AS20" s="197"/>
    </row>
    <row r="21" spans="1:45" s="3" customFormat="1" ht="15.75" customHeight="1" thickBot="1">
      <c r="A21" s="197"/>
      <c r="B21" s="463" t="s">
        <v>8961</v>
      </c>
      <c r="C21" s="355" t="s">
        <v>4215</v>
      </c>
      <c r="D21" s="355">
        <v>3</v>
      </c>
      <c r="E21" s="1640">
        <v>0</v>
      </c>
      <c r="F21" s="1640">
        <v>0</v>
      </c>
      <c r="G21" s="1640">
        <v>0</v>
      </c>
      <c r="H21" s="1640">
        <v>0</v>
      </c>
      <c r="I21" s="1640">
        <v>0</v>
      </c>
      <c r="J21" s="1640">
        <v>0</v>
      </c>
      <c r="K21" s="1640">
        <v>0</v>
      </c>
      <c r="L21" s="1640">
        <v>0</v>
      </c>
      <c r="M21" s="1599">
        <f t="shared" si="19"/>
        <v>0</v>
      </c>
      <c r="N21" s="1039"/>
      <c r="O21" s="1043" t="s">
        <v>9125</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9126</v>
      </c>
      <c r="AG21" s="1042" t="s">
        <v>9127</v>
      </c>
      <c r="AH21" s="1042" t="s">
        <v>9128</v>
      </c>
      <c r="AI21" s="1042" t="s">
        <v>9129</v>
      </c>
      <c r="AJ21" s="1042" t="s">
        <v>9130</v>
      </c>
      <c r="AK21" s="1042" t="s">
        <v>9131</v>
      </c>
      <c r="AL21" s="1042" t="s">
        <v>9132</v>
      </c>
      <c r="AM21" s="1042" t="s">
        <v>9133</v>
      </c>
      <c r="AN21" s="1042" t="s">
        <v>9134</v>
      </c>
      <c r="AO21" s="417" t="s">
        <v>9135</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8969</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9136</v>
      </c>
      <c r="AG23" s="1037"/>
      <c r="AH23" s="1037"/>
      <c r="AI23" s="1037"/>
      <c r="AJ23" s="1037"/>
      <c r="AK23" s="274"/>
      <c r="AL23" s="274"/>
      <c r="AM23" s="274"/>
      <c r="AN23" s="1001"/>
      <c r="AO23" s="1001"/>
      <c r="AP23" s="197"/>
      <c r="AQ23" s="197"/>
      <c r="AR23" s="197"/>
      <c r="AS23" s="197"/>
    </row>
    <row r="24" spans="1:45" s="3" customFormat="1" ht="15.75" customHeight="1" thickTop="1">
      <c r="A24" s="197"/>
      <c r="B24" s="451" t="s">
        <v>8970</v>
      </c>
      <c r="C24" s="277" t="s">
        <v>4215</v>
      </c>
      <c r="D24" s="277">
        <v>3</v>
      </c>
      <c r="E24" s="694">
        <v>5.8000000000000003E-2</v>
      </c>
      <c r="F24" s="694">
        <v>2.3E-2</v>
      </c>
      <c r="G24" s="694">
        <v>1.2E-2</v>
      </c>
      <c r="H24" s="694">
        <v>0</v>
      </c>
      <c r="I24" s="694">
        <v>0</v>
      </c>
      <c r="J24" s="694">
        <v>0</v>
      </c>
      <c r="K24" s="694">
        <v>0</v>
      </c>
      <c r="L24" s="694">
        <v>0</v>
      </c>
      <c r="M24" s="1596">
        <f>IFERROR(SUM(E24:L24), 0)</f>
        <v>9.2999999999999999E-2</v>
      </c>
      <c r="N24" s="1039"/>
      <c r="O24" s="1040" t="s">
        <v>9137</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8970</v>
      </c>
      <c r="AG24" s="904" t="s">
        <v>9138</v>
      </c>
      <c r="AH24" s="904" t="s">
        <v>9139</v>
      </c>
      <c r="AI24" s="904" t="s">
        <v>9140</v>
      </c>
      <c r="AJ24" s="904" t="s">
        <v>9141</v>
      </c>
      <c r="AK24" s="904" t="s">
        <v>9142</v>
      </c>
      <c r="AL24" s="904" t="s">
        <v>9143</v>
      </c>
      <c r="AM24" s="904" t="s">
        <v>9144</v>
      </c>
      <c r="AN24" s="904" t="s">
        <v>9145</v>
      </c>
      <c r="AO24" s="416" t="s">
        <v>9146</v>
      </c>
      <c r="AP24" s="197"/>
      <c r="AQ24" s="197"/>
      <c r="AR24" s="197"/>
      <c r="AS24" s="197"/>
    </row>
    <row r="25" spans="1:45" s="3" customFormat="1" ht="15.75" customHeight="1">
      <c r="A25" s="197"/>
      <c r="B25" s="460" t="s">
        <v>8978</v>
      </c>
      <c r="C25" s="286" t="s">
        <v>4215</v>
      </c>
      <c r="D25" s="286">
        <v>3</v>
      </c>
      <c r="E25" s="697">
        <v>0</v>
      </c>
      <c r="F25" s="697">
        <v>0</v>
      </c>
      <c r="G25" s="697">
        <v>0</v>
      </c>
      <c r="H25" s="697">
        <v>0</v>
      </c>
      <c r="I25" s="697">
        <v>0</v>
      </c>
      <c r="J25" s="697">
        <v>0</v>
      </c>
      <c r="K25" s="697">
        <v>0</v>
      </c>
      <c r="L25" s="697">
        <v>0</v>
      </c>
      <c r="M25" s="1598">
        <f t="shared" ref="M25:M26" si="29">IFERROR(SUM(E25:L25), 0)</f>
        <v>0</v>
      </c>
      <c r="N25" s="1039"/>
      <c r="O25" s="1041" t="s">
        <v>9147</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8978</v>
      </c>
      <c r="AG25" s="905" t="s">
        <v>9148</v>
      </c>
      <c r="AH25" s="905" t="s">
        <v>9149</v>
      </c>
      <c r="AI25" s="905" t="s">
        <v>9150</v>
      </c>
      <c r="AJ25" s="905" t="s">
        <v>9151</v>
      </c>
      <c r="AK25" s="905" t="s">
        <v>9152</v>
      </c>
      <c r="AL25" s="905" t="s">
        <v>9153</v>
      </c>
      <c r="AM25" s="905" t="s">
        <v>9154</v>
      </c>
      <c r="AN25" s="905" t="s">
        <v>9155</v>
      </c>
      <c r="AO25" s="893" t="s">
        <v>9156</v>
      </c>
      <c r="AP25" s="197"/>
      <c r="AQ25" s="197"/>
      <c r="AR25" s="197"/>
      <c r="AS25" s="197"/>
    </row>
    <row r="26" spans="1:45" s="3" customFormat="1" ht="30.6" thickBot="1">
      <c r="A26" s="197"/>
      <c r="B26" s="463" t="s">
        <v>9157</v>
      </c>
      <c r="C26" s="355" t="s">
        <v>4215</v>
      </c>
      <c r="D26" s="355">
        <v>3</v>
      </c>
      <c r="E26" s="1640">
        <v>0</v>
      </c>
      <c r="F26" s="1640">
        <v>0</v>
      </c>
      <c r="G26" s="1640">
        <v>0</v>
      </c>
      <c r="H26" s="1640">
        <v>0</v>
      </c>
      <c r="I26" s="1640">
        <v>0</v>
      </c>
      <c r="J26" s="1640">
        <v>0</v>
      </c>
      <c r="K26" s="1640">
        <v>2.7E-2</v>
      </c>
      <c r="L26" s="1640">
        <v>0</v>
      </c>
      <c r="M26" s="1599">
        <f t="shared" si="29"/>
        <v>2.7E-2</v>
      </c>
      <c r="N26" s="1039"/>
      <c r="O26" s="1043" t="s">
        <v>9158</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9159</v>
      </c>
      <c r="AG26" s="1042" t="s">
        <v>9160</v>
      </c>
      <c r="AH26" s="1042" t="s">
        <v>9161</v>
      </c>
      <c r="AI26" s="1042" t="s">
        <v>9162</v>
      </c>
      <c r="AJ26" s="1042" t="s">
        <v>9163</v>
      </c>
      <c r="AK26" s="1042" t="s">
        <v>9164</v>
      </c>
      <c r="AL26" s="1042" t="s">
        <v>9165</v>
      </c>
      <c r="AM26" s="1042" t="s">
        <v>9166</v>
      </c>
      <c r="AN26" s="1042" t="s">
        <v>9167</v>
      </c>
      <c r="AO26" s="417" t="s">
        <v>9168</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36.626000000000005</v>
      </c>
      <c r="F28" s="1586">
        <f t="shared" ref="F28:L28" si="30">IFERROR(SUM(F10:F16,F19:F21,F24:F26), 0)</f>
        <v>17.893000000000001</v>
      </c>
      <c r="G28" s="1586">
        <f t="shared" si="30"/>
        <v>8.7740000000000009</v>
      </c>
      <c r="H28" s="1586">
        <f t="shared" si="30"/>
        <v>85.283999999999992</v>
      </c>
      <c r="I28" s="1586">
        <f t="shared" si="30"/>
        <v>5.5890000000000004</v>
      </c>
      <c r="J28" s="1586">
        <f t="shared" si="30"/>
        <v>7.0909999999999993</v>
      </c>
      <c r="K28" s="1586">
        <f t="shared" si="30"/>
        <v>7.4379999999999997</v>
      </c>
      <c r="L28" s="1586">
        <f t="shared" si="30"/>
        <v>5.1639999999999997</v>
      </c>
      <c r="M28" s="1581">
        <f>IFERROR(SUM(M10:M16,M19:M21,M24:M26), 0)</f>
        <v>173.85900000000001</v>
      </c>
      <c r="N28" s="1039"/>
      <c r="O28" s="1048" t="s">
        <v>9169</v>
      </c>
      <c r="P28" s="1032"/>
      <c r="Q28" s="375"/>
      <c r="R28" s="1032"/>
      <c r="S28" s="993"/>
      <c r="T28" s="284"/>
      <c r="U28" s="828"/>
      <c r="V28" s="197"/>
      <c r="W28" s="197"/>
      <c r="X28" s="197"/>
      <c r="Y28" s="197"/>
      <c r="Z28" s="197"/>
      <c r="AA28" s="197"/>
      <c r="AB28" s="197"/>
      <c r="AC28" s="197"/>
      <c r="AD28" s="828"/>
      <c r="AE28" s="197"/>
      <c r="AF28" s="469" t="s">
        <v>5309</v>
      </c>
      <c r="AG28" s="979" t="s">
        <v>8067</v>
      </c>
      <c r="AH28" s="979" t="s">
        <v>8068</v>
      </c>
      <c r="AI28" s="979" t="s">
        <v>8069</v>
      </c>
      <c r="AJ28" s="979" t="s">
        <v>8070</v>
      </c>
      <c r="AK28" s="979" t="s">
        <v>8071</v>
      </c>
      <c r="AL28" s="979" t="s">
        <v>8072</v>
      </c>
      <c r="AM28" s="979" t="s">
        <v>8073</v>
      </c>
      <c r="AN28" s="979" t="s">
        <v>8074</v>
      </c>
      <c r="AO28" s="687" t="s">
        <v>9170</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8996</v>
      </c>
      <c r="C31" s="277" t="s">
        <v>4215</v>
      </c>
      <c r="D31" s="277">
        <v>3</v>
      </c>
      <c r="E31" s="694">
        <v>7.2060000000000004</v>
      </c>
      <c r="F31" s="694">
        <v>0.86199999999999999</v>
      </c>
      <c r="G31" s="694">
        <v>1.345</v>
      </c>
      <c r="H31" s="694">
        <v>0</v>
      </c>
      <c r="I31" s="694">
        <v>0</v>
      </c>
      <c r="J31" s="694">
        <v>0</v>
      </c>
      <c r="K31" s="694">
        <v>0</v>
      </c>
      <c r="L31" s="694">
        <v>0</v>
      </c>
      <c r="M31" s="1596">
        <f>IFERROR(SUM(E31:L31), 0)</f>
        <v>9.4130000000000003</v>
      </c>
      <c r="N31" s="1039"/>
      <c r="O31" s="1040" t="s">
        <v>9171</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8996</v>
      </c>
      <c r="AG31" s="904" t="s">
        <v>9172</v>
      </c>
      <c r="AH31" s="904" t="s">
        <v>9173</v>
      </c>
      <c r="AI31" s="904" t="s">
        <v>9174</v>
      </c>
      <c r="AJ31" s="904" t="s">
        <v>9175</v>
      </c>
      <c r="AK31" s="904" t="s">
        <v>9176</v>
      </c>
      <c r="AL31" s="904" t="s">
        <v>9177</v>
      </c>
      <c r="AM31" s="904" t="s">
        <v>9178</v>
      </c>
      <c r="AN31" s="904" t="s">
        <v>9179</v>
      </c>
      <c r="AO31" s="416" t="s">
        <v>9180</v>
      </c>
      <c r="AP31" s="197"/>
      <c r="AQ31" s="197"/>
      <c r="AR31" s="197"/>
      <c r="AS31" s="197"/>
    </row>
    <row r="32" spans="1:45" s="3" customFormat="1" ht="15.75" customHeight="1">
      <c r="A32" s="197"/>
      <c r="B32" s="460" t="s">
        <v>9004</v>
      </c>
      <c r="C32" s="286" t="s">
        <v>4215</v>
      </c>
      <c r="D32" s="286">
        <v>3</v>
      </c>
      <c r="E32" s="697">
        <v>7.03</v>
      </c>
      <c r="F32" s="697">
        <v>3.2730000000000001</v>
      </c>
      <c r="G32" s="697">
        <v>1.8180000000000001</v>
      </c>
      <c r="H32" s="697">
        <v>48.011000000000003</v>
      </c>
      <c r="I32" s="697">
        <v>0.108</v>
      </c>
      <c r="J32" s="697">
        <v>0.38100000000000001</v>
      </c>
      <c r="K32" s="697">
        <v>10.023999999999999</v>
      </c>
      <c r="L32" s="697">
        <v>0.26900000000000002</v>
      </c>
      <c r="M32" s="1598">
        <f t="shared" ref="M32" si="40">IFERROR(SUM(E32:L32), 0)</f>
        <v>70.914000000000001</v>
      </c>
      <c r="N32" s="1039"/>
      <c r="O32" s="1041" t="s">
        <v>9181</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9004</v>
      </c>
      <c r="AG32" s="905" t="s">
        <v>9182</v>
      </c>
      <c r="AH32" s="905" t="s">
        <v>9183</v>
      </c>
      <c r="AI32" s="905" t="s">
        <v>9184</v>
      </c>
      <c r="AJ32" s="905" t="s">
        <v>9185</v>
      </c>
      <c r="AK32" s="905" t="s">
        <v>9186</v>
      </c>
      <c r="AL32" s="905" t="s">
        <v>9187</v>
      </c>
      <c r="AM32" s="905" t="s">
        <v>9188</v>
      </c>
      <c r="AN32" s="905" t="s">
        <v>9189</v>
      </c>
      <c r="AO32" s="893" t="s">
        <v>9190</v>
      </c>
      <c r="AP32" s="197"/>
      <c r="AQ32" s="197"/>
      <c r="AR32" s="197"/>
      <c r="AS32" s="197"/>
    </row>
    <row r="33" spans="1:45" s="3" customFormat="1" ht="15.75" customHeight="1" thickBot="1">
      <c r="A33" s="197"/>
      <c r="B33" s="463" t="s">
        <v>9012</v>
      </c>
      <c r="C33" s="355" t="s">
        <v>4215</v>
      </c>
      <c r="D33" s="355">
        <v>3</v>
      </c>
      <c r="E33" s="1589">
        <f>IFERROR(SUM(E31:E32), 0)</f>
        <v>14.236000000000001</v>
      </c>
      <c r="F33" s="1589">
        <f t="shared" ref="F33:L33" si="41">IFERROR(SUM(F31:F32), 0)</f>
        <v>4.1349999999999998</v>
      </c>
      <c r="G33" s="1589">
        <f t="shared" si="41"/>
        <v>3.1630000000000003</v>
      </c>
      <c r="H33" s="1589">
        <f t="shared" si="41"/>
        <v>48.011000000000003</v>
      </c>
      <c r="I33" s="1589">
        <f t="shared" si="41"/>
        <v>0.108</v>
      </c>
      <c r="J33" s="1589">
        <f t="shared" si="41"/>
        <v>0.38100000000000001</v>
      </c>
      <c r="K33" s="1589">
        <f t="shared" si="41"/>
        <v>10.023999999999999</v>
      </c>
      <c r="L33" s="1589">
        <f t="shared" si="41"/>
        <v>0.26900000000000002</v>
      </c>
      <c r="M33" s="1599">
        <f>IFERROR(SUM(M31:M32), 0)</f>
        <v>80.326999999999998</v>
      </c>
      <c r="N33" s="1039"/>
      <c r="O33" s="1043" t="s">
        <v>9191</v>
      </c>
      <c r="P33" s="1031"/>
      <c r="Q33" s="302"/>
      <c r="R33" s="1031"/>
      <c r="S33" s="993"/>
      <c r="T33" s="284"/>
      <c r="U33" s="828"/>
      <c r="V33" s="197"/>
      <c r="W33" s="197"/>
      <c r="X33" s="197"/>
      <c r="Y33" s="197"/>
      <c r="Z33" s="197"/>
      <c r="AA33" s="197"/>
      <c r="AB33" s="197"/>
      <c r="AC33" s="197"/>
      <c r="AD33" s="828"/>
      <c r="AE33" s="197"/>
      <c r="AF33" s="463" t="s">
        <v>9012</v>
      </c>
      <c r="AG33" s="679" t="s">
        <v>8138</v>
      </c>
      <c r="AH33" s="679" t="s">
        <v>8139</v>
      </c>
      <c r="AI33" s="679" t="s">
        <v>8140</v>
      </c>
      <c r="AJ33" s="679" t="s">
        <v>8141</v>
      </c>
      <c r="AK33" s="679" t="s">
        <v>8142</v>
      </c>
      <c r="AL33" s="679" t="s">
        <v>8143</v>
      </c>
      <c r="AM33" s="679" t="s">
        <v>8144</v>
      </c>
      <c r="AN33" s="679" t="s">
        <v>8145</v>
      </c>
      <c r="AO33" s="417" t="s">
        <v>9192</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9015</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9015</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9016</v>
      </c>
      <c r="C36" s="371" t="s">
        <v>4843</v>
      </c>
      <c r="D36" s="371">
        <v>0</v>
      </c>
      <c r="E36" s="1648">
        <v>201</v>
      </c>
      <c r="F36" s="1648">
        <v>80</v>
      </c>
      <c r="G36" s="1648">
        <v>42</v>
      </c>
      <c r="H36" s="1648">
        <v>0</v>
      </c>
      <c r="I36" s="1648">
        <v>0</v>
      </c>
      <c r="J36" s="1648">
        <v>0</v>
      </c>
      <c r="K36" s="1648">
        <v>0</v>
      </c>
      <c r="L36" s="1648">
        <v>0</v>
      </c>
      <c r="M36" s="2039">
        <f>IFERROR(SUM(E36:L36), 0)</f>
        <v>323</v>
      </c>
      <c r="N36" s="1039"/>
      <c r="O36" s="1048" t="s">
        <v>9193</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9016</v>
      </c>
      <c r="AG36" s="978" t="s">
        <v>9194</v>
      </c>
      <c r="AH36" s="978" t="s">
        <v>9195</v>
      </c>
      <c r="AI36" s="978" t="s">
        <v>9196</v>
      </c>
      <c r="AJ36" s="978" t="s">
        <v>9197</v>
      </c>
      <c r="AK36" s="978" t="s">
        <v>9198</v>
      </c>
      <c r="AL36" s="978" t="s">
        <v>9199</v>
      </c>
      <c r="AM36" s="978" t="s">
        <v>9200</v>
      </c>
      <c r="AN36" s="978" t="s">
        <v>9201</v>
      </c>
      <c r="AO36" s="687" t="s">
        <v>9202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9203</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9203</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v>5.0439999999999996</v>
      </c>
      <c r="F39" s="694">
        <v>1.6459999999999999</v>
      </c>
      <c r="G39" s="694">
        <v>0.85899999999999999</v>
      </c>
      <c r="H39" s="694">
        <v>31.570634249640985</v>
      </c>
      <c r="I39" s="694">
        <v>2.3069999999999999</v>
      </c>
      <c r="J39" s="694">
        <v>1.0369999999999999</v>
      </c>
      <c r="K39" s="694">
        <v>5.0693657503590144</v>
      </c>
      <c r="L39" s="694">
        <v>1.9E-2</v>
      </c>
      <c r="M39" s="1596">
        <v>47.551999999999992</v>
      </c>
      <c r="N39" s="1039"/>
      <c r="O39" s="1040" t="s">
        <v>9204</v>
      </c>
      <c r="P39" s="1031"/>
      <c r="Q39" s="283"/>
      <c r="R39" s="105"/>
      <c r="S39" s="993"/>
      <c r="T39" s="284">
        <f t="shared" ref="T39:T40" si="50">IF( SUM( V39:AC39 ) = 0, 0, $V$9 )</f>
        <v>0</v>
      </c>
      <c r="U39" s="828"/>
      <c r="V39" s="285">
        <f t="shared" ref="V39:V40" si="51" xml:space="preserve"> IF( ISNUMBER(E39), 0, 1 )</f>
        <v>0</v>
      </c>
      <c r="W39" s="285">
        <f t="shared" ref="W39:W40" si="52" xml:space="preserve"> IF( ISNUMBER(F39), 0, 1 )</f>
        <v>0</v>
      </c>
      <c r="X39" s="285">
        <f t="shared" ref="X39:X40" si="53" xml:space="preserve"> IF( ISNUMBER(G39), 0, 1 )</f>
        <v>0</v>
      </c>
      <c r="Y39" s="285">
        <f t="shared" ref="Y39:Y40" si="54" xml:space="preserve"> IF( ISNUMBER(H39), 0, 1 )</f>
        <v>0</v>
      </c>
      <c r="Z39" s="285">
        <f t="shared" ref="Z39:Z40" si="55" xml:space="preserve"> IF( ISNUMBER(I39), 0, 1 )</f>
        <v>0</v>
      </c>
      <c r="AA39" s="285">
        <f t="shared" ref="AA39:AA40" si="56" xml:space="preserve"> IF( ISNUMBER(J39), 0, 1 )</f>
        <v>0</v>
      </c>
      <c r="AB39" s="285">
        <f t="shared" ref="AB39:AB40" si="57" xml:space="preserve"> IF( ISNUMBER(K39), 0, 1 )</f>
        <v>0</v>
      </c>
      <c r="AC39" s="285">
        <f t="shared" ref="AC39:AC40" si="58" xml:space="preserve"> IF( ISNUMBER(L39), 0, 1 )</f>
        <v>0</v>
      </c>
      <c r="AD39" s="828"/>
      <c r="AE39" s="224"/>
      <c r="AF39" s="451" t="s">
        <v>5243</v>
      </c>
      <c r="AG39" s="904" t="str">
        <f>CONCATENATE(AG10 &amp;"_AMP")</f>
        <v>WWS01001FL_AMP</v>
      </c>
      <c r="AH39" s="904" t="str">
        <f t="shared" ref="AH39:AO39" si="59">CONCATENATE(AH10 &amp;"_AMP")</f>
        <v>WWS01001SWD_AMP</v>
      </c>
      <c r="AI39" s="904" t="str">
        <f t="shared" si="59"/>
        <v>WWS01001HD_AMP</v>
      </c>
      <c r="AJ39" s="904" t="str">
        <f t="shared" si="59"/>
        <v>WWS01001STD_AMP</v>
      </c>
      <c r="AK39" s="904" t="str">
        <f t="shared" si="59"/>
        <v>WWS01001SLT_AMP</v>
      </c>
      <c r="AL39" s="904" t="str">
        <f t="shared" si="59"/>
        <v>WWS01001STP_AMP</v>
      </c>
      <c r="AM39" s="904" t="str">
        <f t="shared" si="59"/>
        <v>WWS01001SDT_AMP</v>
      </c>
      <c r="AN39" s="904" t="str">
        <f t="shared" si="59"/>
        <v>WWS01001SDD_AMP</v>
      </c>
      <c r="AO39" s="416" t="str">
        <f t="shared" si="59"/>
        <v>WWS01001CAS_AMP</v>
      </c>
      <c r="AP39" s="224"/>
      <c r="AQ39" s="224"/>
      <c r="AR39" s="224"/>
      <c r="AS39" s="224"/>
    </row>
    <row r="40" spans="1:45" ht="15.75" customHeight="1" thickBot="1">
      <c r="A40" s="197"/>
      <c r="B40" s="463" t="s">
        <v>5251</v>
      </c>
      <c r="C40" s="355" t="s">
        <v>4215</v>
      </c>
      <c r="D40" s="355">
        <v>3</v>
      </c>
      <c r="E40" s="1640">
        <v>-3.0000000000000001E-3</v>
      </c>
      <c r="F40" s="1640">
        <v>-1E-3</v>
      </c>
      <c r="G40" s="1640">
        <v>0</v>
      </c>
      <c r="H40" s="1640">
        <v>-0.56720653128908227</v>
      </c>
      <c r="I40" s="1640">
        <v>-6.4000000000000001E-2</v>
      </c>
      <c r="J40" s="1640">
        <v>0</v>
      </c>
      <c r="K40" s="1640">
        <v>-11.722793468710918</v>
      </c>
      <c r="L40" s="1640">
        <v>0</v>
      </c>
      <c r="M40" s="1599">
        <v>-12.358000000000001</v>
      </c>
      <c r="N40" s="1039"/>
      <c r="O40" s="1043" t="s">
        <v>9205</v>
      </c>
      <c r="P40" s="1031"/>
      <c r="Q40" s="302"/>
      <c r="R40" s="105"/>
      <c r="S40" s="993"/>
      <c r="T40" s="284">
        <f t="shared" si="50"/>
        <v>0</v>
      </c>
      <c r="U40" s="828"/>
      <c r="V40" s="285">
        <f t="shared" si="51"/>
        <v>0</v>
      </c>
      <c r="W40" s="285">
        <f t="shared" si="52"/>
        <v>0</v>
      </c>
      <c r="X40" s="285">
        <f t="shared" si="53"/>
        <v>0</v>
      </c>
      <c r="Y40" s="285">
        <f t="shared" si="54"/>
        <v>0</v>
      </c>
      <c r="Z40" s="285">
        <f t="shared" si="55"/>
        <v>0</v>
      </c>
      <c r="AA40" s="285">
        <f t="shared" si="56"/>
        <v>0</v>
      </c>
      <c r="AB40" s="285">
        <f t="shared" si="57"/>
        <v>0</v>
      </c>
      <c r="AC40" s="285">
        <f t="shared" si="58"/>
        <v>0</v>
      </c>
      <c r="AD40" s="828"/>
      <c r="AE40" s="224"/>
      <c r="AF40" s="463" t="s">
        <v>5251</v>
      </c>
      <c r="AG40" s="1042" t="str">
        <f>CONCATENATE(AG11 &amp;"_AMP")</f>
        <v>WWS01002FL_AMP</v>
      </c>
      <c r="AH40" s="1042" t="str">
        <f t="shared" ref="AH40:AO40" si="60">CONCATENATE(AH11 &amp;"_AMP")</f>
        <v>WWS01002SWD_AMP</v>
      </c>
      <c r="AI40" s="1042" t="str">
        <f t="shared" si="60"/>
        <v>WWS01002HD_AMP</v>
      </c>
      <c r="AJ40" s="1042" t="str">
        <f t="shared" si="60"/>
        <v>WWS01002STD_AMP</v>
      </c>
      <c r="AK40" s="1042" t="str">
        <f t="shared" si="60"/>
        <v>WWS01002SLT_AMP</v>
      </c>
      <c r="AL40" s="1042" t="str">
        <f t="shared" si="60"/>
        <v>WWS01002STP_AMP</v>
      </c>
      <c r="AM40" s="1042" t="str">
        <f t="shared" si="60"/>
        <v>WWS01002SDT_AMP</v>
      </c>
      <c r="AN40" s="1042" t="str">
        <f t="shared" si="60"/>
        <v>WWS01002SDD_AMP</v>
      </c>
      <c r="AO40" s="417" t="str">
        <f t="shared" si="60"/>
        <v>WWS01002CAS_AMP</v>
      </c>
      <c r="AP40" s="224"/>
      <c r="AQ40" s="224"/>
      <c r="AR40" s="224"/>
      <c r="AS40" s="224"/>
    </row>
    <row r="41" spans="1:45" ht="16.2"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112" activePane="bottomLeft" state="frozen"/>
      <selection pane="bottomLeft" activeCell="N118" sqref="N118"/>
    </sheetView>
  </sheetViews>
  <sheetFormatPr defaultColWidth="9" defaultRowHeight="13.8"/>
  <cols>
    <col min="1" max="1" width="1.59765625" style="224" customWidth="1"/>
    <col min="2" max="2" width="104.69921875" style="1055" customWidth="1"/>
    <col min="3" max="3" width="8.59765625" style="224" customWidth="1"/>
    <col min="4" max="4" width="7" style="224" customWidth="1"/>
    <col min="5" max="5" width="5.09765625" style="224" customWidth="1"/>
    <col min="6" max="6" width="9.69921875" style="224" customWidth="1"/>
    <col min="7" max="10" width="12.59765625" style="224" customWidth="1"/>
    <col min="11" max="11" width="9.59765625" style="224" customWidth="1"/>
    <col min="12" max="16" width="12.59765625" style="224" customWidth="1"/>
    <col min="17" max="17" width="9.59765625" style="224" customWidth="1"/>
    <col min="18" max="18" width="18.19921875" style="224" customWidth="1"/>
    <col min="19" max="19" width="16.69921875" style="224" customWidth="1"/>
    <col min="20" max="20" width="17" style="224" customWidth="1"/>
    <col min="21" max="21" width="2.69921875" style="224" customWidth="1"/>
    <col min="22" max="22" width="9.5" style="224" bestFit="1" customWidth="1"/>
    <col min="23" max="23" width="8.19921875" style="224" customWidth="1"/>
    <col min="24" max="24" width="21.69921875" style="224" customWidth="1"/>
    <col min="25" max="26" width="1.59765625" style="224" customWidth="1"/>
    <col min="27" max="27" width="24.59765625" style="224" customWidth="1"/>
    <col min="28" max="28" width="1.59765625" style="224" customWidth="1"/>
    <col min="29" max="43" width="6.5" style="224" hidden="1" customWidth="1"/>
    <col min="44" max="44" width="1.59765625" style="224" hidden="1" customWidth="1"/>
    <col min="45" max="45" width="1.59765625" style="224" customWidth="1"/>
    <col min="46" max="46" width="36.09765625" style="1055" customWidth="1"/>
    <col min="47" max="47" width="7.296875" style="224" bestFit="1" customWidth="1"/>
    <col min="48" max="48" width="17.296875" style="224" bestFit="1" customWidth="1"/>
    <col min="49" max="49" width="20.59765625" style="224" bestFit="1" customWidth="1"/>
    <col min="50" max="50" width="19" style="224" bestFit="1" customWidth="1"/>
    <col min="51" max="51" width="17.09765625" style="224" bestFit="1" customWidth="1"/>
    <col min="52" max="52" width="25.69921875" style="224" bestFit="1" customWidth="1"/>
    <col min="53" max="53" width="22.09765625" style="224" bestFit="1" customWidth="1"/>
    <col min="54" max="59" width="16.09765625" style="224" customWidth="1"/>
    <col min="60" max="62" width="27.59765625" style="224" bestFit="1" customWidth="1"/>
    <col min="63" max="16384" width="9" style="224"/>
  </cols>
  <sheetData>
    <row r="1" spans="2:62" s="389" customFormat="1" ht="29.25" customHeight="1">
      <c r="B1" s="1052" t="s">
        <v>9206</v>
      </c>
      <c r="C1" s="1053"/>
      <c r="D1" s="1053"/>
      <c r="E1" s="1053"/>
      <c r="F1" s="1053"/>
      <c r="G1" s="1053"/>
      <c r="H1" s="1053"/>
      <c r="I1" s="1053"/>
      <c r="J1" s="219"/>
      <c r="K1" s="219"/>
      <c r="L1" s="219"/>
      <c r="M1" s="219"/>
      <c r="N1" s="219"/>
      <c r="O1" s="219"/>
      <c r="P1" s="219"/>
      <c r="Q1" s="219"/>
      <c r="R1" s="219"/>
      <c r="S1" s="219"/>
      <c r="T1" s="219"/>
      <c r="U1" s="2885"/>
      <c r="V1" s="2885"/>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Dŵr Cymru</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86" t="s">
        <v>9207</v>
      </c>
      <c r="C3" s="2886"/>
      <c r="D3" s="2886"/>
      <c r="E3" s="2886"/>
      <c r="F3" s="2886"/>
      <c r="G3" s="2886"/>
      <c r="H3" s="2886"/>
      <c r="I3" s="2886"/>
      <c r="J3" s="2886"/>
      <c r="K3" s="2886"/>
      <c r="L3" s="2886"/>
      <c r="M3" s="2886"/>
      <c r="N3" s="2886"/>
      <c r="O3" s="2886"/>
      <c r="P3" s="2886"/>
      <c r="Q3" s="2886"/>
      <c r="R3" s="2886"/>
      <c r="S3" s="2886"/>
      <c r="T3" s="2886"/>
      <c r="U3" s="2886"/>
      <c r="V3" s="2886"/>
      <c r="W3" s="2886"/>
      <c r="X3" s="2886"/>
      <c r="Z3" s="345"/>
      <c r="AA3" s="650" t="s">
        <v>4200</v>
      </c>
      <c r="AB3" s="363"/>
      <c r="AR3" s="363"/>
      <c r="AT3" s="2875" t="s">
        <v>9207</v>
      </c>
      <c r="AU3" s="2875"/>
      <c r="AV3" s="2875"/>
      <c r="AW3" s="2875"/>
      <c r="AX3" s="2875"/>
      <c r="AY3" s="2875"/>
      <c r="AZ3" s="2875"/>
      <c r="BA3" s="2875"/>
      <c r="BB3" s="2875"/>
      <c r="BC3" s="2875"/>
      <c r="BD3" s="2875"/>
      <c r="BE3" s="2875"/>
      <c r="BF3" s="2875"/>
      <c r="BG3" s="2875"/>
      <c r="BH3" s="2875"/>
      <c r="BI3" s="2875"/>
      <c r="BJ3" s="2875"/>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76" t="s">
        <v>9208</v>
      </c>
      <c r="C5" s="2841"/>
      <c r="D5" s="2841" t="s">
        <v>4203</v>
      </c>
      <c r="E5" s="2841" t="s">
        <v>4204</v>
      </c>
      <c r="F5" s="2880" t="s">
        <v>9026</v>
      </c>
      <c r="G5" s="2880"/>
      <c r="H5" s="2880"/>
      <c r="I5" s="2880"/>
      <c r="J5" s="2880"/>
      <c r="K5" s="2880"/>
      <c r="L5" s="2855" t="s">
        <v>9209</v>
      </c>
      <c r="M5" s="2855"/>
      <c r="N5" s="2855"/>
      <c r="O5" s="2855"/>
      <c r="P5" s="2855"/>
      <c r="Q5" s="2855"/>
      <c r="R5" s="2841" t="s">
        <v>9210</v>
      </c>
      <c r="S5" s="2841" t="s">
        <v>9211</v>
      </c>
      <c r="T5" s="2839" t="s">
        <v>9212</v>
      </c>
      <c r="U5" s="242"/>
      <c r="V5" s="2887" t="s">
        <v>4208</v>
      </c>
      <c r="X5" s="2811" t="s">
        <v>4209</v>
      </c>
      <c r="Z5" s="1057"/>
      <c r="AB5" s="828"/>
      <c r="AR5" s="828"/>
      <c r="AT5" s="2876" t="s">
        <v>9208</v>
      </c>
      <c r="AU5" s="2841"/>
      <c r="AV5" s="2880" t="s">
        <v>9026</v>
      </c>
      <c r="AW5" s="2880"/>
      <c r="AX5" s="2880"/>
      <c r="AY5" s="2880"/>
      <c r="AZ5" s="2880"/>
      <c r="BA5" s="2880"/>
      <c r="BB5" s="2855" t="s">
        <v>9209</v>
      </c>
      <c r="BC5" s="2855"/>
      <c r="BD5" s="2855"/>
      <c r="BE5" s="2855"/>
      <c r="BF5" s="2855"/>
      <c r="BG5" s="2855"/>
      <c r="BH5" s="2841" t="s">
        <v>9210</v>
      </c>
      <c r="BI5" s="2841" t="s">
        <v>9211</v>
      </c>
      <c r="BJ5" s="2839" t="s">
        <v>9212</v>
      </c>
    </row>
    <row r="6" spans="2:62" s="197" customFormat="1" ht="31.5" customHeight="1">
      <c r="B6" s="2877"/>
      <c r="C6" s="2878"/>
      <c r="D6" s="2856"/>
      <c r="E6" s="2878"/>
      <c r="F6" s="2878" t="s">
        <v>5141</v>
      </c>
      <c r="G6" s="2882" t="s">
        <v>6185</v>
      </c>
      <c r="H6" s="2882"/>
      <c r="I6" s="2882"/>
      <c r="J6" s="2882"/>
      <c r="K6" s="2882" t="s">
        <v>4425</v>
      </c>
      <c r="L6" s="2878" t="s">
        <v>5141</v>
      </c>
      <c r="M6" s="2850" t="s">
        <v>6185</v>
      </c>
      <c r="N6" s="2850"/>
      <c r="O6" s="2850"/>
      <c r="P6" s="2850"/>
      <c r="Q6" s="2878" t="s">
        <v>4425</v>
      </c>
      <c r="R6" s="2878"/>
      <c r="S6" s="2878"/>
      <c r="T6" s="2884"/>
      <c r="U6" s="242"/>
      <c r="V6" s="2888"/>
      <c r="X6" s="2812"/>
      <c r="Z6" s="1057"/>
      <c r="AB6" s="828"/>
      <c r="AR6" s="828"/>
      <c r="AT6" s="2877"/>
      <c r="AU6" s="2878"/>
      <c r="AV6" s="2878" t="s">
        <v>5141</v>
      </c>
      <c r="AW6" s="2882" t="s">
        <v>6185</v>
      </c>
      <c r="AX6" s="2882"/>
      <c r="AY6" s="2882"/>
      <c r="AZ6" s="2882"/>
      <c r="BA6" s="2882" t="s">
        <v>4425</v>
      </c>
      <c r="BB6" s="2878" t="s">
        <v>5141</v>
      </c>
      <c r="BC6" s="2850" t="s">
        <v>6185</v>
      </c>
      <c r="BD6" s="2850"/>
      <c r="BE6" s="2850"/>
      <c r="BF6" s="2850"/>
      <c r="BG6" s="2878" t="s">
        <v>4425</v>
      </c>
      <c r="BH6" s="2878"/>
      <c r="BI6" s="2878"/>
      <c r="BJ6" s="2884"/>
    </row>
    <row r="7" spans="2:62" s="197" customFormat="1" ht="29.25" customHeight="1" thickBot="1">
      <c r="B7" s="2879"/>
      <c r="C7" s="2842"/>
      <c r="D7" s="2838"/>
      <c r="E7" s="2842"/>
      <c r="F7" s="2842"/>
      <c r="G7" s="862" t="s">
        <v>7882</v>
      </c>
      <c r="H7" s="862" t="s">
        <v>7883</v>
      </c>
      <c r="I7" s="862" t="s">
        <v>7884</v>
      </c>
      <c r="J7" s="862" t="s">
        <v>7885</v>
      </c>
      <c r="K7" s="2883"/>
      <c r="L7" s="2881"/>
      <c r="M7" s="862" t="s">
        <v>7882</v>
      </c>
      <c r="N7" s="862" t="s">
        <v>7883</v>
      </c>
      <c r="O7" s="862" t="s">
        <v>7884</v>
      </c>
      <c r="P7" s="862" t="s">
        <v>7885</v>
      </c>
      <c r="Q7" s="2881"/>
      <c r="R7" s="862" t="s">
        <v>4425</v>
      </c>
      <c r="S7" s="862" t="s">
        <v>4425</v>
      </c>
      <c r="T7" s="1058" t="s">
        <v>4425</v>
      </c>
      <c r="U7" s="1059"/>
      <c r="V7" s="2889"/>
      <c r="X7" s="2813"/>
      <c r="Z7" s="1057"/>
      <c r="AA7" s="888"/>
      <c r="AB7" s="828"/>
      <c r="AR7" s="828"/>
      <c r="AT7" s="2879"/>
      <c r="AU7" s="2842"/>
      <c r="AV7" s="2842"/>
      <c r="AW7" s="862" t="s">
        <v>7882</v>
      </c>
      <c r="AX7" s="862" t="s">
        <v>7883</v>
      </c>
      <c r="AY7" s="862" t="s">
        <v>7884</v>
      </c>
      <c r="AZ7" s="862" t="s">
        <v>7885</v>
      </c>
      <c r="BA7" s="2883"/>
      <c r="BB7" s="2881"/>
      <c r="BC7" s="862" t="s">
        <v>7882</v>
      </c>
      <c r="BD7" s="862" t="s">
        <v>7883</v>
      </c>
      <c r="BE7" s="862" t="s">
        <v>7884</v>
      </c>
      <c r="BF7" s="862" t="s">
        <v>7885</v>
      </c>
      <c r="BG7" s="2881"/>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710" t="s">
        <v>4201</v>
      </c>
      <c r="AD8" s="2843"/>
      <c r="AE8" s="2843"/>
      <c r="AF8" s="2843"/>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9213</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9213</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9214</v>
      </c>
      <c r="C10" s="1063" t="s">
        <v>9215</v>
      </c>
      <c r="D10" s="277" t="s">
        <v>4215</v>
      </c>
      <c r="E10" s="277">
        <v>3</v>
      </c>
      <c r="F10" s="694">
        <v>-0.14000000000000001</v>
      </c>
      <c r="G10" s="694">
        <v>0</v>
      </c>
      <c r="H10" s="694">
        <v>0</v>
      </c>
      <c r="I10" s="694">
        <v>0</v>
      </c>
      <c r="J10" s="694">
        <v>0</v>
      </c>
      <c r="K10" s="1595">
        <f>IFERROR(SUM(F10:J10), 0)</f>
        <v>-0.14000000000000001</v>
      </c>
      <c r="L10" s="1649"/>
      <c r="M10" s="1650"/>
      <c r="N10" s="1650"/>
      <c r="O10" s="1650"/>
      <c r="P10" s="1650"/>
      <c r="Q10" s="1650"/>
      <c r="R10" s="1650"/>
      <c r="S10" s="1650"/>
      <c r="T10" s="1651"/>
      <c r="U10" s="242"/>
      <c r="V10" s="1066" t="s">
        <v>9216</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9214</v>
      </c>
      <c r="AU10" s="1063" t="s">
        <v>9215</v>
      </c>
      <c r="AV10" s="694" t="s">
        <v>9217</v>
      </c>
      <c r="AW10" s="694" t="s">
        <v>9218</v>
      </c>
      <c r="AX10" s="694" t="s">
        <v>9219</v>
      </c>
      <c r="AY10" s="694" t="s">
        <v>9220</v>
      </c>
      <c r="AZ10" s="694" t="s">
        <v>9221</v>
      </c>
      <c r="BA10" s="675" t="s">
        <v>9222</v>
      </c>
      <c r="BB10" s="1064"/>
      <c r="BC10" s="409"/>
      <c r="BD10" s="409"/>
      <c r="BE10" s="409"/>
      <c r="BF10" s="409"/>
      <c r="BG10" s="409"/>
      <c r="BH10" s="409"/>
      <c r="BI10" s="409"/>
      <c r="BJ10" s="1065"/>
    </row>
    <row r="11" spans="2:62" s="197" customFormat="1" ht="15.75" customHeight="1">
      <c r="B11" s="1067" t="s">
        <v>9214</v>
      </c>
      <c r="C11" s="354" t="s">
        <v>9223</v>
      </c>
      <c r="D11" s="286" t="s">
        <v>4215</v>
      </c>
      <c r="E11" s="286">
        <v>3</v>
      </c>
      <c r="F11" s="697">
        <v>1.2999999999999999E-2</v>
      </c>
      <c r="G11" s="697">
        <v>0</v>
      </c>
      <c r="H11" s="697">
        <v>0</v>
      </c>
      <c r="I11" s="697">
        <v>0</v>
      </c>
      <c r="J11" s="697">
        <v>0</v>
      </c>
      <c r="K11" s="1597">
        <f t="shared" ref="K11:K27" si="6">IFERROR(SUM(F11:J11), 0)</f>
        <v>1.2999999999999999E-2</v>
      </c>
      <c r="L11" s="1652"/>
      <c r="M11" s="1653"/>
      <c r="N11" s="1653"/>
      <c r="O11" s="1653"/>
      <c r="P11" s="1653"/>
      <c r="Q11" s="1653"/>
      <c r="R11" s="1653"/>
      <c r="S11" s="1653"/>
      <c r="T11" s="1654"/>
      <c r="U11" s="242"/>
      <c r="V11" s="1071" t="s">
        <v>9224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9214</v>
      </c>
      <c r="AU11" s="354" t="s">
        <v>9223</v>
      </c>
      <c r="AV11" s="697" t="s">
        <v>9225</v>
      </c>
      <c r="AW11" s="697" t="s">
        <v>9226</v>
      </c>
      <c r="AX11" s="697" t="s">
        <v>9227</v>
      </c>
      <c r="AY11" s="697" t="s">
        <v>9228</v>
      </c>
      <c r="AZ11" s="697" t="s">
        <v>9229</v>
      </c>
      <c r="BA11" s="677" t="s">
        <v>9230</v>
      </c>
      <c r="BB11" s="1068"/>
      <c r="BC11" s="1069"/>
      <c r="BD11" s="1069"/>
      <c r="BE11" s="1069"/>
      <c r="BF11" s="1069"/>
      <c r="BG11" s="1069"/>
      <c r="BH11" s="1069"/>
      <c r="BI11" s="1069"/>
      <c r="BJ11" s="1070"/>
    </row>
    <row r="12" spans="2:62" s="197" customFormat="1" ht="15.75" customHeight="1">
      <c r="B12" s="1067" t="s">
        <v>9214</v>
      </c>
      <c r="C12" s="354" t="s">
        <v>9231</v>
      </c>
      <c r="D12" s="286" t="s">
        <v>4215</v>
      </c>
      <c r="E12" s="286">
        <v>3</v>
      </c>
      <c r="F12" s="1597">
        <f>IFERROR(SUM(F10:F11), 0)</f>
        <v>-0.127</v>
      </c>
      <c r="G12" s="1597">
        <f t="shared" ref="G12:J12" si="8">IFERROR(SUM(G10:G11), 0)</f>
        <v>0</v>
      </c>
      <c r="H12" s="1597">
        <f t="shared" si="8"/>
        <v>0</v>
      </c>
      <c r="I12" s="1597">
        <f>IFERROR(SUM(I10:I11), 0)</f>
        <v>0</v>
      </c>
      <c r="J12" s="1597">
        <f t="shared" si="8"/>
        <v>0</v>
      </c>
      <c r="K12" s="1597">
        <f t="shared" si="6"/>
        <v>-0.127</v>
      </c>
      <c r="L12" s="1652"/>
      <c r="M12" s="1653"/>
      <c r="N12" s="1653"/>
      <c r="O12" s="1653"/>
      <c r="P12" s="1653"/>
      <c r="Q12" s="1653"/>
      <c r="R12" s="697">
        <v>9.15</v>
      </c>
      <c r="S12" s="697">
        <v>0.183</v>
      </c>
      <c r="T12" s="698">
        <v>0.26800000000000002</v>
      </c>
      <c r="U12" s="242"/>
      <c r="V12" s="1071" t="s">
        <v>9232</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9214</v>
      </c>
      <c r="AU12" s="354" t="s">
        <v>9231</v>
      </c>
      <c r="AV12" s="677" t="s">
        <v>9233</v>
      </c>
      <c r="AW12" s="677" t="s">
        <v>9234</v>
      </c>
      <c r="AX12" s="677" t="s">
        <v>9235</v>
      </c>
      <c r="AY12" s="677" t="s">
        <v>9236</v>
      </c>
      <c r="AZ12" s="677" t="s">
        <v>9237</v>
      </c>
      <c r="BA12" s="677" t="s">
        <v>9238</v>
      </c>
      <c r="BB12" s="1068"/>
      <c r="BC12" s="1069"/>
      <c r="BD12" s="1069"/>
      <c r="BE12" s="1069"/>
      <c r="BF12" s="1069"/>
      <c r="BG12" s="1069"/>
      <c r="BH12" s="1072" t="s">
        <v>9239</v>
      </c>
      <c r="BI12" s="1072" t="s">
        <v>9240</v>
      </c>
      <c r="BJ12" s="1073" t="s">
        <v>9241</v>
      </c>
    </row>
    <row r="13" spans="2:62" s="197" customFormat="1" ht="15.75" customHeight="1">
      <c r="B13" s="1067" t="s">
        <v>9242</v>
      </c>
      <c r="C13" s="354" t="s">
        <v>9215</v>
      </c>
      <c r="D13" s="286" t="s">
        <v>4215</v>
      </c>
      <c r="E13" s="286">
        <v>3</v>
      </c>
      <c r="F13" s="697">
        <v>0</v>
      </c>
      <c r="G13" s="697">
        <v>0</v>
      </c>
      <c r="H13" s="697">
        <v>0</v>
      </c>
      <c r="I13" s="697">
        <v>0</v>
      </c>
      <c r="J13" s="697">
        <v>0</v>
      </c>
      <c r="K13" s="1597">
        <f t="shared" si="6"/>
        <v>0</v>
      </c>
      <c r="L13" s="1655"/>
      <c r="M13" s="1655"/>
      <c r="N13" s="1655"/>
      <c r="O13" s="1655"/>
      <c r="P13" s="1655"/>
      <c r="Q13" s="1655"/>
      <c r="R13" s="1655"/>
      <c r="S13" s="1655"/>
      <c r="T13" s="1656"/>
      <c r="U13" s="242"/>
      <c r="V13" s="1071" t="s">
        <v>9243</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9242</v>
      </c>
      <c r="AU13" s="354" t="s">
        <v>9215</v>
      </c>
      <c r="AV13" s="697" t="s">
        <v>9244</v>
      </c>
      <c r="AW13" s="697" t="s">
        <v>9245</v>
      </c>
      <c r="AX13" s="697" t="s">
        <v>9246</v>
      </c>
      <c r="AY13" s="697" t="s">
        <v>9247</v>
      </c>
      <c r="AZ13" s="697" t="s">
        <v>9248</v>
      </c>
      <c r="BA13" s="677" t="s">
        <v>9249</v>
      </c>
      <c r="BB13" s="1074"/>
      <c r="BC13" s="1074"/>
      <c r="BD13" s="1074"/>
      <c r="BE13" s="1074"/>
      <c r="BF13" s="1074"/>
      <c r="BG13" s="1074"/>
      <c r="BH13" s="1074"/>
      <c r="BI13" s="1074"/>
      <c r="BJ13" s="1075"/>
    </row>
    <row r="14" spans="2:62" s="197" customFormat="1" ht="15.75" customHeight="1">
      <c r="B14" s="1067" t="s">
        <v>9242</v>
      </c>
      <c r="C14" s="354" t="s">
        <v>9223</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9250</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9242</v>
      </c>
      <c r="AU14" s="354" t="s">
        <v>9223</v>
      </c>
      <c r="AV14" s="697" t="s">
        <v>9251</v>
      </c>
      <c r="AW14" s="697" t="s">
        <v>9252</v>
      </c>
      <c r="AX14" s="697" t="s">
        <v>9253</v>
      </c>
      <c r="AY14" s="697" t="s">
        <v>9254</v>
      </c>
      <c r="AZ14" s="697" t="s">
        <v>9255</v>
      </c>
      <c r="BA14" s="677" t="s">
        <v>9256</v>
      </c>
      <c r="BB14" s="1074"/>
      <c r="BC14" s="1074"/>
      <c r="BD14" s="1074"/>
      <c r="BE14" s="1074"/>
      <c r="BF14" s="1074"/>
      <c r="BG14" s="1074"/>
      <c r="BH14" s="1074"/>
      <c r="BI14" s="1074"/>
      <c r="BJ14" s="1075"/>
    </row>
    <row r="15" spans="2:62" s="197" customFormat="1" ht="15.75" customHeight="1">
      <c r="B15" s="1067" t="s">
        <v>9242</v>
      </c>
      <c r="C15" s="354" t="s">
        <v>9231</v>
      </c>
      <c r="D15" s="286" t="s">
        <v>4215</v>
      </c>
      <c r="E15" s="286">
        <v>3</v>
      </c>
      <c r="F15" s="1597">
        <f>IFERROR(SUM(F13:F14), 0)</f>
        <v>0</v>
      </c>
      <c r="G15" s="1597">
        <f t="shared" ref="G15:J15" si="17">IFERROR(SUM(G13:G14), 0)</f>
        <v>0</v>
      </c>
      <c r="H15" s="1597">
        <f t="shared" si="17"/>
        <v>0</v>
      </c>
      <c r="I15" s="1597">
        <f t="shared" si="17"/>
        <v>0</v>
      </c>
      <c r="J15" s="1597">
        <f t="shared" si="17"/>
        <v>0</v>
      </c>
      <c r="K15" s="1597">
        <f t="shared" si="6"/>
        <v>0</v>
      </c>
      <c r="L15" s="1655"/>
      <c r="M15" s="1657"/>
      <c r="N15" s="1657"/>
      <c r="O15" s="1657"/>
      <c r="P15" s="1657"/>
      <c r="Q15" s="1658"/>
      <c r="R15" s="697">
        <v>6.5000000000000002E-2</v>
      </c>
      <c r="S15" s="697">
        <v>5.5E-2</v>
      </c>
      <c r="T15" s="698">
        <v>0.08</v>
      </c>
      <c r="U15" s="242"/>
      <c r="V15" s="1071" t="s">
        <v>9257</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9242</v>
      </c>
      <c r="AU15" s="354" t="s">
        <v>9231</v>
      </c>
      <c r="AV15" s="677" t="s">
        <v>9258</v>
      </c>
      <c r="AW15" s="677" t="s">
        <v>9259</v>
      </c>
      <c r="AX15" s="677" t="s">
        <v>9260</v>
      </c>
      <c r="AY15" s="677" t="s">
        <v>9261</v>
      </c>
      <c r="AZ15" s="677" t="s">
        <v>9262</v>
      </c>
      <c r="BA15" s="677" t="s">
        <v>9263</v>
      </c>
      <c r="BB15" s="1074"/>
      <c r="BC15" s="1076"/>
      <c r="BD15" s="1076"/>
      <c r="BE15" s="1076"/>
      <c r="BF15" s="1076"/>
      <c r="BG15" s="1077"/>
      <c r="BH15" s="1072" t="s">
        <v>9264</v>
      </c>
      <c r="BI15" s="1072" t="s">
        <v>9265</v>
      </c>
      <c r="BJ15" s="1073" t="s">
        <v>9266</v>
      </c>
    </row>
    <row r="16" spans="2:62" s="197" customFormat="1" ht="15.75" customHeight="1">
      <c r="B16" s="1067" t="s">
        <v>9267</v>
      </c>
      <c r="C16" s="354" t="s">
        <v>9215</v>
      </c>
      <c r="D16" s="286" t="s">
        <v>4215</v>
      </c>
      <c r="E16" s="286">
        <v>3</v>
      </c>
      <c r="F16" s="2654">
        <v>0</v>
      </c>
      <c r="G16" s="2654">
        <v>0</v>
      </c>
      <c r="H16" s="2654">
        <v>0</v>
      </c>
      <c r="I16" s="2654">
        <v>0</v>
      </c>
      <c r="J16" s="2654">
        <v>0</v>
      </c>
      <c r="K16" s="1597">
        <f t="shared" si="6"/>
        <v>0</v>
      </c>
      <c r="L16" s="1655"/>
      <c r="M16" s="1657"/>
      <c r="N16" s="1657"/>
      <c r="O16" s="1657"/>
      <c r="P16" s="1657"/>
      <c r="Q16" s="1658"/>
      <c r="R16" s="1657"/>
      <c r="S16" s="1657"/>
      <c r="T16" s="1659"/>
      <c r="U16" s="242"/>
      <c r="V16" s="1071" t="s">
        <v>9268</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9267</v>
      </c>
      <c r="AU16" s="354" t="s">
        <v>9215</v>
      </c>
      <c r="AV16" s="697" t="s">
        <v>9269</v>
      </c>
      <c r="AW16" s="697" t="s">
        <v>9270</v>
      </c>
      <c r="AX16" s="697" t="s">
        <v>9271</v>
      </c>
      <c r="AY16" s="697" t="s">
        <v>9272</v>
      </c>
      <c r="AZ16" s="697" t="s">
        <v>9273</v>
      </c>
      <c r="BA16" s="677" t="s">
        <v>9274</v>
      </c>
      <c r="BB16" s="1074"/>
      <c r="BC16" s="1076"/>
      <c r="BD16" s="1076"/>
      <c r="BE16" s="1076"/>
      <c r="BF16" s="1076"/>
      <c r="BG16" s="1077"/>
      <c r="BH16" s="1076"/>
      <c r="BI16" s="1076"/>
      <c r="BJ16" s="1078"/>
    </row>
    <row r="17" spans="1:62" ht="15.75" customHeight="1">
      <c r="A17" s="197"/>
      <c r="B17" s="1067" t="s">
        <v>9267</v>
      </c>
      <c r="C17" s="354" t="s">
        <v>9223</v>
      </c>
      <c r="D17" s="286" t="s">
        <v>4215</v>
      </c>
      <c r="E17" s="286">
        <v>3</v>
      </c>
      <c r="F17" s="2654">
        <v>0</v>
      </c>
      <c r="G17" s="2654">
        <v>0</v>
      </c>
      <c r="H17" s="2654">
        <v>0</v>
      </c>
      <c r="I17" s="2654">
        <v>0</v>
      </c>
      <c r="J17" s="2654">
        <v>0</v>
      </c>
      <c r="K17" s="1597">
        <f t="shared" si="6"/>
        <v>0</v>
      </c>
      <c r="L17" s="1660"/>
      <c r="M17" s="1660"/>
      <c r="N17" s="1660"/>
      <c r="O17" s="1660"/>
      <c r="P17" s="1660"/>
      <c r="Q17" s="1658"/>
      <c r="R17" s="1660"/>
      <c r="S17" s="1660"/>
      <c r="T17" s="1659"/>
      <c r="U17" s="242"/>
      <c r="V17" s="1071" t="s">
        <v>9275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9267</v>
      </c>
      <c r="AU17" s="354" t="s">
        <v>9223</v>
      </c>
      <c r="AV17" s="697" t="s">
        <v>9276</v>
      </c>
      <c r="AW17" s="697" t="s">
        <v>9277</v>
      </c>
      <c r="AX17" s="697" t="s">
        <v>9278</v>
      </c>
      <c r="AY17" s="697" t="s">
        <v>9279</v>
      </c>
      <c r="AZ17" s="697" t="s">
        <v>9280</v>
      </c>
      <c r="BA17" s="677" t="s">
        <v>9281</v>
      </c>
      <c r="BB17" s="1079"/>
      <c r="BC17" s="1079"/>
      <c r="BD17" s="1079"/>
      <c r="BE17" s="1079"/>
      <c r="BF17" s="1079"/>
      <c r="BG17" s="1077"/>
      <c r="BH17" s="1079"/>
      <c r="BI17" s="1079"/>
      <c r="BJ17" s="1078"/>
    </row>
    <row r="18" spans="1:62" ht="15.75" customHeight="1">
      <c r="A18" s="197"/>
      <c r="B18" s="1067" t="s">
        <v>9267</v>
      </c>
      <c r="C18" s="354" t="s">
        <v>9231</v>
      </c>
      <c r="D18" s="286" t="s">
        <v>4215</v>
      </c>
      <c r="E18" s="286">
        <v>3</v>
      </c>
      <c r="F18" s="1597">
        <f>IFERROR(SUM(F16:F17), 0)</f>
        <v>0</v>
      </c>
      <c r="G18" s="1597">
        <f t="shared" ref="G18:I18" si="26">IFERROR(SUM(G16:G17), 0)</f>
        <v>0</v>
      </c>
      <c r="H18" s="1597">
        <f t="shared" si="26"/>
        <v>0</v>
      </c>
      <c r="I18" s="1597">
        <f t="shared" si="26"/>
        <v>0</v>
      </c>
      <c r="J18" s="1597">
        <f>IFERROR(SUM(J16:J17), 0)</f>
        <v>0</v>
      </c>
      <c r="K18" s="1597">
        <f>IFERROR(SUM(F18:J18), 0)</f>
        <v>0</v>
      </c>
      <c r="L18" s="1655"/>
      <c r="M18" s="1660"/>
      <c r="N18" s="1660"/>
      <c r="O18" s="1660"/>
      <c r="P18" s="1660"/>
      <c r="Q18" s="1658"/>
      <c r="R18" s="697">
        <v>1.7999999999999999E-2</v>
      </c>
      <c r="S18" s="697">
        <v>0.52100000000000002</v>
      </c>
      <c r="T18" s="698">
        <v>0.76300000000000001</v>
      </c>
      <c r="U18" s="242"/>
      <c r="V18" s="1071" t="s">
        <v>9282</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9267</v>
      </c>
      <c r="AU18" s="354" t="s">
        <v>9231</v>
      </c>
      <c r="AV18" s="677" t="s">
        <v>9283</v>
      </c>
      <c r="AW18" s="677" t="s">
        <v>9284</v>
      </c>
      <c r="AX18" s="677" t="s">
        <v>9285</v>
      </c>
      <c r="AY18" s="677" t="s">
        <v>9286</v>
      </c>
      <c r="AZ18" s="677" t="s">
        <v>9287</v>
      </c>
      <c r="BA18" s="677" t="s">
        <v>9288</v>
      </c>
      <c r="BB18" s="1074"/>
      <c r="BC18" s="1079"/>
      <c r="BD18" s="1079"/>
      <c r="BE18" s="1079"/>
      <c r="BF18" s="1079"/>
      <c r="BG18" s="1077"/>
      <c r="BH18" s="1072" t="s">
        <v>9289</v>
      </c>
      <c r="BI18" s="1072" t="s">
        <v>9290</v>
      </c>
      <c r="BJ18" s="1073" t="s">
        <v>9291</v>
      </c>
    </row>
    <row r="19" spans="1:62" ht="15.75" customHeight="1">
      <c r="A19" s="197"/>
      <c r="B19" s="1067" t="s">
        <v>9292</v>
      </c>
      <c r="C19" s="354" t="s">
        <v>9215</v>
      </c>
      <c r="D19" s="286" t="s">
        <v>4215</v>
      </c>
      <c r="E19" s="286">
        <v>3</v>
      </c>
      <c r="F19" s="697">
        <v>0.629</v>
      </c>
      <c r="G19" s="697">
        <v>0</v>
      </c>
      <c r="H19" s="697">
        <v>0</v>
      </c>
      <c r="I19" s="697">
        <v>0</v>
      </c>
      <c r="J19" s="697">
        <v>0</v>
      </c>
      <c r="K19" s="1597">
        <f t="shared" si="6"/>
        <v>0.629</v>
      </c>
      <c r="L19" s="1655"/>
      <c r="M19" s="1660"/>
      <c r="N19" s="1660"/>
      <c r="O19" s="1660"/>
      <c r="P19" s="1660"/>
      <c r="Q19" s="1658"/>
      <c r="R19" s="1660"/>
      <c r="S19" s="1660"/>
      <c r="T19" s="1659"/>
      <c r="U19" s="242"/>
      <c r="V19" s="1071" t="s">
        <v>9293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9292</v>
      </c>
      <c r="AU19" s="354" t="s">
        <v>9215</v>
      </c>
      <c r="AV19" s="697" t="s">
        <v>9294</v>
      </c>
      <c r="AW19" s="697" t="s">
        <v>9295</v>
      </c>
      <c r="AX19" s="697" t="s">
        <v>9296</v>
      </c>
      <c r="AY19" s="697" t="s">
        <v>9297</v>
      </c>
      <c r="AZ19" s="697" t="s">
        <v>9298</v>
      </c>
      <c r="BA19" s="677" t="s">
        <v>9299</v>
      </c>
      <c r="BB19" s="1074"/>
      <c r="BC19" s="1079"/>
      <c r="BD19" s="1079"/>
      <c r="BE19" s="1079"/>
      <c r="BF19" s="1079"/>
      <c r="BG19" s="1077"/>
      <c r="BH19" s="1079"/>
      <c r="BI19" s="1079"/>
      <c r="BJ19" s="1078"/>
    </row>
    <row r="20" spans="1:62" ht="15.75" customHeight="1">
      <c r="A20" s="197"/>
      <c r="B20" s="1067" t="s">
        <v>9292</v>
      </c>
      <c r="C20" s="354" t="s">
        <v>9223</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9292</v>
      </c>
      <c r="AU20" s="354" t="s">
        <v>9223</v>
      </c>
      <c r="AV20" s="697" t="s">
        <v>9301</v>
      </c>
      <c r="AW20" s="697" t="s">
        <v>9302</v>
      </c>
      <c r="AX20" s="697" t="s">
        <v>9303</v>
      </c>
      <c r="AY20" s="697" t="s">
        <v>9304</v>
      </c>
      <c r="AZ20" s="697" t="s">
        <v>9305</v>
      </c>
      <c r="BA20" s="677" t="s">
        <v>9306</v>
      </c>
      <c r="BB20" s="1074"/>
      <c r="BC20" s="1079"/>
      <c r="BD20" s="1079"/>
      <c r="BE20" s="1079"/>
      <c r="BF20" s="1079"/>
      <c r="BG20" s="1077"/>
      <c r="BH20" s="1079"/>
      <c r="BI20" s="1079"/>
      <c r="BJ20" s="1078"/>
    </row>
    <row r="21" spans="1:62" ht="15.75" customHeight="1">
      <c r="A21" s="197"/>
      <c r="B21" s="1067" t="s">
        <v>9292</v>
      </c>
      <c r="C21" s="354" t="s">
        <v>9231</v>
      </c>
      <c r="D21" s="286" t="s">
        <v>4215</v>
      </c>
      <c r="E21" s="286">
        <v>3</v>
      </c>
      <c r="F21" s="1597">
        <f>IFERROR(SUM(F19:F20), 0)</f>
        <v>0.629</v>
      </c>
      <c r="G21" s="1597">
        <f>IFERROR(SUM(G19:G20), 0)</f>
        <v>0</v>
      </c>
      <c r="H21" s="1597">
        <f>IFERROR(SUM(H19:H20), 0)</f>
        <v>0</v>
      </c>
      <c r="I21" s="1597">
        <f>IFERROR(SUM(I19:I20), 0)</f>
        <v>0</v>
      </c>
      <c r="J21" s="1597">
        <f>IFERROR(SUM(J19:J20), 0)</f>
        <v>0</v>
      </c>
      <c r="K21" s="1597">
        <f>IFERROR(SUM(F21:J21), 0)</f>
        <v>0.629</v>
      </c>
      <c r="L21" s="1655"/>
      <c r="M21" s="1655"/>
      <c r="N21" s="1655"/>
      <c r="O21" s="1655"/>
      <c r="P21" s="1655"/>
      <c r="Q21" s="1655"/>
      <c r="R21" s="697">
        <v>0.97399999999999998</v>
      </c>
      <c r="S21" s="697">
        <v>9.8699999999999992</v>
      </c>
      <c r="T21" s="698">
        <v>14.438000000000001</v>
      </c>
      <c r="U21" s="242"/>
      <c r="V21" s="1071" t="s">
        <v>9307</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9292</v>
      </c>
      <c r="AU21" s="354" t="s">
        <v>9231</v>
      </c>
      <c r="AV21" s="677" t="s">
        <v>9308</v>
      </c>
      <c r="AW21" s="677" t="s">
        <v>9309</v>
      </c>
      <c r="AX21" s="677" t="s">
        <v>9310</v>
      </c>
      <c r="AY21" s="677" t="s">
        <v>9311</v>
      </c>
      <c r="AZ21" s="677" t="s">
        <v>9312</v>
      </c>
      <c r="BA21" s="677" t="s">
        <v>9313</v>
      </c>
      <c r="BB21" s="1074"/>
      <c r="BC21" s="1074"/>
      <c r="BD21" s="1074"/>
      <c r="BE21" s="1074"/>
      <c r="BF21" s="1074"/>
      <c r="BG21" s="1074"/>
      <c r="BH21" s="1072" t="s">
        <v>9314</v>
      </c>
      <c r="BI21" s="1072" t="s">
        <v>9315</v>
      </c>
      <c r="BJ21" s="1073" t="s">
        <v>9316</v>
      </c>
    </row>
    <row r="22" spans="1:62" ht="15.75" customHeight="1">
      <c r="A22" s="197"/>
      <c r="B22" s="1067" t="s">
        <v>9317</v>
      </c>
      <c r="C22" s="354" t="s">
        <v>9215</v>
      </c>
      <c r="D22" s="286" t="s">
        <v>4215</v>
      </c>
      <c r="E22" s="286">
        <v>3</v>
      </c>
      <c r="F22" s="697">
        <v>0.97399999999999998</v>
      </c>
      <c r="G22" s="697">
        <v>0</v>
      </c>
      <c r="H22" s="697">
        <v>0</v>
      </c>
      <c r="I22" s="697">
        <v>0</v>
      </c>
      <c r="J22" s="697">
        <v>0</v>
      </c>
      <c r="K22" s="1597">
        <f t="shared" si="6"/>
        <v>0.97399999999999998</v>
      </c>
      <c r="L22" s="1655"/>
      <c r="M22" s="1655"/>
      <c r="N22" s="1655"/>
      <c r="O22" s="1655"/>
      <c r="P22" s="1655"/>
      <c r="Q22" s="1655"/>
      <c r="R22" s="1655"/>
      <c r="S22" s="1655"/>
      <c r="T22" s="1656"/>
      <c r="U22" s="242"/>
      <c r="V22" s="1071" t="s">
        <v>9318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9319</v>
      </c>
      <c r="AU22" s="354" t="s">
        <v>9215</v>
      </c>
      <c r="AV22" s="697" t="s">
        <v>9320</v>
      </c>
      <c r="AW22" s="697" t="s">
        <v>9321</v>
      </c>
      <c r="AX22" s="697" t="s">
        <v>9322</v>
      </c>
      <c r="AY22" s="697" t="s">
        <v>9323</v>
      </c>
      <c r="AZ22" s="697" t="s">
        <v>9324</v>
      </c>
      <c r="BA22" s="677" t="s">
        <v>9325</v>
      </c>
      <c r="BB22" s="1074"/>
      <c r="BC22" s="1074"/>
      <c r="BD22" s="1074"/>
      <c r="BE22" s="1074"/>
      <c r="BF22" s="1074"/>
      <c r="BG22" s="1074"/>
      <c r="BH22" s="1074"/>
      <c r="BI22" s="1074"/>
      <c r="BJ22" s="1075"/>
    </row>
    <row r="23" spans="1:62" ht="15.75" customHeight="1">
      <c r="A23" s="197"/>
      <c r="B23" s="1067" t="s">
        <v>9317</v>
      </c>
      <c r="C23" s="354" t="s">
        <v>9223</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9326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9319</v>
      </c>
      <c r="AU23" s="354" t="s">
        <v>9223</v>
      </c>
      <c r="AV23" s="697" t="s">
        <v>9327</v>
      </c>
      <c r="AW23" s="697" t="s">
        <v>9328</v>
      </c>
      <c r="AX23" s="697" t="s">
        <v>9329</v>
      </c>
      <c r="AY23" s="697" t="s">
        <v>9330</v>
      </c>
      <c r="AZ23" s="697" t="s">
        <v>9331</v>
      </c>
      <c r="BA23" s="677" t="s">
        <v>9332</v>
      </c>
      <c r="BB23" s="1074"/>
      <c r="BC23" s="1079"/>
      <c r="BD23" s="1079"/>
      <c r="BE23" s="1079"/>
      <c r="BF23" s="1079"/>
      <c r="BG23" s="1077"/>
      <c r="BH23" s="1079"/>
      <c r="BI23" s="1079"/>
      <c r="BJ23" s="1078"/>
    </row>
    <row r="24" spans="1:62" ht="15.75" customHeight="1">
      <c r="A24" s="197"/>
      <c r="B24" s="1067" t="s">
        <v>9317</v>
      </c>
      <c r="C24" s="354" t="s">
        <v>9231</v>
      </c>
      <c r="D24" s="286" t="s">
        <v>4215</v>
      </c>
      <c r="E24" s="286">
        <v>3</v>
      </c>
      <c r="F24" s="1597">
        <f>IFERROR(SUM(F22:F23), 0)</f>
        <v>0.97399999999999998</v>
      </c>
      <c r="G24" s="1597">
        <f>IFERROR(SUM(G22:G23), 0)</f>
        <v>0</v>
      </c>
      <c r="H24" s="1597">
        <f>IFERROR(SUM(H22:H23), 0)</f>
        <v>0</v>
      </c>
      <c r="I24" s="1597">
        <f>IFERROR(SUM(I22:I23), 0)</f>
        <v>0</v>
      </c>
      <c r="J24" s="1597">
        <f>IFERROR(SUM(J22:J23), 0)</f>
        <v>0</v>
      </c>
      <c r="K24" s="1597">
        <f t="shared" si="6"/>
        <v>0.97399999999999998</v>
      </c>
      <c r="L24" s="1655"/>
      <c r="M24" s="1660"/>
      <c r="N24" s="1660"/>
      <c r="O24" s="1660"/>
      <c r="P24" s="1660"/>
      <c r="Q24" s="1658"/>
      <c r="R24" s="697">
        <v>1.4470000000000001</v>
      </c>
      <c r="S24" s="697">
        <v>2.0539999999999998</v>
      </c>
      <c r="T24" s="698">
        <v>3.004</v>
      </c>
      <c r="U24" s="242"/>
      <c r="V24" s="1071" t="s">
        <v>9333</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9319</v>
      </c>
      <c r="AU24" s="354" t="s">
        <v>9231</v>
      </c>
      <c r="AV24" s="677" t="s">
        <v>9334</v>
      </c>
      <c r="AW24" s="677" t="s">
        <v>9335</v>
      </c>
      <c r="AX24" s="677" t="s">
        <v>9336</v>
      </c>
      <c r="AY24" s="677" t="s">
        <v>9337</v>
      </c>
      <c r="AZ24" s="677" t="s">
        <v>9338</v>
      </c>
      <c r="BA24" s="677" t="s">
        <v>9339</v>
      </c>
      <c r="BB24" s="1074"/>
      <c r="BC24" s="1079"/>
      <c r="BD24" s="1079"/>
      <c r="BE24" s="1079"/>
      <c r="BF24" s="1079"/>
      <c r="BG24" s="1077"/>
      <c r="BH24" s="1072" t="s">
        <v>9340</v>
      </c>
      <c r="BI24" s="1072" t="s">
        <v>9341</v>
      </c>
      <c r="BJ24" s="1073" t="s">
        <v>9342</v>
      </c>
    </row>
    <row r="25" spans="1:62" ht="15.75" customHeight="1">
      <c r="A25" s="197"/>
      <c r="B25" s="1067" t="s">
        <v>9343</v>
      </c>
      <c r="C25" s="354" t="s">
        <v>9215</v>
      </c>
      <c r="D25" s="286" t="s">
        <v>4215</v>
      </c>
      <c r="E25" s="286">
        <v>3</v>
      </c>
      <c r="F25" s="697">
        <v>0</v>
      </c>
      <c r="G25" s="697">
        <v>0</v>
      </c>
      <c r="H25" s="697">
        <v>0</v>
      </c>
      <c r="I25" s="697">
        <v>0</v>
      </c>
      <c r="J25" s="697">
        <v>0</v>
      </c>
      <c r="K25" s="1597">
        <f>IFERROR(SUM(F25:J25), 0)</f>
        <v>0</v>
      </c>
      <c r="L25" s="2364">
        <v>0</v>
      </c>
      <c r="M25" s="2364">
        <v>0</v>
      </c>
      <c r="N25" s="2364">
        <v>0</v>
      </c>
      <c r="O25" s="2364">
        <v>0</v>
      </c>
      <c r="P25" s="2364">
        <v>0</v>
      </c>
      <c r="Q25" s="2365">
        <f>IFERROR(SUM(L25:P25), 0)</f>
        <v>0</v>
      </c>
      <c r="R25" s="1660"/>
      <c r="S25" s="1660"/>
      <c r="T25" s="1659"/>
      <c r="U25" s="242"/>
      <c r="V25" s="1071" t="s">
        <v>9344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9343</v>
      </c>
      <c r="AU25" s="354" t="s">
        <v>9215</v>
      </c>
      <c r="AV25" s="697" t="s">
        <v>9345</v>
      </c>
      <c r="AW25" s="697" t="s">
        <v>9346</v>
      </c>
      <c r="AX25" s="697" t="s">
        <v>9347</v>
      </c>
      <c r="AY25" s="697" t="s">
        <v>9348</v>
      </c>
      <c r="AZ25" s="697" t="s">
        <v>9349</v>
      </c>
      <c r="BA25" s="677" t="s">
        <v>9350</v>
      </c>
      <c r="BB25" s="2364" t="s">
        <v>17350</v>
      </c>
      <c r="BC25" s="2364" t="s">
        <v>17351</v>
      </c>
      <c r="BD25" s="2364" t="s">
        <v>17352</v>
      </c>
      <c r="BE25" s="2364" t="s">
        <v>17353</v>
      </c>
      <c r="BF25" s="2364" t="s">
        <v>17354</v>
      </c>
      <c r="BG25" s="2365" t="s">
        <v>17355</v>
      </c>
      <c r="BH25" s="1079"/>
      <c r="BI25" s="1079"/>
      <c r="BJ25" s="1078"/>
    </row>
    <row r="26" spans="1:62" ht="15.75" customHeight="1">
      <c r="A26" s="197"/>
      <c r="B26" s="1067" t="s">
        <v>9343</v>
      </c>
      <c r="C26" s="354" t="s">
        <v>9223</v>
      </c>
      <c r="D26" s="286" t="s">
        <v>4215</v>
      </c>
      <c r="E26" s="286">
        <v>3</v>
      </c>
      <c r="F26" s="697">
        <v>0</v>
      </c>
      <c r="G26" s="697">
        <v>0</v>
      </c>
      <c r="H26" s="697">
        <v>0</v>
      </c>
      <c r="I26" s="697">
        <v>0</v>
      </c>
      <c r="J26" s="697">
        <v>0</v>
      </c>
      <c r="K26" s="1597">
        <f t="shared" si="6"/>
        <v>0</v>
      </c>
      <c r="L26" s="2364">
        <v>0</v>
      </c>
      <c r="M26" s="2364">
        <v>0</v>
      </c>
      <c r="N26" s="2364">
        <v>0</v>
      </c>
      <c r="O26" s="2364">
        <v>0</v>
      </c>
      <c r="P26" s="2364">
        <v>0</v>
      </c>
      <c r="Q26" s="2365">
        <f>IFERROR(SUM(L26:P26), 0)</f>
        <v>0</v>
      </c>
      <c r="R26" s="1660"/>
      <c r="S26" s="1660"/>
      <c r="T26" s="1659"/>
      <c r="U26" s="242"/>
      <c r="V26" s="1071" t="s">
        <v>9351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9343</v>
      </c>
      <c r="AU26" s="354" t="s">
        <v>9223</v>
      </c>
      <c r="AV26" s="697" t="s">
        <v>9352</v>
      </c>
      <c r="AW26" s="697" t="s">
        <v>9353</v>
      </c>
      <c r="AX26" s="697" t="s">
        <v>9354</v>
      </c>
      <c r="AY26" s="697" t="s">
        <v>9355</v>
      </c>
      <c r="AZ26" s="697" t="s">
        <v>9356</v>
      </c>
      <c r="BA26" s="677" t="s">
        <v>9357</v>
      </c>
      <c r="BB26" s="2364" t="s">
        <v>17356</v>
      </c>
      <c r="BC26" s="2364" t="s">
        <v>17357</v>
      </c>
      <c r="BD26" s="2364" t="s">
        <v>17358</v>
      </c>
      <c r="BE26" s="2364" t="s">
        <v>17359</v>
      </c>
      <c r="BF26" s="2364" t="s">
        <v>17360</v>
      </c>
      <c r="BG26" s="2365" t="s">
        <v>17361</v>
      </c>
      <c r="BH26" s="1079"/>
      <c r="BI26" s="1079"/>
      <c r="BJ26" s="1078"/>
    </row>
    <row r="27" spans="1:62" ht="15.75" customHeight="1">
      <c r="A27" s="197"/>
      <c r="B27" s="1067" t="s">
        <v>9343</v>
      </c>
      <c r="C27" s="354" t="s">
        <v>9231</v>
      </c>
      <c r="D27" s="286" t="s">
        <v>4215</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v>-4.2999999999999997E-2</v>
      </c>
      <c r="S27" s="697">
        <v>0</v>
      </c>
      <c r="T27" s="698">
        <v>0</v>
      </c>
      <c r="U27" s="242"/>
      <c r="V27" s="1071" t="s">
        <v>9358</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9343</v>
      </c>
      <c r="AU27" s="354" t="s">
        <v>9231</v>
      </c>
      <c r="AV27" s="677" t="s">
        <v>9359</v>
      </c>
      <c r="AW27" s="677" t="s">
        <v>9360</v>
      </c>
      <c r="AX27" s="677" t="s">
        <v>9361</v>
      </c>
      <c r="AY27" s="677" t="s">
        <v>9362</v>
      </c>
      <c r="AZ27" s="677" t="s">
        <v>9363</v>
      </c>
      <c r="BA27" s="677" t="s">
        <v>9364</v>
      </c>
      <c r="BB27" s="2366" t="s">
        <v>17362</v>
      </c>
      <c r="BC27" s="2366" t="s">
        <v>17363</v>
      </c>
      <c r="BD27" s="2366" t="s">
        <v>17364</v>
      </c>
      <c r="BE27" s="2366" t="s">
        <v>17365</v>
      </c>
      <c r="BF27" s="2366" t="s">
        <v>17366</v>
      </c>
      <c r="BG27" s="2365" t="s">
        <v>17367</v>
      </c>
      <c r="BH27" s="1072" t="s">
        <v>9365</v>
      </c>
      <c r="BI27" s="1072" t="s">
        <v>9366</v>
      </c>
      <c r="BJ27" s="1073" t="s">
        <v>9367</v>
      </c>
    </row>
    <row r="28" spans="1:62" ht="15.75" customHeight="1" thickBot="1">
      <c r="A28" s="197"/>
      <c r="B28" s="1080" t="s">
        <v>9368</v>
      </c>
      <c r="C28" s="1081" t="s">
        <v>9231</v>
      </c>
      <c r="D28" s="355" t="s">
        <v>4215</v>
      </c>
      <c r="E28" s="355">
        <v>3</v>
      </c>
      <c r="F28" s="1589">
        <f>IFERROR(SUM(F12,F15,F18,F21,F24,F27), 0)</f>
        <v>1.476</v>
      </c>
      <c r="G28" s="1589">
        <f t="shared" ref="G28:I28" si="55">IFERROR(SUM(G12,G15,G18,G21,G24,G27), 0)</f>
        <v>0</v>
      </c>
      <c r="H28" s="1589">
        <f t="shared" si="55"/>
        <v>0</v>
      </c>
      <c r="I28" s="1589">
        <f t="shared" si="55"/>
        <v>0</v>
      </c>
      <c r="J28" s="1589">
        <f>IFERROR(SUM(J12,J15,J18,J21,J24,J27), 0)</f>
        <v>0</v>
      </c>
      <c r="K28" s="1589">
        <f>IFERROR(SUM(F28:J28), 0)</f>
        <v>1.476</v>
      </c>
      <c r="L28" s="1661"/>
      <c r="M28" s="1662"/>
      <c r="N28" s="1662"/>
      <c r="O28" s="1662"/>
      <c r="P28" s="1662"/>
      <c r="Q28" s="1663"/>
      <c r="R28" s="1664">
        <f>IFERROR(SUM(R27,R24,R21,R18,R15,R12), 0)</f>
        <v>11.611000000000001</v>
      </c>
      <c r="S28" s="1664">
        <f>IFERROR(SUM(S27,S24,S21,S18,S15,S12), 0)</f>
        <v>12.683</v>
      </c>
      <c r="T28" s="1665">
        <f>IFERROR(SUM(T27,T24,T21,T18,T15,T12), 0)</f>
        <v>18.553000000000001</v>
      </c>
      <c r="U28" s="242"/>
      <c r="V28" s="1085" t="s">
        <v>9369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9368</v>
      </c>
      <c r="AU28" s="1081" t="s">
        <v>9231</v>
      </c>
      <c r="AV28" s="679" t="s">
        <v>9370</v>
      </c>
      <c r="AW28" s="679" t="s">
        <v>9371</v>
      </c>
      <c r="AX28" s="679" t="s">
        <v>9372</v>
      </c>
      <c r="AY28" s="679" t="s">
        <v>9373</v>
      </c>
      <c r="AZ28" s="679" t="s">
        <v>9374</v>
      </c>
      <c r="BA28" s="679" t="s">
        <v>9375</v>
      </c>
      <c r="BB28" s="2604"/>
      <c r="BC28" s="2604"/>
      <c r="BD28" s="2604"/>
      <c r="BE28" s="2604"/>
      <c r="BF28" s="2604"/>
      <c r="BG28" s="2605"/>
      <c r="BH28" s="1084" t="s">
        <v>9376</v>
      </c>
      <c r="BI28" s="1084" t="s">
        <v>9377</v>
      </c>
      <c r="BJ28" s="807" t="s">
        <v>9378</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9379</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9379</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9215</v>
      </c>
      <c r="D31" s="277" t="s">
        <v>4215</v>
      </c>
      <c r="E31" s="277">
        <v>3</v>
      </c>
      <c r="F31" s="694">
        <v>0.23699999999999999</v>
      </c>
      <c r="G31" s="694">
        <v>4.6360000000000001</v>
      </c>
      <c r="H31" s="694">
        <v>0</v>
      </c>
      <c r="I31" s="694">
        <v>5.8999999999999997E-2</v>
      </c>
      <c r="J31" s="694">
        <v>0</v>
      </c>
      <c r="K31" s="1595">
        <f>IFERROR(SUM(F31:J31), 0)</f>
        <v>4.9320000000000004</v>
      </c>
      <c r="L31" s="2591">
        <v>0</v>
      </c>
      <c r="M31" s="2591">
        <v>0</v>
      </c>
      <c r="N31" s="2591">
        <v>0</v>
      </c>
      <c r="O31" s="2591">
        <v>0</v>
      </c>
      <c r="P31" s="2591">
        <v>0</v>
      </c>
      <c r="Q31" s="2367">
        <f>IFERROR(SUM(L31:P31), 0)</f>
        <v>0</v>
      </c>
      <c r="R31" s="1668"/>
      <c r="S31" s="1668"/>
      <c r="T31" s="1669"/>
      <c r="U31" s="242"/>
      <c r="V31" s="1066" t="s">
        <v>9380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9215</v>
      </c>
      <c r="AV31" s="694" t="s">
        <v>9381</v>
      </c>
      <c r="AW31" s="694" t="s">
        <v>9382</v>
      </c>
      <c r="AX31" s="694" t="s">
        <v>9383</v>
      </c>
      <c r="AY31" s="694" t="s">
        <v>9384</v>
      </c>
      <c r="AZ31" s="694" t="s">
        <v>9385</v>
      </c>
      <c r="BA31" s="675" t="s">
        <v>9386</v>
      </c>
      <c r="BB31" s="2591" t="s">
        <v>17368</v>
      </c>
      <c r="BC31" s="2591" t="s">
        <v>17369</v>
      </c>
      <c r="BD31" s="2591" t="s">
        <v>17370</v>
      </c>
      <c r="BE31" s="2591" t="s">
        <v>17371</v>
      </c>
      <c r="BF31" s="2591" t="s">
        <v>17372</v>
      </c>
      <c r="BG31" s="2367" t="s">
        <v>17373</v>
      </c>
      <c r="BH31" s="1088"/>
      <c r="BI31" s="1088"/>
      <c r="BJ31" s="1089"/>
    </row>
    <row r="32" spans="1:62" ht="32.25" customHeight="1">
      <c r="A32" s="197"/>
      <c r="B32" s="1067" t="s">
        <v>33</v>
      </c>
      <c r="C32" s="354" t="s">
        <v>9223</v>
      </c>
      <c r="D32" s="286" t="s">
        <v>4215</v>
      </c>
      <c r="E32" s="286">
        <v>3</v>
      </c>
      <c r="F32" s="697">
        <v>0</v>
      </c>
      <c r="G32" s="697">
        <v>0</v>
      </c>
      <c r="H32" s="697">
        <v>0</v>
      </c>
      <c r="I32" s="697">
        <v>0</v>
      </c>
      <c r="J32" s="697">
        <v>0</v>
      </c>
      <c r="K32" s="1597">
        <f t="shared" ref="K32:K49" si="62">IFERROR(SUM(F32:J32), 0)</f>
        <v>0</v>
      </c>
      <c r="L32" s="2364">
        <v>0</v>
      </c>
      <c r="M32" s="2364">
        <v>0</v>
      </c>
      <c r="N32" s="2364">
        <v>0</v>
      </c>
      <c r="O32" s="2364">
        <v>0</v>
      </c>
      <c r="P32" s="2364">
        <v>0</v>
      </c>
      <c r="Q32" s="2365">
        <f>IFERROR(SUM(L32:P32), 0)</f>
        <v>0</v>
      </c>
      <c r="R32" s="1660"/>
      <c r="S32" s="1660"/>
      <c r="T32" s="1659"/>
      <c r="U32" s="242"/>
      <c r="V32" s="1071" t="s">
        <v>9387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9223</v>
      </c>
      <c r="AV32" s="697" t="s">
        <v>9388</v>
      </c>
      <c r="AW32" s="697" t="s">
        <v>9389</v>
      </c>
      <c r="AX32" s="697" t="s">
        <v>9390</v>
      </c>
      <c r="AY32" s="697" t="s">
        <v>9391</v>
      </c>
      <c r="AZ32" s="697" t="s">
        <v>9392</v>
      </c>
      <c r="BA32" s="677" t="s">
        <v>9393</v>
      </c>
      <c r="BB32" s="2364" t="s">
        <v>17374</v>
      </c>
      <c r="BC32" s="2364" t="s">
        <v>17375</v>
      </c>
      <c r="BD32" s="2364" t="s">
        <v>17376</v>
      </c>
      <c r="BE32" s="2364" t="s">
        <v>17377</v>
      </c>
      <c r="BF32" s="2364" t="s">
        <v>17378</v>
      </c>
      <c r="BG32" s="2365" t="s">
        <v>17379</v>
      </c>
      <c r="BH32" s="1079"/>
      <c r="BI32" s="1079"/>
      <c r="BJ32" s="1078"/>
    </row>
    <row r="33" spans="1:62" ht="32.25" customHeight="1">
      <c r="A33" s="197"/>
      <c r="B33" s="1067" t="s">
        <v>33</v>
      </c>
      <c r="C33" s="354" t="s">
        <v>9231</v>
      </c>
      <c r="D33" s="286" t="s">
        <v>4215</v>
      </c>
      <c r="E33" s="286">
        <v>3</v>
      </c>
      <c r="F33" s="1597">
        <f>IFERROR(SUM(F31:F32), 0)</f>
        <v>0.23699999999999999</v>
      </c>
      <c r="G33" s="1597">
        <f t="shared" ref="G33:I33" si="63">IFERROR(SUM(G31:G32), 0)</f>
        <v>4.6360000000000001</v>
      </c>
      <c r="H33" s="1597">
        <f t="shared" si="63"/>
        <v>0</v>
      </c>
      <c r="I33" s="1597">
        <f t="shared" si="63"/>
        <v>5.8999999999999997E-2</v>
      </c>
      <c r="J33" s="1597">
        <f>IFERROR(SUM(J31:J32), 0)</f>
        <v>0</v>
      </c>
      <c r="K33" s="1597">
        <f>IFERROR(SUM(F33:J33), 0)</f>
        <v>4.9320000000000004</v>
      </c>
      <c r="L33" s="2366">
        <f>IFERROR(SUM(L31:L32), 0)</f>
        <v>0</v>
      </c>
      <c r="M33" s="2366">
        <f>IFERROR(SUM(M31:M32), 0)</f>
        <v>0</v>
      </c>
      <c r="N33" s="2366">
        <f t="shared" ref="N33:P33" si="64">IFERROR(SUM(N31:N32), 0)</f>
        <v>0</v>
      </c>
      <c r="O33" s="2366">
        <f t="shared" si="64"/>
        <v>0</v>
      </c>
      <c r="P33" s="2366">
        <f t="shared" si="64"/>
        <v>0</v>
      </c>
      <c r="Q33" s="2365">
        <f>IFERROR(SUM(L33:P33), 0)</f>
        <v>0</v>
      </c>
      <c r="R33" s="697">
        <v>8.1880000000000006</v>
      </c>
      <c r="S33" s="697">
        <v>6.5460000000000003</v>
      </c>
      <c r="T33" s="698">
        <v>9.5760000000000005</v>
      </c>
      <c r="U33" s="242"/>
      <c r="V33" s="1071" t="s">
        <v>9394</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9231</v>
      </c>
      <c r="AV33" s="677" t="s">
        <v>9395</v>
      </c>
      <c r="AW33" s="677" t="s">
        <v>9396</v>
      </c>
      <c r="AX33" s="677" t="s">
        <v>9397</v>
      </c>
      <c r="AY33" s="677" t="s">
        <v>9398</v>
      </c>
      <c r="AZ33" s="677" t="s">
        <v>9399</v>
      </c>
      <c r="BA33" s="677" t="s">
        <v>9400</v>
      </c>
      <c r="BB33" s="2366" t="s">
        <v>17380</v>
      </c>
      <c r="BC33" s="2366" t="s">
        <v>17381</v>
      </c>
      <c r="BD33" s="2366" t="s">
        <v>17382</v>
      </c>
      <c r="BE33" s="2366" t="s">
        <v>17383</v>
      </c>
      <c r="BF33" s="2366" t="s">
        <v>17384</v>
      </c>
      <c r="BG33" s="2365" t="s">
        <v>17385</v>
      </c>
      <c r="BH33" s="1072" t="s">
        <v>9401</v>
      </c>
      <c r="BI33" s="1072" t="s">
        <v>9402</v>
      </c>
      <c r="BJ33" s="1073" t="s">
        <v>9403</v>
      </c>
    </row>
    <row r="34" spans="1:62" ht="32.25" customHeight="1">
      <c r="A34" s="197"/>
      <c r="B34" s="1067" t="s">
        <v>49</v>
      </c>
      <c r="C34" s="354" t="s">
        <v>9215</v>
      </c>
      <c r="D34" s="286" t="s">
        <v>4215</v>
      </c>
      <c r="E34" s="286">
        <v>3</v>
      </c>
      <c r="F34" s="697">
        <v>0</v>
      </c>
      <c r="G34" s="697">
        <v>0</v>
      </c>
      <c r="H34" s="697">
        <v>0</v>
      </c>
      <c r="I34" s="697">
        <v>0</v>
      </c>
      <c r="J34" s="697">
        <v>1.554</v>
      </c>
      <c r="K34" s="1597">
        <f t="shared" si="62"/>
        <v>1.554</v>
      </c>
      <c r="L34" s="1660"/>
      <c r="M34" s="1660"/>
      <c r="N34" s="1660"/>
      <c r="O34" s="1660"/>
      <c r="P34" s="1660"/>
      <c r="Q34" s="1658"/>
      <c r="R34" s="1660"/>
      <c r="S34" s="1660"/>
      <c r="T34" s="1659"/>
      <c r="U34" s="242"/>
      <c r="V34" s="1071" t="s">
        <v>9404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9215</v>
      </c>
      <c r="AV34" s="697" t="s">
        <v>9405</v>
      </c>
      <c r="AW34" s="697" t="s">
        <v>9406</v>
      </c>
      <c r="AX34" s="697" t="s">
        <v>9407</v>
      </c>
      <c r="AY34" s="697" t="s">
        <v>9408</v>
      </c>
      <c r="AZ34" s="697" t="s">
        <v>9409</v>
      </c>
      <c r="BA34" s="677" t="s">
        <v>9410</v>
      </c>
      <c r="BB34" s="1079"/>
      <c r="BC34" s="1079"/>
      <c r="BD34" s="1079"/>
      <c r="BE34" s="1079"/>
      <c r="BF34" s="1079"/>
      <c r="BG34" s="1077"/>
      <c r="BH34" s="1079"/>
      <c r="BI34" s="1079"/>
      <c r="BJ34" s="1078"/>
    </row>
    <row r="35" spans="1:62" ht="32.25" customHeight="1">
      <c r="A35" s="197"/>
      <c r="B35" s="1067" t="s">
        <v>49</v>
      </c>
      <c r="C35" s="354" t="s">
        <v>9223</v>
      </c>
      <c r="D35" s="286" t="s">
        <v>4215</v>
      </c>
      <c r="E35" s="286">
        <v>3</v>
      </c>
      <c r="F35" s="697">
        <v>0</v>
      </c>
      <c r="G35" s="697">
        <v>0</v>
      </c>
      <c r="H35" s="697">
        <v>0</v>
      </c>
      <c r="I35" s="697">
        <v>0</v>
      </c>
      <c r="J35" s="697">
        <v>0</v>
      </c>
      <c r="K35" s="1597">
        <f t="shared" si="62"/>
        <v>0</v>
      </c>
      <c r="L35" s="1660"/>
      <c r="M35" s="1660"/>
      <c r="N35" s="1660"/>
      <c r="O35" s="1660"/>
      <c r="P35" s="1660"/>
      <c r="Q35" s="1658"/>
      <c r="R35" s="1660"/>
      <c r="S35" s="1660"/>
      <c r="T35" s="1659"/>
      <c r="U35" s="242"/>
      <c r="V35" s="1071" t="s">
        <v>9411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9223</v>
      </c>
      <c r="AV35" s="697" t="s">
        <v>9412</v>
      </c>
      <c r="AW35" s="697" t="s">
        <v>9413</v>
      </c>
      <c r="AX35" s="697" t="s">
        <v>9414</v>
      </c>
      <c r="AY35" s="697" t="s">
        <v>9415</v>
      </c>
      <c r="AZ35" s="697" t="s">
        <v>9416</v>
      </c>
      <c r="BA35" s="677" t="s">
        <v>9417</v>
      </c>
      <c r="BB35" s="1079"/>
      <c r="BC35" s="1079"/>
      <c r="BD35" s="1079"/>
      <c r="BE35" s="1079"/>
      <c r="BF35" s="1079"/>
      <c r="BG35" s="1077"/>
      <c r="BH35" s="1079"/>
      <c r="BI35" s="1079"/>
      <c r="BJ35" s="1078"/>
    </row>
    <row r="36" spans="1:62" ht="32.25" customHeight="1">
      <c r="A36" s="197"/>
      <c r="B36" s="1067" t="s">
        <v>49</v>
      </c>
      <c r="C36" s="354" t="s">
        <v>9231</v>
      </c>
      <c r="D36" s="286" t="s">
        <v>4215</v>
      </c>
      <c r="E36" s="286">
        <v>3</v>
      </c>
      <c r="F36" s="1597">
        <f>IFERROR(SUM(F34:F35), 0)</f>
        <v>0</v>
      </c>
      <c r="G36" s="1597">
        <f t="shared" ref="G36:J36" si="73">IFERROR(SUM(G34:G35), 0)</f>
        <v>0</v>
      </c>
      <c r="H36" s="1597">
        <f t="shared" si="73"/>
        <v>0</v>
      </c>
      <c r="I36" s="1597">
        <f>IFERROR(SUM(I34:I35), 0)</f>
        <v>0</v>
      </c>
      <c r="J36" s="1597">
        <f t="shared" si="73"/>
        <v>1.554</v>
      </c>
      <c r="K36" s="1597">
        <f t="shared" si="62"/>
        <v>1.554</v>
      </c>
      <c r="L36" s="1660"/>
      <c r="M36" s="1660"/>
      <c r="N36" s="1660"/>
      <c r="O36" s="1660"/>
      <c r="P36" s="1660"/>
      <c r="Q36" s="1658"/>
      <c r="R36" s="697">
        <v>5.5739999999999998</v>
      </c>
      <c r="S36" s="697">
        <v>22.404</v>
      </c>
      <c r="T36" s="698">
        <v>32.771999999999998</v>
      </c>
      <c r="U36" s="242"/>
      <c r="V36" s="1071" t="s">
        <v>9418</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9231</v>
      </c>
      <c r="AV36" s="677" t="s">
        <v>9419</v>
      </c>
      <c r="AW36" s="677" t="s">
        <v>9420</v>
      </c>
      <c r="AX36" s="677" t="s">
        <v>9421</v>
      </c>
      <c r="AY36" s="677" t="s">
        <v>9422</v>
      </c>
      <c r="AZ36" s="677" t="s">
        <v>9423</v>
      </c>
      <c r="BA36" s="677" t="s">
        <v>9424</v>
      </c>
      <c r="BB36" s="1079"/>
      <c r="BC36" s="1079"/>
      <c r="BD36" s="1079"/>
      <c r="BE36" s="1079"/>
      <c r="BF36" s="1079"/>
      <c r="BG36" s="1077"/>
      <c r="BH36" s="1072" t="s">
        <v>9425</v>
      </c>
      <c r="BI36" s="1072" t="s">
        <v>9426</v>
      </c>
      <c r="BJ36" s="1073" t="s">
        <v>9427</v>
      </c>
    </row>
    <row r="37" spans="1:62" ht="15.75" customHeight="1">
      <c r="A37" s="197"/>
      <c r="B37" s="1067" t="s">
        <v>9428</v>
      </c>
      <c r="C37" s="354" t="s">
        <v>9215</v>
      </c>
      <c r="D37" s="286" t="s">
        <v>4215</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9429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9428</v>
      </c>
      <c r="AU37" s="354" t="s">
        <v>9215</v>
      </c>
      <c r="AV37" s="697" t="s">
        <v>9430</v>
      </c>
      <c r="AW37" s="697" t="s">
        <v>9431</v>
      </c>
      <c r="AX37" s="697" t="s">
        <v>9432</v>
      </c>
      <c r="AY37" s="697" t="s">
        <v>9433</v>
      </c>
      <c r="AZ37" s="697" t="s">
        <v>9434</v>
      </c>
      <c r="BA37" s="677" t="s">
        <v>9435</v>
      </c>
      <c r="BB37" s="697" t="s">
        <v>9436</v>
      </c>
      <c r="BC37" s="697" t="s">
        <v>9437</v>
      </c>
      <c r="BD37" s="697" t="s">
        <v>9438</v>
      </c>
      <c r="BE37" s="697" t="s">
        <v>9439</v>
      </c>
      <c r="BF37" s="697" t="s">
        <v>9440</v>
      </c>
      <c r="BG37" s="797" t="s">
        <v>9441</v>
      </c>
      <c r="BH37" s="1079"/>
      <c r="BI37" s="1079"/>
      <c r="BJ37" s="1078"/>
    </row>
    <row r="38" spans="1:62" ht="15.75" customHeight="1">
      <c r="A38" s="197"/>
      <c r="B38" s="1067" t="s">
        <v>9428</v>
      </c>
      <c r="C38" s="354" t="s">
        <v>9223</v>
      </c>
      <c r="D38" s="286" t="s">
        <v>4215</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9442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9428</v>
      </c>
      <c r="AU38" s="354" t="s">
        <v>9223</v>
      </c>
      <c r="AV38" s="697" t="s">
        <v>9443</v>
      </c>
      <c r="AW38" s="697" t="s">
        <v>9444</v>
      </c>
      <c r="AX38" s="697" t="s">
        <v>9445</v>
      </c>
      <c r="AY38" s="697" t="s">
        <v>9446</v>
      </c>
      <c r="AZ38" s="697" t="s">
        <v>9447</v>
      </c>
      <c r="BA38" s="677" t="s">
        <v>9448</v>
      </c>
      <c r="BB38" s="697" t="s">
        <v>9449</v>
      </c>
      <c r="BC38" s="697" t="s">
        <v>9450</v>
      </c>
      <c r="BD38" s="697" t="s">
        <v>9451</v>
      </c>
      <c r="BE38" s="697" t="s">
        <v>9452</v>
      </c>
      <c r="BF38" s="697" t="s">
        <v>9453</v>
      </c>
      <c r="BG38" s="797" t="s">
        <v>9454</v>
      </c>
      <c r="BH38" s="1079"/>
      <c r="BI38" s="1079"/>
      <c r="BJ38" s="1078"/>
    </row>
    <row r="39" spans="1:62" ht="15.75" customHeight="1">
      <c r="A39" s="197"/>
      <c r="B39" s="1067" t="s">
        <v>9428</v>
      </c>
      <c r="C39" s="354" t="s">
        <v>9231</v>
      </c>
      <c r="D39" s="286" t="s">
        <v>4215</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9455</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9428</v>
      </c>
      <c r="AU39" s="354" t="s">
        <v>9231</v>
      </c>
      <c r="AV39" s="677" t="s">
        <v>9456</v>
      </c>
      <c r="AW39" s="677" t="s">
        <v>9457</v>
      </c>
      <c r="AX39" s="677" t="s">
        <v>9458</v>
      </c>
      <c r="AY39" s="677" t="s">
        <v>9459</v>
      </c>
      <c r="AZ39" s="677" t="s">
        <v>9460</v>
      </c>
      <c r="BA39" s="677" t="s">
        <v>9461</v>
      </c>
      <c r="BB39" s="797" t="s">
        <v>9462</v>
      </c>
      <c r="BC39" s="797" t="s">
        <v>9463</v>
      </c>
      <c r="BD39" s="797" t="s">
        <v>9464</v>
      </c>
      <c r="BE39" s="797" t="s">
        <v>9465</v>
      </c>
      <c r="BF39" s="797" t="s">
        <v>9466</v>
      </c>
      <c r="BG39" s="797" t="s">
        <v>9467</v>
      </c>
      <c r="BH39" s="1072" t="s">
        <v>9468</v>
      </c>
      <c r="BI39" s="1072" t="s">
        <v>9469</v>
      </c>
      <c r="BJ39" s="1073" t="s">
        <v>9470</v>
      </c>
    </row>
    <row r="40" spans="1:62" ht="15.75" customHeight="1">
      <c r="A40" s="197"/>
      <c r="B40" s="1067" t="s">
        <v>64</v>
      </c>
      <c r="C40" s="354" t="s">
        <v>9215</v>
      </c>
      <c r="D40" s="286" t="s">
        <v>4215</v>
      </c>
      <c r="E40" s="286">
        <v>3</v>
      </c>
      <c r="F40" s="697">
        <v>0</v>
      </c>
      <c r="G40" s="697">
        <v>0</v>
      </c>
      <c r="H40" s="697">
        <v>0</v>
      </c>
      <c r="I40" s="697">
        <v>0</v>
      </c>
      <c r="J40" s="697">
        <v>0.34100000000000003</v>
      </c>
      <c r="K40" s="1597">
        <f>IFERROR(SUM(F40:J40), 0)</f>
        <v>0.34100000000000003</v>
      </c>
      <c r="L40" s="1655"/>
      <c r="M40" s="1660"/>
      <c r="N40" s="1660"/>
      <c r="O40" s="1660"/>
      <c r="P40" s="1660"/>
      <c r="Q40" s="1657"/>
      <c r="R40" s="1660"/>
      <c r="S40" s="1660"/>
      <c r="T40" s="1671"/>
      <c r="U40" s="197"/>
      <c r="V40" s="1071" t="s">
        <v>9471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9215</v>
      </c>
      <c r="AV40" s="697" t="s">
        <v>9472</v>
      </c>
      <c r="AW40" s="697" t="s">
        <v>9473</v>
      </c>
      <c r="AX40" s="697" t="s">
        <v>9474</v>
      </c>
      <c r="AY40" s="697" t="s">
        <v>9475</v>
      </c>
      <c r="AZ40" s="697" t="s">
        <v>9476</v>
      </c>
      <c r="BA40" s="677" t="s">
        <v>9477</v>
      </c>
      <c r="BB40" s="1074"/>
      <c r="BC40" s="1079"/>
      <c r="BD40" s="1079"/>
      <c r="BE40" s="1079"/>
      <c r="BF40" s="1079"/>
      <c r="BG40" s="1076"/>
      <c r="BH40" s="1079"/>
      <c r="BI40" s="1079"/>
      <c r="BJ40" s="1090"/>
    </row>
    <row r="41" spans="1:62" ht="15.75" customHeight="1">
      <c r="A41" s="197"/>
      <c r="B41" s="1067" t="s">
        <v>64</v>
      </c>
      <c r="C41" s="354" t="s">
        <v>9223</v>
      </c>
      <c r="D41" s="286" t="s">
        <v>4215</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9478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9223</v>
      </c>
      <c r="AV41" s="697" t="s">
        <v>9479</v>
      </c>
      <c r="AW41" s="697" t="s">
        <v>9480</v>
      </c>
      <c r="AX41" s="697" t="s">
        <v>9481</v>
      </c>
      <c r="AY41" s="697" t="s">
        <v>9482</v>
      </c>
      <c r="AZ41" s="697" t="s">
        <v>9483</v>
      </c>
      <c r="BA41" s="677" t="s">
        <v>9484</v>
      </c>
      <c r="BB41" s="1074"/>
      <c r="BC41" s="1079"/>
      <c r="BD41" s="1079"/>
      <c r="BE41" s="1079"/>
      <c r="BF41" s="1079"/>
      <c r="BG41" s="1076"/>
      <c r="BH41" s="1079"/>
      <c r="BI41" s="1079"/>
      <c r="BJ41" s="1090"/>
    </row>
    <row r="42" spans="1:62" ht="15.75" customHeight="1">
      <c r="A42" s="197"/>
      <c r="B42" s="1067" t="s">
        <v>64</v>
      </c>
      <c r="C42" s="354" t="s">
        <v>9231</v>
      </c>
      <c r="D42" s="286" t="s">
        <v>4215</v>
      </c>
      <c r="E42" s="286">
        <v>3</v>
      </c>
      <c r="F42" s="1597">
        <f>IFERROR(SUM(F40:F41), 0)</f>
        <v>0</v>
      </c>
      <c r="G42" s="1597">
        <f>IFERROR(SUM(G40:G41), 0)</f>
        <v>0</v>
      </c>
      <c r="H42" s="1597">
        <f>IFERROR(SUM(H40:H41), 0)</f>
        <v>0</v>
      </c>
      <c r="I42" s="1597">
        <f>IFERROR(SUM(I40:I41), 0)</f>
        <v>0</v>
      </c>
      <c r="J42" s="1597">
        <f>IFERROR(SUM(J40:J41), 0)</f>
        <v>0.34100000000000003</v>
      </c>
      <c r="K42" s="1597">
        <f>IFERROR(SUM(F42:J42), 0)</f>
        <v>0.34100000000000003</v>
      </c>
      <c r="L42" s="1655"/>
      <c r="M42" s="1660"/>
      <c r="N42" s="1660"/>
      <c r="O42" s="1660"/>
      <c r="P42" s="1660"/>
      <c r="Q42" s="1660"/>
      <c r="R42" s="697">
        <v>0.34699999999999998</v>
      </c>
      <c r="S42" s="697">
        <v>4.4690000000000003</v>
      </c>
      <c r="T42" s="698">
        <v>6.5380000000000003</v>
      </c>
      <c r="U42" s="197"/>
      <c r="V42" s="1071" t="s">
        <v>9485</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9231</v>
      </c>
      <c r="AV42" s="677" t="s">
        <v>9486</v>
      </c>
      <c r="AW42" s="677" t="s">
        <v>9487</v>
      </c>
      <c r="AX42" s="677" t="s">
        <v>9488</v>
      </c>
      <c r="AY42" s="677" t="s">
        <v>9489</v>
      </c>
      <c r="AZ42" s="677" t="s">
        <v>9490</v>
      </c>
      <c r="BA42" s="677" t="s">
        <v>9491</v>
      </c>
      <c r="BB42" s="1074"/>
      <c r="BC42" s="1079"/>
      <c r="BD42" s="1079"/>
      <c r="BE42" s="1079"/>
      <c r="BF42" s="1079"/>
      <c r="BG42" s="1079"/>
      <c r="BH42" s="1072" t="s">
        <v>9492</v>
      </c>
      <c r="BI42" s="1072" t="s">
        <v>9493</v>
      </c>
      <c r="BJ42" s="1073" t="s">
        <v>9494</v>
      </c>
    </row>
    <row r="43" spans="1:62" ht="32.25" customHeight="1">
      <c r="A43" s="197"/>
      <c r="B43" s="1067" t="s">
        <v>9495</v>
      </c>
      <c r="C43" s="354" t="s">
        <v>9215</v>
      </c>
      <c r="D43" s="286" t="s">
        <v>4215</v>
      </c>
      <c r="E43" s="286">
        <v>3</v>
      </c>
      <c r="F43" s="697">
        <v>0</v>
      </c>
      <c r="G43" s="697">
        <v>0.309</v>
      </c>
      <c r="H43" s="697">
        <v>0</v>
      </c>
      <c r="I43" s="697">
        <v>0</v>
      </c>
      <c r="J43" s="697">
        <v>0</v>
      </c>
      <c r="K43" s="1597">
        <f t="shared" si="62"/>
        <v>0.309</v>
      </c>
      <c r="L43" s="1655"/>
      <c r="M43" s="1660"/>
      <c r="N43" s="1660"/>
      <c r="O43" s="1660"/>
      <c r="P43" s="1660"/>
      <c r="Q43" s="1660"/>
      <c r="R43" s="1660"/>
      <c r="S43" s="1660"/>
      <c r="T43" s="1672"/>
      <c r="U43" s="197"/>
      <c r="V43" s="1071" t="s">
        <v>9496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9495</v>
      </c>
      <c r="AU43" s="354" t="s">
        <v>9215</v>
      </c>
      <c r="AV43" s="697" t="s">
        <v>9497</v>
      </c>
      <c r="AW43" s="697" t="s">
        <v>9498</v>
      </c>
      <c r="AX43" s="697" t="s">
        <v>9499</v>
      </c>
      <c r="AY43" s="697" t="s">
        <v>9500</v>
      </c>
      <c r="AZ43" s="697" t="s">
        <v>9501</v>
      </c>
      <c r="BA43" s="677" t="s">
        <v>9502</v>
      </c>
      <c r="BB43" s="1074"/>
      <c r="BC43" s="1079"/>
      <c r="BD43" s="1079"/>
      <c r="BE43" s="1079"/>
      <c r="BF43" s="1079"/>
      <c r="BG43" s="1079"/>
      <c r="BH43" s="1079"/>
      <c r="BI43" s="1079"/>
      <c r="BJ43" s="1091"/>
    </row>
    <row r="44" spans="1:62" ht="32.25" customHeight="1">
      <c r="A44" s="197"/>
      <c r="B44" s="1067" t="s">
        <v>9495</v>
      </c>
      <c r="C44" s="354" t="s">
        <v>9223</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9503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9495</v>
      </c>
      <c r="AU44" s="354" t="s">
        <v>9223</v>
      </c>
      <c r="AV44" s="697" t="s">
        <v>9504</v>
      </c>
      <c r="AW44" s="697" t="s">
        <v>9505</v>
      </c>
      <c r="AX44" s="697" t="s">
        <v>9506</v>
      </c>
      <c r="AY44" s="697" t="s">
        <v>9507</v>
      </c>
      <c r="AZ44" s="697" t="s">
        <v>9508</v>
      </c>
      <c r="BA44" s="677" t="s">
        <v>9509</v>
      </c>
      <c r="BB44" s="1074"/>
      <c r="BC44" s="1079"/>
      <c r="BD44" s="1079"/>
      <c r="BE44" s="1079"/>
      <c r="BF44" s="1079"/>
      <c r="BG44" s="1079"/>
      <c r="BH44" s="1079"/>
      <c r="BI44" s="1079"/>
      <c r="BJ44" s="1091"/>
    </row>
    <row r="45" spans="1:62" ht="32.25" customHeight="1">
      <c r="A45" s="197"/>
      <c r="B45" s="1067" t="s">
        <v>9495</v>
      </c>
      <c r="C45" s="354" t="s">
        <v>9231</v>
      </c>
      <c r="D45" s="286" t="s">
        <v>4215</v>
      </c>
      <c r="E45" s="286">
        <v>3</v>
      </c>
      <c r="F45" s="1597">
        <f>IFERROR(SUM(F43:F44), 0)</f>
        <v>0</v>
      </c>
      <c r="G45" s="1597">
        <f t="shared" ref="G45:J45" si="105">IFERROR(SUM(G43:G44), 0)</f>
        <v>0.309</v>
      </c>
      <c r="H45" s="1597">
        <f t="shared" si="105"/>
        <v>0</v>
      </c>
      <c r="I45" s="1597">
        <f t="shared" si="105"/>
        <v>0</v>
      </c>
      <c r="J45" s="1597">
        <f t="shared" si="105"/>
        <v>0</v>
      </c>
      <c r="K45" s="1597">
        <f t="shared" si="62"/>
        <v>0.309</v>
      </c>
      <c r="L45" s="1655"/>
      <c r="M45" s="1660"/>
      <c r="N45" s="1660"/>
      <c r="O45" s="1660"/>
      <c r="P45" s="1660"/>
      <c r="Q45" s="1660"/>
      <c r="R45" s="697">
        <v>0.247</v>
      </c>
      <c r="S45" s="697">
        <v>6.109</v>
      </c>
      <c r="T45" s="698">
        <v>8.9359999999999999</v>
      </c>
      <c r="U45" s="197"/>
      <c r="V45" s="1071" t="s">
        <v>9510</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9495</v>
      </c>
      <c r="AU45" s="354" t="s">
        <v>9231</v>
      </c>
      <c r="AV45" s="677" t="s">
        <v>9511</v>
      </c>
      <c r="AW45" s="677" t="s">
        <v>9512</v>
      </c>
      <c r="AX45" s="677" t="s">
        <v>9513</v>
      </c>
      <c r="AY45" s="677" t="s">
        <v>9514</v>
      </c>
      <c r="AZ45" s="677" t="s">
        <v>9515</v>
      </c>
      <c r="BA45" s="677" t="s">
        <v>9516</v>
      </c>
      <c r="BB45" s="1074"/>
      <c r="BC45" s="1079"/>
      <c r="BD45" s="1079"/>
      <c r="BE45" s="1079"/>
      <c r="BF45" s="1079"/>
      <c r="BG45" s="1079"/>
      <c r="BH45" s="1072" t="s">
        <v>9517</v>
      </c>
      <c r="BI45" s="1072" t="s">
        <v>9518</v>
      </c>
      <c r="BJ45" s="1073" t="s">
        <v>9519</v>
      </c>
    </row>
    <row r="46" spans="1:62" ht="15.75" customHeight="1">
      <c r="A46" s="197"/>
      <c r="B46" s="1067" t="s">
        <v>9520</v>
      </c>
      <c r="C46" s="354" t="s">
        <v>9215</v>
      </c>
      <c r="D46" s="286" t="s">
        <v>4215</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9521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9520</v>
      </c>
      <c r="AU46" s="354" t="s">
        <v>9215</v>
      </c>
      <c r="AV46" s="697" t="s">
        <v>9522</v>
      </c>
      <c r="AW46" s="697" t="s">
        <v>9523</v>
      </c>
      <c r="AX46" s="697" t="s">
        <v>9524</v>
      </c>
      <c r="AY46" s="697" t="s">
        <v>9525</v>
      </c>
      <c r="AZ46" s="697" t="s">
        <v>9526</v>
      </c>
      <c r="BA46" s="677" t="s">
        <v>9527</v>
      </c>
      <c r="BB46" s="1074"/>
      <c r="BC46" s="1079"/>
      <c r="BD46" s="1079"/>
      <c r="BE46" s="1079"/>
      <c r="BF46" s="1079"/>
      <c r="BG46" s="1079"/>
      <c r="BH46" s="1079"/>
      <c r="BI46" s="1079"/>
      <c r="BJ46" s="1091"/>
    </row>
    <row r="47" spans="1:62" ht="15.75" customHeight="1">
      <c r="A47" s="197"/>
      <c r="B47" s="1067" t="s">
        <v>9520</v>
      </c>
      <c r="C47" s="354" t="s">
        <v>9223</v>
      </c>
      <c r="D47" s="286" t="s">
        <v>4215</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9528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9520</v>
      </c>
      <c r="AU47" s="354" t="s">
        <v>9223</v>
      </c>
      <c r="AV47" s="697" t="s">
        <v>9529</v>
      </c>
      <c r="AW47" s="697" t="s">
        <v>9530</v>
      </c>
      <c r="AX47" s="697" t="s">
        <v>9531</v>
      </c>
      <c r="AY47" s="697" t="s">
        <v>9532</v>
      </c>
      <c r="AZ47" s="697" t="s">
        <v>9533</v>
      </c>
      <c r="BA47" s="677" t="s">
        <v>9534</v>
      </c>
      <c r="BB47" s="1074"/>
      <c r="BC47" s="1079"/>
      <c r="BD47" s="1079"/>
      <c r="BE47" s="1079"/>
      <c r="BF47" s="1079"/>
      <c r="BG47" s="1079"/>
      <c r="BH47" s="1079"/>
      <c r="BI47" s="1079"/>
      <c r="BJ47" s="1091"/>
    </row>
    <row r="48" spans="1:62" ht="15.75" customHeight="1">
      <c r="A48" s="197"/>
      <c r="B48" s="1067" t="s">
        <v>9520</v>
      </c>
      <c r="C48" s="354" t="s">
        <v>9231</v>
      </c>
      <c r="D48" s="286" t="s">
        <v>4215</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6.3E-2</v>
      </c>
      <c r="S48" s="697">
        <v>0</v>
      </c>
      <c r="T48" s="698">
        <v>0</v>
      </c>
      <c r="U48" s="197"/>
      <c r="V48" s="1071" t="s">
        <v>9535</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9520</v>
      </c>
      <c r="AU48" s="354" t="s">
        <v>9231</v>
      </c>
      <c r="AV48" s="677" t="s">
        <v>9536</v>
      </c>
      <c r="AW48" s="677" t="s">
        <v>9537</v>
      </c>
      <c r="AX48" s="677" t="s">
        <v>9538</v>
      </c>
      <c r="AY48" s="677" t="s">
        <v>9539</v>
      </c>
      <c r="AZ48" s="677" t="s">
        <v>9540</v>
      </c>
      <c r="BA48" s="677" t="s">
        <v>9541</v>
      </c>
      <c r="BB48" s="1074"/>
      <c r="BC48" s="1079"/>
      <c r="BD48" s="1079"/>
      <c r="BE48" s="1079"/>
      <c r="BF48" s="1079"/>
      <c r="BG48" s="1079"/>
      <c r="BH48" s="1072" t="s">
        <v>9542</v>
      </c>
      <c r="BI48" s="1072" t="s">
        <v>9543</v>
      </c>
      <c r="BJ48" s="1073" t="s">
        <v>9544</v>
      </c>
    </row>
    <row r="49" spans="1:62" ht="15.75" customHeight="1" thickBot="1">
      <c r="A49" s="197"/>
      <c r="B49" s="1080" t="s">
        <v>9545</v>
      </c>
      <c r="C49" s="1081" t="s">
        <v>9231</v>
      </c>
      <c r="D49" s="355" t="s">
        <v>4215</v>
      </c>
      <c r="E49" s="355">
        <v>3</v>
      </c>
      <c r="F49" s="1589">
        <f>IFERROR(SUM(F33,F36,F39,F42,F45,F48), 0)</f>
        <v>0.23699999999999999</v>
      </c>
      <c r="G49" s="1589">
        <f>IFERROR(SUM(G33,G36,G39,G42,G45,G48), 0)</f>
        <v>4.9450000000000003</v>
      </c>
      <c r="H49" s="1589">
        <f>IFERROR(SUM(H33,H36,H39,H42,H45,H48), 0)</f>
        <v>0</v>
      </c>
      <c r="I49" s="1589">
        <f>IFERROR(SUM(I33,I36,I39,I42,I45,I48), 0)</f>
        <v>5.8999999999999997E-2</v>
      </c>
      <c r="J49" s="1589">
        <f>IFERROR(SUM(J33,J36,J39,J42,J45,J48), 0)</f>
        <v>1.895</v>
      </c>
      <c r="K49" s="1589">
        <f t="shared" si="62"/>
        <v>7.136000000000001</v>
      </c>
      <c r="L49" s="1673"/>
      <c r="M49" s="1673"/>
      <c r="N49" s="1673"/>
      <c r="O49" s="1673"/>
      <c r="P49" s="1673"/>
      <c r="Q49" s="1662"/>
      <c r="R49" s="1589">
        <f>IFERROR(SUM(R48,R45,R42,R39,R36,R33), 0)</f>
        <v>14.419</v>
      </c>
      <c r="S49" s="1589">
        <f>IFERROR(SUM(S48,S45,S42,S39,S36,S33), 0)</f>
        <v>39.527999999999999</v>
      </c>
      <c r="T49" s="1665">
        <f>IFERROR(SUM(T48,T45,T42,T39,T36,T33), 0)</f>
        <v>57.821999999999996</v>
      </c>
      <c r="U49" s="197"/>
      <c r="V49" s="1085" t="s">
        <v>9546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9545</v>
      </c>
      <c r="AU49" s="1081" t="s">
        <v>9231</v>
      </c>
      <c r="AV49" s="679" t="s">
        <v>9547</v>
      </c>
      <c r="AW49" s="679" t="s">
        <v>9548</v>
      </c>
      <c r="AX49" s="679" t="s">
        <v>9549</v>
      </c>
      <c r="AY49" s="679" t="s">
        <v>9550</v>
      </c>
      <c r="AZ49" s="679" t="s">
        <v>9551</v>
      </c>
      <c r="BA49" s="679" t="s">
        <v>9552</v>
      </c>
      <c r="BB49" s="413"/>
      <c r="BC49" s="413"/>
      <c r="BD49" s="413"/>
      <c r="BE49" s="413"/>
      <c r="BF49" s="413"/>
      <c r="BG49" s="1083"/>
      <c r="BH49" s="679" t="s">
        <v>9553</v>
      </c>
      <c r="BI49" s="679" t="s">
        <v>9554</v>
      </c>
      <c r="BJ49" s="807" t="s">
        <v>9555</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9556</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9556</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9557</v>
      </c>
      <c r="C52" s="1063" t="s">
        <v>9215</v>
      </c>
      <c r="D52" s="277" t="s">
        <v>4215</v>
      </c>
      <c r="E52" s="277">
        <v>3</v>
      </c>
      <c r="F52" s="1092"/>
      <c r="G52" s="1092"/>
      <c r="H52" s="1092"/>
      <c r="I52" s="1092"/>
      <c r="J52" s="694">
        <v>5.0519999999999996</v>
      </c>
      <c r="K52" s="1595">
        <f t="shared" ref="K52:K76" si="117">SUM(J52)</f>
        <v>5.0519999999999996</v>
      </c>
      <c r="L52" s="1674"/>
      <c r="M52" s="1675"/>
      <c r="N52" s="1675"/>
      <c r="O52" s="1675"/>
      <c r="P52" s="1675"/>
      <c r="Q52" s="1668"/>
      <c r="R52" s="1675"/>
      <c r="S52" s="1675"/>
      <c r="T52" s="1676"/>
      <c r="U52" s="197"/>
      <c r="V52" s="1066" t="s">
        <v>9558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9557</v>
      </c>
      <c r="AU52" s="1063" t="s">
        <v>9215</v>
      </c>
      <c r="AV52" s="1092"/>
      <c r="AW52" s="1092"/>
      <c r="AX52" s="1092"/>
      <c r="AY52" s="1092"/>
      <c r="AZ52" s="694" t="s">
        <v>9559</v>
      </c>
      <c r="BA52" s="675" t="s">
        <v>9560</v>
      </c>
      <c r="BB52" s="1093"/>
      <c r="BC52" s="1094"/>
      <c r="BD52" s="1094"/>
      <c r="BE52" s="1094"/>
      <c r="BF52" s="1094"/>
      <c r="BG52" s="1088"/>
      <c r="BH52" s="1094"/>
      <c r="BI52" s="1094"/>
      <c r="BJ52" s="1095"/>
    </row>
    <row r="53" spans="1:62" ht="15.75" customHeight="1">
      <c r="A53" s="197"/>
      <c r="B53" s="1067" t="s">
        <v>9557</v>
      </c>
      <c r="C53" s="354" t="s">
        <v>9223</v>
      </c>
      <c r="D53" s="286" t="s">
        <v>4215</v>
      </c>
      <c r="E53" s="286">
        <v>3</v>
      </c>
      <c r="F53" s="1096"/>
      <c r="G53" s="1096"/>
      <c r="H53" s="1096"/>
      <c r="I53" s="1096"/>
      <c r="J53" s="697">
        <v>0</v>
      </c>
      <c r="K53" s="1597">
        <f t="shared" si="117"/>
        <v>0</v>
      </c>
      <c r="L53" s="1655"/>
      <c r="M53" s="1657"/>
      <c r="N53" s="1657"/>
      <c r="O53" s="1657"/>
      <c r="P53" s="1657"/>
      <c r="Q53" s="1660"/>
      <c r="R53" s="1657"/>
      <c r="S53" s="1657"/>
      <c r="T53" s="1672"/>
      <c r="U53" s="197"/>
      <c r="V53" s="1071" t="s">
        <v>9561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9557</v>
      </c>
      <c r="AU53" s="354" t="s">
        <v>9223</v>
      </c>
      <c r="AV53" s="1096"/>
      <c r="AW53" s="1096"/>
      <c r="AX53" s="1096"/>
      <c r="AY53" s="1096"/>
      <c r="AZ53" s="697" t="s">
        <v>9562</v>
      </c>
      <c r="BA53" s="677" t="s">
        <v>9563</v>
      </c>
      <c r="BB53" s="1074"/>
      <c r="BC53" s="1076"/>
      <c r="BD53" s="1076"/>
      <c r="BE53" s="1076"/>
      <c r="BF53" s="1076"/>
      <c r="BG53" s="1079"/>
      <c r="BH53" s="1076"/>
      <c r="BI53" s="1076"/>
      <c r="BJ53" s="1091"/>
    </row>
    <row r="54" spans="1:62" ht="15.75" customHeight="1">
      <c r="A54" s="197"/>
      <c r="B54" s="1067" t="s">
        <v>9557</v>
      </c>
      <c r="C54" s="354" t="s">
        <v>9231</v>
      </c>
      <c r="D54" s="286" t="s">
        <v>4215</v>
      </c>
      <c r="E54" s="286">
        <v>3</v>
      </c>
      <c r="F54" s="1677"/>
      <c r="G54" s="1677"/>
      <c r="H54" s="1677"/>
      <c r="I54" s="1677"/>
      <c r="J54" s="1597">
        <f>IFERROR(SUM(J52:J53), 0)</f>
        <v>5.0519999999999996</v>
      </c>
      <c r="K54" s="1597">
        <f t="shared" si="117"/>
        <v>5.0519999999999996</v>
      </c>
      <c r="L54" s="1655"/>
      <c r="M54" s="1657"/>
      <c r="N54" s="1657"/>
      <c r="O54" s="1657"/>
      <c r="P54" s="1657"/>
      <c r="Q54" s="1660"/>
      <c r="R54" s="1660"/>
      <c r="S54" s="1660"/>
      <c r="T54" s="1672"/>
      <c r="U54" s="197"/>
      <c r="V54" s="1071" t="s">
        <v>9564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9557</v>
      </c>
      <c r="AU54" s="354" t="s">
        <v>9231</v>
      </c>
      <c r="AV54" s="1097"/>
      <c r="AW54" s="1097"/>
      <c r="AX54" s="1097"/>
      <c r="AY54" s="1097"/>
      <c r="AZ54" s="677" t="s">
        <v>9565</v>
      </c>
      <c r="BA54" s="677" t="s">
        <v>9566</v>
      </c>
      <c r="BB54" s="1074"/>
      <c r="BC54" s="1076"/>
      <c r="BD54" s="1076"/>
      <c r="BE54" s="1076"/>
      <c r="BF54" s="1076"/>
      <c r="BG54" s="1079"/>
      <c r="BH54" s="1079"/>
      <c r="BI54" s="1079"/>
      <c r="BJ54" s="1091"/>
    </row>
    <row r="55" spans="1:62" ht="32.25" customHeight="1">
      <c r="A55" s="197"/>
      <c r="B55" s="1067" t="s">
        <v>9567</v>
      </c>
      <c r="C55" s="354" t="s">
        <v>9215</v>
      </c>
      <c r="D55" s="286" t="s">
        <v>4215</v>
      </c>
      <c r="E55" s="286">
        <v>3</v>
      </c>
      <c r="F55" s="1096"/>
      <c r="G55" s="1096"/>
      <c r="H55" s="1096"/>
      <c r="I55" s="1096"/>
      <c r="J55" s="697">
        <v>0</v>
      </c>
      <c r="K55" s="1597">
        <f t="shared" si="117"/>
        <v>0</v>
      </c>
      <c r="L55" s="1655"/>
      <c r="M55" s="1660"/>
      <c r="N55" s="1660"/>
      <c r="O55" s="1660"/>
      <c r="P55" s="1660"/>
      <c r="Q55" s="1660"/>
      <c r="R55" s="1660"/>
      <c r="S55" s="1660"/>
      <c r="T55" s="1672"/>
      <c r="U55" s="197"/>
      <c r="V55" s="1071" t="s">
        <v>9568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9567</v>
      </c>
      <c r="AU55" s="354" t="s">
        <v>9215</v>
      </c>
      <c r="AV55" s="1096"/>
      <c r="AW55" s="1096"/>
      <c r="AX55" s="1096"/>
      <c r="AY55" s="1096"/>
      <c r="AZ55" s="697" t="s">
        <v>9569</v>
      </c>
      <c r="BA55" s="677" t="s">
        <v>9570</v>
      </c>
      <c r="BB55" s="1074"/>
      <c r="BC55" s="1079"/>
      <c r="BD55" s="1079"/>
      <c r="BE55" s="1079"/>
      <c r="BF55" s="1079"/>
      <c r="BG55" s="1079"/>
      <c r="BH55" s="1079"/>
      <c r="BI55" s="1079"/>
      <c r="BJ55" s="1091"/>
    </row>
    <row r="56" spans="1:62" ht="32.25" customHeight="1">
      <c r="A56" s="197"/>
      <c r="B56" s="1067" t="s">
        <v>9567</v>
      </c>
      <c r="C56" s="354" t="s">
        <v>9223</v>
      </c>
      <c r="D56" s="286" t="s">
        <v>4215</v>
      </c>
      <c r="E56" s="286">
        <v>3</v>
      </c>
      <c r="F56" s="1096"/>
      <c r="G56" s="1096"/>
      <c r="H56" s="1096"/>
      <c r="I56" s="1096"/>
      <c r="J56" s="697">
        <v>0</v>
      </c>
      <c r="K56" s="1597">
        <f t="shared" si="117"/>
        <v>0</v>
      </c>
      <c r="L56" s="1655"/>
      <c r="M56" s="1660"/>
      <c r="N56" s="1660"/>
      <c r="O56" s="1660"/>
      <c r="P56" s="1660"/>
      <c r="Q56" s="1660"/>
      <c r="R56" s="1660"/>
      <c r="S56" s="1660"/>
      <c r="T56" s="1672"/>
      <c r="U56" s="197"/>
      <c r="V56" s="1071" t="s">
        <v>9571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9567</v>
      </c>
      <c r="AU56" s="354" t="s">
        <v>9223</v>
      </c>
      <c r="AV56" s="1096"/>
      <c r="AW56" s="1096"/>
      <c r="AX56" s="1096"/>
      <c r="AY56" s="1096"/>
      <c r="AZ56" s="697" t="s">
        <v>9572</v>
      </c>
      <c r="BA56" s="677" t="s">
        <v>9573</v>
      </c>
      <c r="BB56" s="1074"/>
      <c r="BC56" s="1079"/>
      <c r="BD56" s="1079"/>
      <c r="BE56" s="1079"/>
      <c r="BF56" s="1079"/>
      <c r="BG56" s="1079"/>
      <c r="BH56" s="1079"/>
      <c r="BI56" s="1079"/>
      <c r="BJ56" s="1091"/>
    </row>
    <row r="57" spans="1:62" ht="32.25" customHeight="1">
      <c r="A57" s="197"/>
      <c r="B57" s="1067" t="s">
        <v>9567</v>
      </c>
      <c r="C57" s="354" t="s">
        <v>9231</v>
      </c>
      <c r="D57" s="286" t="s">
        <v>4215</v>
      </c>
      <c r="E57" s="286">
        <v>3</v>
      </c>
      <c r="F57" s="1677"/>
      <c r="G57" s="1677"/>
      <c r="H57" s="1677"/>
      <c r="I57" s="1677"/>
      <c r="J57" s="1597">
        <f>IFERROR(SUM(J55:J56), 0)</f>
        <v>0</v>
      </c>
      <c r="K57" s="1597">
        <f t="shared" si="117"/>
        <v>0</v>
      </c>
      <c r="L57" s="1655"/>
      <c r="M57" s="1660"/>
      <c r="N57" s="1660"/>
      <c r="O57" s="1660"/>
      <c r="P57" s="1660"/>
      <c r="Q57" s="1660"/>
      <c r="R57" s="1660"/>
      <c r="S57" s="1660"/>
      <c r="T57" s="1672"/>
      <c r="U57" s="197"/>
      <c r="V57" s="1071" t="s">
        <v>9574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9567</v>
      </c>
      <c r="AU57" s="354" t="s">
        <v>9231</v>
      </c>
      <c r="AV57" s="1097"/>
      <c r="AW57" s="1097"/>
      <c r="AX57" s="1097"/>
      <c r="AY57" s="1097"/>
      <c r="AZ57" s="677" t="s">
        <v>9575</v>
      </c>
      <c r="BA57" s="677" t="s">
        <v>9576</v>
      </c>
      <c r="BB57" s="1074"/>
      <c r="BC57" s="1079"/>
      <c r="BD57" s="1079"/>
      <c r="BE57" s="1079"/>
      <c r="BF57" s="1079"/>
      <c r="BG57" s="1079"/>
      <c r="BH57" s="1079"/>
      <c r="BI57" s="1079"/>
      <c r="BJ57" s="1091"/>
    </row>
    <row r="58" spans="1:62" ht="15.75" customHeight="1">
      <c r="A58" s="197"/>
      <c r="B58" s="1067" t="s">
        <v>9577</v>
      </c>
      <c r="C58" s="354" t="s">
        <v>9215</v>
      </c>
      <c r="D58" s="286" t="s">
        <v>4215</v>
      </c>
      <c r="E58" s="286">
        <v>3</v>
      </c>
      <c r="F58" s="1096"/>
      <c r="G58" s="1096"/>
      <c r="H58" s="1096"/>
      <c r="I58" s="1096"/>
      <c r="J58" s="697">
        <v>2.1000000000000001E-2</v>
      </c>
      <c r="K58" s="1597">
        <f t="shared" si="117"/>
        <v>2.1000000000000001E-2</v>
      </c>
      <c r="L58" s="1655"/>
      <c r="M58" s="1660"/>
      <c r="N58" s="1660"/>
      <c r="O58" s="1660"/>
      <c r="P58" s="1660"/>
      <c r="Q58" s="1660"/>
      <c r="R58" s="1660"/>
      <c r="S58" s="1660"/>
      <c r="T58" s="1672"/>
      <c r="U58" s="197"/>
      <c r="V58" s="1071" t="s">
        <v>9578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9577</v>
      </c>
      <c r="AU58" s="354" t="s">
        <v>9215</v>
      </c>
      <c r="AV58" s="1096"/>
      <c r="AW58" s="1096"/>
      <c r="AX58" s="1096"/>
      <c r="AY58" s="1096"/>
      <c r="AZ58" s="697" t="s">
        <v>9579</v>
      </c>
      <c r="BA58" s="677" t="s">
        <v>9580</v>
      </c>
      <c r="BB58" s="1074"/>
      <c r="BC58" s="1079"/>
      <c r="BD58" s="1079"/>
      <c r="BE58" s="1079"/>
      <c r="BF58" s="1079"/>
      <c r="BG58" s="1079"/>
      <c r="BH58" s="1079"/>
      <c r="BI58" s="1079"/>
      <c r="BJ58" s="1091"/>
    </row>
    <row r="59" spans="1:62" ht="15.75" customHeight="1">
      <c r="A59" s="197"/>
      <c r="B59" s="1067" t="s">
        <v>9577</v>
      </c>
      <c r="C59" s="354" t="s">
        <v>9223</v>
      </c>
      <c r="D59" s="286" t="s">
        <v>4215</v>
      </c>
      <c r="E59" s="286">
        <v>3</v>
      </c>
      <c r="F59" s="1096"/>
      <c r="G59" s="1096"/>
      <c r="H59" s="1096"/>
      <c r="I59" s="1096"/>
      <c r="J59" s="697">
        <v>0</v>
      </c>
      <c r="K59" s="1597">
        <f t="shared" si="117"/>
        <v>0</v>
      </c>
      <c r="L59" s="1655"/>
      <c r="M59" s="1660"/>
      <c r="N59" s="1660"/>
      <c r="O59" s="1660"/>
      <c r="P59" s="1660"/>
      <c r="Q59" s="1660"/>
      <c r="R59" s="1660"/>
      <c r="S59" s="1660"/>
      <c r="T59" s="1672"/>
      <c r="U59" s="197"/>
      <c r="V59" s="1071" t="s">
        <v>9581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9577</v>
      </c>
      <c r="AU59" s="354" t="s">
        <v>9223</v>
      </c>
      <c r="AV59" s="1096"/>
      <c r="AW59" s="1096"/>
      <c r="AX59" s="1096"/>
      <c r="AY59" s="1096"/>
      <c r="AZ59" s="697" t="s">
        <v>9582</v>
      </c>
      <c r="BA59" s="677" t="s">
        <v>9583</v>
      </c>
      <c r="BB59" s="1074"/>
      <c r="BC59" s="1079"/>
      <c r="BD59" s="1079"/>
      <c r="BE59" s="1079"/>
      <c r="BF59" s="1079"/>
      <c r="BG59" s="1079"/>
      <c r="BH59" s="1079"/>
      <c r="BI59" s="1079"/>
      <c r="BJ59" s="1091"/>
    </row>
    <row r="60" spans="1:62" ht="15.75" customHeight="1">
      <c r="A60" s="197"/>
      <c r="B60" s="1098" t="s">
        <v>9577</v>
      </c>
      <c r="C60" s="354" t="s">
        <v>9231</v>
      </c>
      <c r="D60" s="286" t="s">
        <v>4215</v>
      </c>
      <c r="E60" s="286">
        <v>3</v>
      </c>
      <c r="F60" s="1677"/>
      <c r="G60" s="1677"/>
      <c r="H60" s="1677"/>
      <c r="I60" s="1677"/>
      <c r="J60" s="1597">
        <f>IFERROR(SUM(J58:J59), 0)</f>
        <v>2.1000000000000001E-2</v>
      </c>
      <c r="K60" s="1597">
        <f t="shared" si="117"/>
        <v>2.1000000000000001E-2</v>
      </c>
      <c r="L60" s="1655"/>
      <c r="M60" s="1660"/>
      <c r="N60" s="1660"/>
      <c r="O60" s="1660"/>
      <c r="P60" s="1660"/>
      <c r="Q60" s="1660"/>
      <c r="R60" s="1660"/>
      <c r="S60" s="1660"/>
      <c r="T60" s="1672"/>
      <c r="U60" s="197"/>
      <c r="V60" s="1071" t="s">
        <v>9584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9577</v>
      </c>
      <c r="AU60" s="354" t="s">
        <v>9231</v>
      </c>
      <c r="AV60" s="1097"/>
      <c r="AW60" s="1097"/>
      <c r="AX60" s="1097"/>
      <c r="AY60" s="1097"/>
      <c r="AZ60" s="677" t="s">
        <v>9585</v>
      </c>
      <c r="BA60" s="677" t="s">
        <v>9586</v>
      </c>
      <c r="BB60" s="1074"/>
      <c r="BC60" s="1079"/>
      <c r="BD60" s="1079"/>
      <c r="BE60" s="1079"/>
      <c r="BF60" s="1079"/>
      <c r="BG60" s="1079"/>
      <c r="BH60" s="1079"/>
      <c r="BI60" s="1079"/>
      <c r="BJ60" s="1091"/>
    </row>
    <row r="61" spans="1:62" ht="15.75" customHeight="1">
      <c r="A61" s="197"/>
      <c r="B61" s="1098" t="s">
        <v>9597</v>
      </c>
      <c r="C61" s="354" t="s">
        <v>9215</v>
      </c>
      <c r="D61" s="286" t="s">
        <v>4215</v>
      </c>
      <c r="E61" s="286">
        <v>3</v>
      </c>
      <c r="F61" s="1677"/>
      <c r="G61" s="1677"/>
      <c r="H61" s="1677"/>
      <c r="I61" s="1677"/>
      <c r="J61" s="697">
        <v>0.191</v>
      </c>
      <c r="K61" s="1597">
        <f t="shared" ref="K61:K69" si="122">SUM(J61)</f>
        <v>0.191</v>
      </c>
      <c r="L61" s="1655"/>
      <c r="M61" s="1660"/>
      <c r="N61" s="1660"/>
      <c r="O61" s="1660"/>
      <c r="P61" s="1660"/>
      <c r="Q61" s="1660"/>
      <c r="R61" s="1660"/>
      <c r="S61" s="1660"/>
      <c r="T61" s="1672"/>
      <c r="U61" s="197"/>
      <c r="V61" s="1071" t="s">
        <v>9587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9591</v>
      </c>
      <c r="AU61" s="354"/>
      <c r="AV61" s="1097"/>
      <c r="AW61" s="1097"/>
      <c r="AX61" s="1097"/>
      <c r="AY61" s="1097"/>
      <c r="AZ61" s="677" t="s">
        <v>17378</v>
      </c>
      <c r="BA61" s="677" t="s">
        <v>17379</v>
      </c>
      <c r="BB61" s="1074"/>
      <c r="BC61" s="1079"/>
      <c r="BD61" s="1079"/>
      <c r="BE61" s="1079"/>
      <c r="BF61" s="1079"/>
      <c r="BG61" s="1079"/>
      <c r="BH61" s="1079"/>
      <c r="BI61" s="1079"/>
      <c r="BJ61" s="1091"/>
    </row>
    <row r="62" spans="1:62" ht="15.75" customHeight="1">
      <c r="A62" s="197"/>
      <c r="B62" s="1098" t="s">
        <v>9597</v>
      </c>
      <c r="C62" s="354" t="s">
        <v>9223</v>
      </c>
      <c r="D62" s="286" t="s">
        <v>4215</v>
      </c>
      <c r="E62" s="286">
        <v>3</v>
      </c>
      <c r="F62" s="1677"/>
      <c r="G62" s="1677"/>
      <c r="H62" s="1677"/>
      <c r="I62" s="1677"/>
      <c r="J62" s="697">
        <v>0</v>
      </c>
      <c r="K62" s="1597">
        <f t="shared" si="122"/>
        <v>0</v>
      </c>
      <c r="L62" s="1655"/>
      <c r="M62" s="1660"/>
      <c r="N62" s="1660"/>
      <c r="O62" s="1660"/>
      <c r="P62" s="1660"/>
      <c r="Q62" s="1660"/>
      <c r="R62" s="1660"/>
      <c r="S62" s="1660"/>
      <c r="T62" s="1672"/>
      <c r="U62" s="197"/>
      <c r="V62" s="1071" t="s">
        <v>9590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9591</v>
      </c>
      <c r="AU62" s="354"/>
      <c r="AV62" s="1097"/>
      <c r="AW62" s="1097"/>
      <c r="AX62" s="1097"/>
      <c r="AY62" s="1097"/>
      <c r="AZ62" s="677" t="s">
        <v>17384</v>
      </c>
      <c r="BA62" s="677" t="s">
        <v>17385</v>
      </c>
      <c r="BB62" s="1074"/>
      <c r="BC62" s="1079"/>
      <c r="BD62" s="1079"/>
      <c r="BE62" s="1079"/>
      <c r="BF62" s="1079"/>
      <c r="BG62" s="1079"/>
      <c r="BH62" s="1079"/>
      <c r="BI62" s="1079"/>
      <c r="BJ62" s="1091"/>
    </row>
    <row r="63" spans="1:62" ht="15.75" customHeight="1">
      <c r="A63" s="197"/>
      <c r="B63" s="1098" t="s">
        <v>9597</v>
      </c>
      <c r="C63" s="354" t="s">
        <v>9231</v>
      </c>
      <c r="D63" s="286" t="s">
        <v>4215</v>
      </c>
      <c r="E63" s="286">
        <v>3</v>
      </c>
      <c r="F63" s="1677"/>
      <c r="G63" s="1677"/>
      <c r="H63" s="1677"/>
      <c r="I63" s="1677"/>
      <c r="J63" s="1597">
        <f>IFERROR(SUM(J61:J62), 0)</f>
        <v>0.191</v>
      </c>
      <c r="K63" s="1597">
        <f t="shared" si="122"/>
        <v>0.191</v>
      </c>
      <c r="L63" s="1655"/>
      <c r="M63" s="1660"/>
      <c r="N63" s="1660"/>
      <c r="O63" s="1660"/>
      <c r="P63" s="1660"/>
      <c r="Q63" s="1660"/>
      <c r="R63" s="1660"/>
      <c r="S63" s="1660"/>
      <c r="T63" s="1672"/>
      <c r="U63" s="197"/>
      <c r="V63" s="1071" t="s">
        <v>9594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9591</v>
      </c>
      <c r="AU63" s="354"/>
      <c r="AV63" s="1097"/>
      <c r="AW63" s="1097"/>
      <c r="AX63" s="1097"/>
      <c r="AY63" s="1097"/>
      <c r="AZ63" s="677" t="s">
        <v>17449</v>
      </c>
      <c r="BA63" s="677" t="s">
        <v>17450</v>
      </c>
      <c r="BB63" s="1074"/>
      <c r="BC63" s="1079"/>
      <c r="BD63" s="1079"/>
      <c r="BE63" s="1079"/>
      <c r="BF63" s="1079"/>
      <c r="BG63" s="1079"/>
      <c r="BH63" s="1079"/>
      <c r="BI63" s="1079"/>
      <c r="BJ63" s="1091"/>
    </row>
    <row r="64" spans="1:62" ht="15.75" customHeight="1">
      <c r="A64" s="197"/>
      <c r="B64" s="1098" t="s">
        <v>9598</v>
      </c>
      <c r="C64" s="354" t="s">
        <v>9215</v>
      </c>
      <c r="D64" s="286" t="s">
        <v>4215</v>
      </c>
      <c r="E64" s="286">
        <v>3</v>
      </c>
      <c r="F64" s="1677"/>
      <c r="G64" s="1677"/>
      <c r="H64" s="1677"/>
      <c r="I64" s="1677"/>
      <c r="J64" s="697">
        <v>0</v>
      </c>
      <c r="K64" s="1597">
        <f t="shared" si="122"/>
        <v>0</v>
      </c>
      <c r="L64" s="1655"/>
      <c r="M64" s="1660"/>
      <c r="N64" s="1660"/>
      <c r="O64" s="1660"/>
      <c r="P64" s="1660"/>
      <c r="Q64" s="1660"/>
      <c r="R64" s="1660"/>
      <c r="S64" s="1660"/>
      <c r="T64" s="1672"/>
      <c r="U64" s="197"/>
      <c r="V64" s="1071" t="s">
        <v>9599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9591</v>
      </c>
      <c r="AU64" s="354"/>
      <c r="AV64" s="1097"/>
      <c r="AW64" s="1097"/>
      <c r="AX64" s="1097"/>
      <c r="AY64" s="1097"/>
      <c r="AZ64" s="677" t="s">
        <v>17451</v>
      </c>
      <c r="BA64" s="677" t="s">
        <v>17452</v>
      </c>
      <c r="BB64" s="1074"/>
      <c r="BC64" s="1079"/>
      <c r="BD64" s="1079"/>
      <c r="BE64" s="1079"/>
      <c r="BF64" s="1079"/>
      <c r="BG64" s="1079"/>
      <c r="BH64" s="1079"/>
      <c r="BI64" s="1079"/>
      <c r="BJ64" s="1091"/>
    </row>
    <row r="65" spans="1:62" ht="15.75" customHeight="1">
      <c r="A65" s="197"/>
      <c r="B65" s="1098" t="s">
        <v>9598</v>
      </c>
      <c r="C65" s="354" t="s">
        <v>9223</v>
      </c>
      <c r="D65" s="286" t="s">
        <v>4215</v>
      </c>
      <c r="E65" s="286">
        <v>3</v>
      </c>
      <c r="F65" s="1677"/>
      <c r="G65" s="1677"/>
      <c r="H65" s="1677"/>
      <c r="I65" s="1677"/>
      <c r="J65" s="697">
        <v>0</v>
      </c>
      <c r="K65" s="1597">
        <f t="shared" si="122"/>
        <v>0</v>
      </c>
      <c r="L65" s="1655"/>
      <c r="M65" s="1660"/>
      <c r="N65" s="1660"/>
      <c r="O65" s="1660"/>
      <c r="P65" s="1660"/>
      <c r="Q65" s="1660"/>
      <c r="R65" s="1660"/>
      <c r="S65" s="1660"/>
      <c r="T65" s="1672"/>
      <c r="U65" s="197"/>
      <c r="V65" s="1071" t="s">
        <v>9600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9591</v>
      </c>
      <c r="AU65" s="354"/>
      <c r="AV65" s="1097"/>
      <c r="AW65" s="1097"/>
      <c r="AX65" s="1097"/>
      <c r="AY65" s="1097"/>
      <c r="AZ65" s="677" t="s">
        <v>17453</v>
      </c>
      <c r="BA65" s="677" t="s">
        <v>17454</v>
      </c>
      <c r="BB65" s="1074"/>
      <c r="BC65" s="1079"/>
      <c r="BD65" s="1079"/>
      <c r="BE65" s="1079"/>
      <c r="BF65" s="1079"/>
      <c r="BG65" s="1079"/>
      <c r="BH65" s="1079"/>
      <c r="BI65" s="1079"/>
      <c r="BJ65" s="1091"/>
    </row>
    <row r="66" spans="1:62" ht="15.75" customHeight="1">
      <c r="A66" s="197"/>
      <c r="B66" s="1098" t="s">
        <v>9598</v>
      </c>
      <c r="C66" s="354" t="s">
        <v>9231</v>
      </c>
      <c r="D66" s="286" t="s">
        <v>4215</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9601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9591</v>
      </c>
      <c r="AU66" s="354"/>
      <c r="AV66" s="1097"/>
      <c r="AW66" s="1097"/>
      <c r="AX66" s="1097"/>
      <c r="AY66" s="1097"/>
      <c r="AZ66" s="677" t="s">
        <v>17455</v>
      </c>
      <c r="BA66" s="677" t="s">
        <v>17456</v>
      </c>
      <c r="BB66" s="1074"/>
      <c r="BC66" s="1079"/>
      <c r="BD66" s="1079"/>
      <c r="BE66" s="1079"/>
      <c r="BF66" s="1079"/>
      <c r="BG66" s="1079"/>
      <c r="BH66" s="1079"/>
      <c r="BI66" s="1079"/>
      <c r="BJ66" s="1091"/>
    </row>
    <row r="67" spans="1:62" ht="15.75" customHeight="1">
      <c r="A67" s="197"/>
      <c r="B67" s="1098" t="s">
        <v>9602</v>
      </c>
      <c r="C67" s="354" t="s">
        <v>9215</v>
      </c>
      <c r="D67" s="286" t="s">
        <v>4215</v>
      </c>
      <c r="E67" s="286">
        <v>3</v>
      </c>
      <c r="F67" s="1096"/>
      <c r="G67" s="1096"/>
      <c r="H67" s="1096"/>
      <c r="I67" s="1677"/>
      <c r="J67" s="697">
        <v>5.3999999999999999E-2</v>
      </c>
      <c r="K67" s="1597">
        <f t="shared" si="122"/>
        <v>5.3999999999999999E-2</v>
      </c>
      <c r="L67" s="1655"/>
      <c r="M67" s="1660"/>
      <c r="N67" s="1660"/>
      <c r="O67" s="1660"/>
      <c r="P67" s="1660"/>
      <c r="Q67" s="1660"/>
      <c r="R67" s="1660"/>
      <c r="S67" s="1660"/>
      <c r="T67" s="1672"/>
      <c r="U67" s="197"/>
      <c r="V67" s="1071" t="s">
        <v>9603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9215</v>
      </c>
      <c r="AV67" s="1096"/>
      <c r="AW67" s="1096"/>
      <c r="AX67" s="1096"/>
      <c r="AY67" s="1097"/>
      <c r="AZ67" s="697" t="s">
        <v>9588</v>
      </c>
      <c r="BA67" s="677" t="s">
        <v>9589</v>
      </c>
      <c r="BB67" s="1074"/>
      <c r="BC67" s="1079"/>
      <c r="BD67" s="1079"/>
      <c r="BE67" s="1079"/>
      <c r="BF67" s="1079"/>
      <c r="BG67" s="1079"/>
      <c r="BH67" s="1079"/>
      <c r="BI67" s="1079"/>
      <c r="BJ67" s="1091"/>
    </row>
    <row r="68" spans="1:62" ht="15.75" customHeight="1">
      <c r="A68" s="197"/>
      <c r="B68" s="1098" t="s">
        <v>9602</v>
      </c>
      <c r="C68" s="354" t="s">
        <v>9223</v>
      </c>
      <c r="D68" s="286" t="s">
        <v>4215</v>
      </c>
      <c r="E68" s="286">
        <v>3</v>
      </c>
      <c r="F68" s="1096"/>
      <c r="G68" s="1096"/>
      <c r="H68" s="1096"/>
      <c r="I68" s="1677"/>
      <c r="J68" s="697">
        <v>0</v>
      </c>
      <c r="K68" s="1597">
        <f t="shared" si="122"/>
        <v>0</v>
      </c>
      <c r="L68" s="1655"/>
      <c r="M68" s="1660"/>
      <c r="N68" s="1660"/>
      <c r="O68" s="1660"/>
      <c r="P68" s="1660"/>
      <c r="Q68" s="1660"/>
      <c r="R68" s="1660"/>
      <c r="S68" s="1660"/>
      <c r="T68" s="1672"/>
      <c r="U68" s="197"/>
      <c r="V68" s="1071" t="s">
        <v>9604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9591</v>
      </c>
      <c r="AU68" s="354" t="s">
        <v>9223</v>
      </c>
      <c r="AV68" s="1096"/>
      <c r="AW68" s="1096"/>
      <c r="AX68" s="1096"/>
      <c r="AY68" s="1097"/>
      <c r="AZ68" s="697" t="s">
        <v>9592</v>
      </c>
      <c r="BA68" s="677" t="s">
        <v>9593</v>
      </c>
      <c r="BB68" s="1074"/>
      <c r="BC68" s="1079"/>
      <c r="BD68" s="1079"/>
      <c r="BE68" s="1079"/>
      <c r="BF68" s="1079"/>
      <c r="BG68" s="1079"/>
      <c r="BH68" s="1079"/>
      <c r="BI68" s="1079"/>
      <c r="BJ68" s="1091"/>
    </row>
    <row r="69" spans="1:62" ht="15.75" customHeight="1">
      <c r="A69" s="197"/>
      <c r="B69" s="1098" t="s">
        <v>9602</v>
      </c>
      <c r="C69" s="354" t="s">
        <v>9231</v>
      </c>
      <c r="D69" s="286" t="s">
        <v>4215</v>
      </c>
      <c r="E69" s="286">
        <v>3</v>
      </c>
      <c r="F69" s="1677"/>
      <c r="G69" s="1677"/>
      <c r="H69" s="1677"/>
      <c r="I69" s="1677"/>
      <c r="J69" s="1597">
        <f>IFERROR(SUM(J67:J68), 0)</f>
        <v>5.3999999999999999E-2</v>
      </c>
      <c r="K69" s="1597">
        <f t="shared" si="122"/>
        <v>5.3999999999999999E-2</v>
      </c>
      <c r="L69" s="1655"/>
      <c r="M69" s="1660"/>
      <c r="N69" s="1660"/>
      <c r="O69" s="1660"/>
      <c r="P69" s="1660"/>
      <c r="Q69" s="1660"/>
      <c r="R69" s="1660"/>
      <c r="S69" s="1660"/>
      <c r="T69" s="1672"/>
      <c r="U69" s="197"/>
      <c r="V69" s="1071" t="s">
        <v>9605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9591</v>
      </c>
      <c r="AU69" s="354" t="s">
        <v>9231</v>
      </c>
      <c r="AV69" s="1097"/>
      <c r="AW69" s="1097"/>
      <c r="AX69" s="1097"/>
      <c r="AY69" s="1097"/>
      <c r="AZ69" s="677" t="s">
        <v>9595</v>
      </c>
      <c r="BA69" s="677" t="s">
        <v>9596</v>
      </c>
      <c r="BB69" s="1074"/>
      <c r="BC69" s="1079"/>
      <c r="BD69" s="1079"/>
      <c r="BE69" s="1079"/>
      <c r="BF69" s="1079"/>
      <c r="BG69" s="1079"/>
      <c r="BH69" s="1079"/>
      <c r="BI69" s="1079"/>
      <c r="BJ69" s="1091"/>
    </row>
    <row r="70" spans="1:62" ht="15.75" customHeight="1">
      <c r="A70" s="197"/>
      <c r="B70" s="1098" t="s">
        <v>9606</v>
      </c>
      <c r="C70" s="354" t="s">
        <v>9215</v>
      </c>
      <c r="D70" s="286" t="s">
        <v>4215</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9607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9591</v>
      </c>
      <c r="AU70" s="354"/>
      <c r="AV70" s="1097"/>
      <c r="AW70" s="1097"/>
      <c r="AX70" s="1097"/>
      <c r="AY70" s="1097"/>
      <c r="AZ70" s="677" t="s">
        <v>17411</v>
      </c>
      <c r="BA70" s="677" t="s">
        <v>17412</v>
      </c>
      <c r="BB70" s="1074"/>
      <c r="BC70" s="1079"/>
      <c r="BD70" s="1079"/>
      <c r="BE70" s="1079"/>
      <c r="BF70" s="1079"/>
      <c r="BG70" s="1079"/>
      <c r="BH70" s="1079"/>
      <c r="BI70" s="1079"/>
      <c r="BJ70" s="1091"/>
    </row>
    <row r="71" spans="1:62" ht="15.75" customHeight="1">
      <c r="A71" s="197"/>
      <c r="B71" s="1098" t="s">
        <v>9606</v>
      </c>
      <c r="C71" s="354" t="s">
        <v>9223</v>
      </c>
      <c r="D71" s="286" t="s">
        <v>4215</v>
      </c>
      <c r="E71" s="286">
        <v>3</v>
      </c>
      <c r="F71" s="1677"/>
      <c r="G71" s="1677"/>
      <c r="H71" s="1677"/>
      <c r="I71" s="1677"/>
      <c r="J71" s="697">
        <v>0</v>
      </c>
      <c r="K71" s="1597">
        <f t="shared" si="125"/>
        <v>0</v>
      </c>
      <c r="L71" s="1655"/>
      <c r="M71" s="1660"/>
      <c r="N71" s="1660"/>
      <c r="O71" s="1660"/>
      <c r="P71" s="1660"/>
      <c r="Q71" s="1660"/>
      <c r="R71" s="1660"/>
      <c r="S71" s="1660"/>
      <c r="T71" s="1672"/>
      <c r="U71" s="197"/>
      <c r="V71" s="1071" t="s">
        <v>9608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9591</v>
      </c>
      <c r="AU71" s="354"/>
      <c r="AV71" s="1097"/>
      <c r="AW71" s="1097"/>
      <c r="AX71" s="1097"/>
      <c r="AY71" s="1097"/>
      <c r="AZ71" s="677" t="s">
        <v>17417</v>
      </c>
      <c r="BA71" s="677" t="s">
        <v>17418</v>
      </c>
      <c r="BB71" s="1074"/>
      <c r="BC71" s="1079"/>
      <c r="BD71" s="1079"/>
      <c r="BE71" s="1079"/>
      <c r="BF71" s="1079"/>
      <c r="BG71" s="1079"/>
      <c r="BH71" s="1079"/>
      <c r="BI71" s="1079"/>
      <c r="BJ71" s="1091"/>
    </row>
    <row r="72" spans="1:62" ht="15.75" customHeight="1">
      <c r="A72" s="197"/>
      <c r="B72" s="1098" t="s">
        <v>9606</v>
      </c>
      <c r="C72" s="354" t="s">
        <v>9231</v>
      </c>
      <c r="D72" s="286" t="s">
        <v>4215</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9609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9591</v>
      </c>
      <c r="AU72" s="354"/>
      <c r="AV72" s="1097"/>
      <c r="AW72" s="1097"/>
      <c r="AX72" s="1097"/>
      <c r="AY72" s="1097"/>
      <c r="AZ72" s="677" t="s">
        <v>17423</v>
      </c>
      <c r="BA72" s="677" t="s">
        <v>17424</v>
      </c>
      <c r="BB72" s="1074"/>
      <c r="BC72" s="1079"/>
      <c r="BD72" s="1079"/>
      <c r="BE72" s="1079"/>
      <c r="BF72" s="1079"/>
      <c r="BG72" s="1079"/>
      <c r="BH72" s="1079"/>
      <c r="BI72" s="1079"/>
      <c r="BJ72" s="1091"/>
    </row>
    <row r="73" spans="1:62" ht="15.75" customHeight="1">
      <c r="A73" s="197"/>
      <c r="B73" s="1098" t="s">
        <v>9610</v>
      </c>
      <c r="C73" s="354" t="s">
        <v>9215</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9611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9610</v>
      </c>
      <c r="AU73" s="354" t="s">
        <v>9215</v>
      </c>
      <c r="AV73" s="1096"/>
      <c r="AW73" s="1096"/>
      <c r="AX73" s="1096"/>
      <c r="AY73" s="1097"/>
      <c r="AZ73" s="697" t="s">
        <v>9612</v>
      </c>
      <c r="BA73" s="677" t="s">
        <v>9613</v>
      </c>
      <c r="BB73" s="1074"/>
      <c r="BC73" s="1079"/>
      <c r="BD73" s="1079"/>
      <c r="BE73" s="1079"/>
      <c r="BF73" s="1079"/>
      <c r="BG73" s="1079"/>
      <c r="BH73" s="1079"/>
      <c r="BI73" s="1079"/>
      <c r="BJ73" s="1091"/>
    </row>
    <row r="74" spans="1:62" ht="15.75" customHeight="1">
      <c r="A74" s="197"/>
      <c r="B74" s="1098" t="s">
        <v>9610</v>
      </c>
      <c r="C74" s="354" t="s">
        <v>9223</v>
      </c>
      <c r="D74" s="286" t="s">
        <v>4215</v>
      </c>
      <c r="E74" s="286">
        <v>3</v>
      </c>
      <c r="F74" s="1096"/>
      <c r="G74" s="1096"/>
      <c r="H74" s="1096"/>
      <c r="I74" s="1677"/>
      <c r="J74" s="697">
        <v>0</v>
      </c>
      <c r="K74" s="1597">
        <f t="shared" si="117"/>
        <v>0</v>
      </c>
      <c r="L74" s="1655"/>
      <c r="M74" s="1660"/>
      <c r="N74" s="1660"/>
      <c r="O74" s="1660"/>
      <c r="P74" s="1660"/>
      <c r="Q74" s="1660"/>
      <c r="R74" s="1660"/>
      <c r="S74" s="1660"/>
      <c r="T74" s="1672"/>
      <c r="U74" s="197"/>
      <c r="V74" s="1071" t="s">
        <v>9614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9610</v>
      </c>
      <c r="AU74" s="354" t="s">
        <v>9223</v>
      </c>
      <c r="AV74" s="1096"/>
      <c r="AW74" s="1096"/>
      <c r="AX74" s="1096"/>
      <c r="AY74" s="1097"/>
      <c r="AZ74" s="697" t="s">
        <v>9615</v>
      </c>
      <c r="BA74" s="677" t="s">
        <v>9616</v>
      </c>
      <c r="BB74" s="1074"/>
      <c r="BC74" s="1079"/>
      <c r="BD74" s="1079"/>
      <c r="BE74" s="1079"/>
      <c r="BF74" s="1079"/>
      <c r="BG74" s="1079"/>
      <c r="BH74" s="1079"/>
      <c r="BI74" s="1079"/>
      <c r="BJ74" s="1091"/>
    </row>
    <row r="75" spans="1:62" ht="15.75" customHeight="1">
      <c r="A75" s="197"/>
      <c r="B75" s="1098" t="s">
        <v>9610</v>
      </c>
      <c r="C75" s="354" t="s">
        <v>9231</v>
      </c>
      <c r="D75" s="286" t="s">
        <v>4215</v>
      </c>
      <c r="E75" s="286">
        <v>3</v>
      </c>
      <c r="F75" s="1677"/>
      <c r="G75" s="1677"/>
      <c r="H75" s="1677"/>
      <c r="I75" s="1677"/>
      <c r="J75" s="1597">
        <f>IFERROR(SUM(J73:J74), 0)</f>
        <v>0</v>
      </c>
      <c r="K75" s="1597">
        <f t="shared" si="117"/>
        <v>0</v>
      </c>
      <c r="L75" s="1655"/>
      <c r="M75" s="1660"/>
      <c r="N75" s="1660"/>
      <c r="O75" s="1660"/>
      <c r="P75" s="1660"/>
      <c r="Q75" s="1660"/>
      <c r="R75" s="1660"/>
      <c r="S75" s="1660"/>
      <c r="T75" s="1672"/>
      <c r="U75" s="197"/>
      <c r="V75" s="1071" t="s">
        <v>9617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9610</v>
      </c>
      <c r="AU75" s="354" t="s">
        <v>9231</v>
      </c>
      <c r="AV75" s="1097"/>
      <c r="AW75" s="1097"/>
      <c r="AX75" s="1097"/>
      <c r="AY75" s="1097"/>
      <c r="AZ75" s="677" t="s">
        <v>9618</v>
      </c>
      <c r="BA75" s="677" t="s">
        <v>9619</v>
      </c>
      <c r="BB75" s="1074"/>
      <c r="BC75" s="1079"/>
      <c r="BD75" s="1079"/>
      <c r="BE75" s="1079"/>
      <c r="BF75" s="1079"/>
      <c r="BG75" s="1079"/>
      <c r="BH75" s="1079"/>
      <c r="BI75" s="1079"/>
      <c r="BJ75" s="1091"/>
    </row>
    <row r="76" spans="1:62" ht="15.75" customHeight="1" thickBot="1">
      <c r="A76" s="197"/>
      <c r="B76" s="1080" t="s">
        <v>9620</v>
      </c>
      <c r="C76" s="1081" t="s">
        <v>9231</v>
      </c>
      <c r="D76" s="355" t="s">
        <v>4215</v>
      </c>
      <c r="E76" s="355">
        <v>3</v>
      </c>
      <c r="F76" s="1678"/>
      <c r="G76" s="1678"/>
      <c r="H76" s="1678"/>
      <c r="I76" s="1678"/>
      <c r="J76" s="1589">
        <f>IFERROR(SUM(J75,J60,J57,J54,J63,J66,J69,J72,),0)</f>
        <v>5.3179999999999996</v>
      </c>
      <c r="K76" s="1589">
        <f t="shared" si="117"/>
        <v>5.3179999999999996</v>
      </c>
      <c r="L76" s="1661"/>
      <c r="M76" s="1662"/>
      <c r="N76" s="1662"/>
      <c r="O76" s="1662"/>
      <c r="P76" s="1662"/>
      <c r="Q76" s="1662"/>
      <c r="R76" s="2095">
        <v>9.7669999999999995</v>
      </c>
      <c r="S76" s="2095">
        <v>12.694000000000001</v>
      </c>
      <c r="T76" s="2096">
        <v>20.456</v>
      </c>
      <c r="U76" s="197"/>
      <c r="V76" s="1085" t="s">
        <v>9621</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9620</v>
      </c>
      <c r="AU76" s="1081" t="s">
        <v>9231</v>
      </c>
      <c r="AV76" s="1099"/>
      <c r="AW76" s="1099"/>
      <c r="AX76" s="1099"/>
      <c r="AY76" s="1099"/>
      <c r="AZ76" s="679" t="s">
        <v>9622</v>
      </c>
      <c r="BA76" s="679" t="s">
        <v>9623</v>
      </c>
      <c r="BB76" s="1082"/>
      <c r="BC76" s="1083"/>
      <c r="BD76" s="1083"/>
      <c r="BE76" s="1083"/>
      <c r="BF76" s="1083"/>
      <c r="BG76" s="1083"/>
      <c r="BH76" s="1100" t="s">
        <v>9624</v>
      </c>
      <c r="BI76" s="1100" t="s">
        <v>9625</v>
      </c>
      <c r="BJ76" s="1101" t="s">
        <v>9626</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9627</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9627</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9628</v>
      </c>
      <c r="C79" s="1063" t="s">
        <v>9215</v>
      </c>
      <c r="D79" s="277" t="s">
        <v>4215</v>
      </c>
      <c r="E79" s="277">
        <v>3</v>
      </c>
      <c r="F79" s="694">
        <v>0</v>
      </c>
      <c r="G79" s="694">
        <v>0</v>
      </c>
      <c r="H79" s="694">
        <v>0</v>
      </c>
      <c r="I79" s="694">
        <v>1.1719999999999999</v>
      </c>
      <c r="J79" s="694">
        <v>8.4760000000000009</v>
      </c>
      <c r="K79" s="1595">
        <f>IFERROR(SUM(F79:J79), 0)</f>
        <v>9.6480000000000015</v>
      </c>
      <c r="L79" s="1679"/>
      <c r="M79" s="1668"/>
      <c r="N79" s="1668"/>
      <c r="O79" s="1668"/>
      <c r="P79" s="1668"/>
      <c r="Q79" s="1668"/>
      <c r="R79" s="1675"/>
      <c r="S79" s="1675"/>
      <c r="T79" s="2375"/>
      <c r="U79" s="197"/>
      <c r="V79" s="1066" t="s">
        <v>9629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9630</v>
      </c>
      <c r="AU79" s="1063" t="s">
        <v>9215</v>
      </c>
      <c r="AV79" s="694" t="s">
        <v>9631</v>
      </c>
      <c r="AW79" s="694" t="s">
        <v>9632</v>
      </c>
      <c r="AX79" s="694" t="s">
        <v>9633</v>
      </c>
      <c r="AY79" s="694" t="s">
        <v>9634</v>
      </c>
      <c r="AZ79" s="694" t="s">
        <v>9635</v>
      </c>
      <c r="BA79" s="1595" t="s">
        <v>9636</v>
      </c>
      <c r="BB79" s="1679"/>
      <c r="BC79" s="1668"/>
      <c r="BD79" s="1668"/>
      <c r="BE79" s="1668"/>
      <c r="BF79" s="1668"/>
      <c r="BG79" s="1668"/>
      <c r="BH79" s="1675"/>
      <c r="BI79" s="1675"/>
      <c r="BJ79" s="2375"/>
    </row>
    <row r="80" spans="1:62" ht="15.75" customHeight="1">
      <c r="A80" s="197"/>
      <c r="B80" s="1067" t="s">
        <v>9628</v>
      </c>
      <c r="C80" s="354" t="s">
        <v>9223</v>
      </c>
      <c r="D80" s="286" t="s">
        <v>4215</v>
      </c>
      <c r="E80" s="286">
        <v>3</v>
      </c>
      <c r="F80" s="697">
        <v>0</v>
      </c>
      <c r="G80" s="697">
        <v>0</v>
      </c>
      <c r="H80" s="697">
        <v>0</v>
      </c>
      <c r="I80" s="697">
        <v>0</v>
      </c>
      <c r="J80" s="697">
        <v>5.1999999999999998E-2</v>
      </c>
      <c r="K80" s="1597">
        <f t="shared" ref="K80:K124" si="135">IFERROR(SUM(F80:J80), 0)</f>
        <v>5.1999999999999998E-2</v>
      </c>
      <c r="L80" s="1655"/>
      <c r="M80" s="1660"/>
      <c r="N80" s="1660"/>
      <c r="O80" s="1660"/>
      <c r="P80" s="1660"/>
      <c r="Q80" s="1660"/>
      <c r="R80" s="1657"/>
      <c r="S80" s="1657"/>
      <c r="T80" s="1671"/>
      <c r="U80" s="197"/>
      <c r="V80" s="1071" t="s">
        <v>9637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9630</v>
      </c>
      <c r="AU80" s="354" t="s">
        <v>9223</v>
      </c>
      <c r="AV80" s="697" t="s">
        <v>9638</v>
      </c>
      <c r="AW80" s="697" t="s">
        <v>9639</v>
      </c>
      <c r="AX80" s="697" t="s">
        <v>9640</v>
      </c>
      <c r="AY80" s="697" t="s">
        <v>9641</v>
      </c>
      <c r="AZ80" s="697" t="s">
        <v>9642</v>
      </c>
      <c r="BA80" s="1597" t="s">
        <v>9643</v>
      </c>
      <c r="BB80" s="1655"/>
      <c r="BC80" s="1660"/>
      <c r="BD80" s="1660"/>
      <c r="BE80" s="1660"/>
      <c r="BF80" s="1660"/>
      <c r="BG80" s="1660"/>
      <c r="BH80" s="1657"/>
      <c r="BI80" s="1657"/>
      <c r="BJ80" s="1671"/>
    </row>
    <row r="81" spans="1:62" ht="15.75" customHeight="1">
      <c r="A81" s="197"/>
      <c r="B81" s="1067" t="s">
        <v>9628</v>
      </c>
      <c r="C81" s="354" t="s">
        <v>9231</v>
      </c>
      <c r="D81" s="286" t="s">
        <v>4215</v>
      </c>
      <c r="E81" s="286">
        <v>3</v>
      </c>
      <c r="F81" s="1597">
        <f>IFERROR(SUM(F79:F80), 0)</f>
        <v>0</v>
      </c>
      <c r="G81" s="1597">
        <f t="shared" ref="G81:I81" si="136">IFERROR(SUM(G79:G80), 0)</f>
        <v>0</v>
      </c>
      <c r="H81" s="1597">
        <f t="shared" si="136"/>
        <v>0</v>
      </c>
      <c r="I81" s="1597">
        <f t="shared" si="136"/>
        <v>1.1719999999999999</v>
      </c>
      <c r="J81" s="1597">
        <f>IFERROR(SUM(J79:J80), 0)</f>
        <v>8.5280000000000005</v>
      </c>
      <c r="K81" s="1597">
        <f t="shared" si="135"/>
        <v>9.7000000000000011</v>
      </c>
      <c r="L81" s="1655"/>
      <c r="M81" s="1660"/>
      <c r="N81" s="1660"/>
      <c r="O81" s="1660"/>
      <c r="P81" s="1660"/>
      <c r="Q81" s="1660"/>
      <c r="R81" s="2097">
        <v>42.341999999999999</v>
      </c>
      <c r="S81" s="2097">
        <v>70.957999999999998</v>
      </c>
      <c r="T81" s="2376">
        <v>114.342</v>
      </c>
      <c r="U81" s="197"/>
      <c r="V81" s="1071" t="s">
        <v>4188</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9630</v>
      </c>
      <c r="AU81" s="354" t="s">
        <v>9231</v>
      </c>
      <c r="AV81" s="1597" t="s">
        <v>9644</v>
      </c>
      <c r="AW81" s="1597" t="s">
        <v>9645</v>
      </c>
      <c r="AX81" s="1597" t="s">
        <v>9646</v>
      </c>
      <c r="AY81" s="1597" t="s">
        <v>9647</v>
      </c>
      <c r="AZ81" s="1597" t="s">
        <v>9648</v>
      </c>
      <c r="BA81" s="1597" t="s">
        <v>9649</v>
      </c>
      <c r="BB81" s="1655"/>
      <c r="BC81" s="1660"/>
      <c r="BD81" s="1660"/>
      <c r="BE81" s="1660"/>
      <c r="BF81" s="1660"/>
      <c r="BG81" s="1660"/>
      <c r="BH81" s="2097" t="s">
        <v>9650</v>
      </c>
      <c r="BI81" s="2097" t="s">
        <v>9651</v>
      </c>
      <c r="BJ81" s="2376" t="s">
        <v>9652</v>
      </c>
    </row>
    <row r="82" spans="1:62" ht="15.75" customHeight="1">
      <c r="A82" s="197"/>
      <c r="B82" s="1067" t="s">
        <v>9653</v>
      </c>
      <c r="C82" s="354" t="s">
        <v>9215</v>
      </c>
      <c r="D82" s="286" t="s">
        <v>4215</v>
      </c>
      <c r="E82" s="286">
        <v>3</v>
      </c>
      <c r="F82" s="697">
        <v>0</v>
      </c>
      <c r="G82" s="697">
        <v>0</v>
      </c>
      <c r="H82" s="697">
        <v>0</v>
      </c>
      <c r="I82" s="697">
        <v>0</v>
      </c>
      <c r="J82" s="697">
        <v>0</v>
      </c>
      <c r="K82" s="1597">
        <f>IFERROR(SUM(F82:J82), 0)</f>
        <v>0</v>
      </c>
      <c r="L82" s="2364">
        <v>0</v>
      </c>
      <c r="M82" s="2364">
        <v>0</v>
      </c>
      <c r="N82" s="2364">
        <v>0</v>
      </c>
      <c r="O82" s="2364">
        <v>0</v>
      </c>
      <c r="P82" s="2364">
        <v>0</v>
      </c>
      <c r="Q82" s="2365">
        <f t="shared" ref="Q82:Q87" si="140">IFERROR(SUM(L82:P82), 0)</f>
        <v>0</v>
      </c>
      <c r="R82" s="1657"/>
      <c r="S82" s="1657"/>
      <c r="T82" s="1671"/>
      <c r="U82" s="197"/>
      <c r="V82" s="1071" t="s">
        <v>9654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8" t="s">
        <v>9655</v>
      </c>
      <c r="AU82" s="354" t="s">
        <v>9215</v>
      </c>
      <c r="AV82" s="697" t="s">
        <v>9656</v>
      </c>
      <c r="AW82" s="697" t="s">
        <v>9657</v>
      </c>
      <c r="AX82" s="697" t="s">
        <v>9658</v>
      </c>
      <c r="AY82" s="697" t="s">
        <v>9659</v>
      </c>
      <c r="AZ82" s="697" t="s">
        <v>9660</v>
      </c>
      <c r="BA82" s="1597" t="s">
        <v>9661</v>
      </c>
      <c r="BB82" s="2364" t="s">
        <v>17395</v>
      </c>
      <c r="BC82" s="2364" t="s">
        <v>17396</v>
      </c>
      <c r="BD82" s="2364" t="s">
        <v>17397</v>
      </c>
      <c r="BE82" s="2364" t="s">
        <v>17398</v>
      </c>
      <c r="BF82" s="2364" t="s">
        <v>17399</v>
      </c>
      <c r="BG82" s="2365" t="s">
        <v>17400</v>
      </c>
      <c r="BH82" s="1657"/>
      <c r="BI82" s="1657"/>
      <c r="BJ82" s="1671"/>
    </row>
    <row r="83" spans="1:62" ht="15.75" customHeight="1">
      <c r="A83" s="197"/>
      <c r="B83" s="1067" t="s">
        <v>9653</v>
      </c>
      <c r="C83" s="354" t="s">
        <v>9223</v>
      </c>
      <c r="D83" s="286" t="s">
        <v>4215</v>
      </c>
      <c r="E83" s="286">
        <v>3</v>
      </c>
      <c r="F83" s="697">
        <v>0</v>
      </c>
      <c r="G83" s="697">
        <v>0</v>
      </c>
      <c r="H83" s="697">
        <v>0</v>
      </c>
      <c r="I83" s="697">
        <v>0</v>
      </c>
      <c r="J83" s="697">
        <v>0</v>
      </c>
      <c r="K83" s="1597">
        <f t="shared" ref="K83" si="147">IFERROR(SUM(F83:J83), 0)</f>
        <v>0</v>
      </c>
      <c r="L83" s="2364">
        <v>0</v>
      </c>
      <c r="M83" s="2364">
        <v>0</v>
      </c>
      <c r="N83" s="2364">
        <v>0</v>
      </c>
      <c r="O83" s="2364">
        <v>0</v>
      </c>
      <c r="P83" s="2364">
        <v>0</v>
      </c>
      <c r="Q83" s="2365">
        <f t="shared" si="140"/>
        <v>0</v>
      </c>
      <c r="R83" s="1657"/>
      <c r="S83" s="1657"/>
      <c r="T83" s="1671"/>
      <c r="U83" s="197"/>
      <c r="V83" s="1071" t="s">
        <v>9662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8" t="s">
        <v>9655</v>
      </c>
      <c r="AU83" s="354" t="s">
        <v>9223</v>
      </c>
      <c r="AV83" s="697" t="s">
        <v>9663</v>
      </c>
      <c r="AW83" s="697" t="s">
        <v>9664</v>
      </c>
      <c r="AX83" s="697" t="s">
        <v>9665</v>
      </c>
      <c r="AY83" s="697" t="s">
        <v>9666</v>
      </c>
      <c r="AZ83" s="697" t="s">
        <v>9667</v>
      </c>
      <c r="BA83" s="1597" t="s">
        <v>9668</v>
      </c>
      <c r="BB83" s="2364" t="s">
        <v>17401</v>
      </c>
      <c r="BC83" s="2364" t="s">
        <v>17402</v>
      </c>
      <c r="BD83" s="2364" t="s">
        <v>17403</v>
      </c>
      <c r="BE83" s="2364" t="s">
        <v>17404</v>
      </c>
      <c r="BF83" s="2364" t="s">
        <v>17405</v>
      </c>
      <c r="BG83" s="2365" t="s">
        <v>17406</v>
      </c>
      <c r="BH83" s="1657"/>
      <c r="BI83" s="1657"/>
      <c r="BJ83" s="1671"/>
    </row>
    <row r="84" spans="1:62" ht="15.75" customHeight="1">
      <c r="A84" s="197"/>
      <c r="B84" s="1067" t="s">
        <v>9653</v>
      </c>
      <c r="C84" s="354" t="s">
        <v>9231</v>
      </c>
      <c r="D84" s="286" t="s">
        <v>4215</v>
      </c>
      <c r="E84" s="286">
        <v>3</v>
      </c>
      <c r="F84" s="1597">
        <f>IFERROR(SUM(F82:F83), 0)</f>
        <v>0</v>
      </c>
      <c r="G84" s="1597">
        <f>IFERROR(SUM(G82:G83), 0)</f>
        <v>0</v>
      </c>
      <c r="H84" s="1597">
        <f t="shared" ref="H84:J84" si="148">IFERROR(SUM(H82:H83), 0)</f>
        <v>0</v>
      </c>
      <c r="I84" s="1597">
        <f t="shared" si="148"/>
        <v>0</v>
      </c>
      <c r="J84" s="1597">
        <f t="shared" si="148"/>
        <v>0</v>
      </c>
      <c r="K84" s="1597">
        <f t="shared" ref="K84:K103" si="149">IFERROR(SUM(F84:J84), 0)</f>
        <v>0</v>
      </c>
      <c r="L84" s="2366">
        <f>IFERROR(SUM(L82:L83), 0)</f>
        <v>0</v>
      </c>
      <c r="M84" s="2366">
        <f>IFERROR(SUM(M82:M83), 0)</f>
        <v>0</v>
      </c>
      <c r="N84" s="2366">
        <f t="shared" ref="N84:P84" si="150">IFERROR(SUM(N82:N83), 0)</f>
        <v>0</v>
      </c>
      <c r="O84" s="2366">
        <f t="shared" si="150"/>
        <v>0</v>
      </c>
      <c r="P84" s="2366">
        <f t="shared" si="150"/>
        <v>0</v>
      </c>
      <c r="Q84" s="2365">
        <f t="shared" si="140"/>
        <v>0</v>
      </c>
      <c r="R84" s="2097">
        <v>0</v>
      </c>
      <c r="S84" s="2097">
        <v>0</v>
      </c>
      <c r="T84" s="2376">
        <v>0</v>
      </c>
      <c r="U84" s="197"/>
      <c r="V84" s="1071" t="s">
        <v>9669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8" t="s">
        <v>9655</v>
      </c>
      <c r="AU84" s="354" t="s">
        <v>9231</v>
      </c>
      <c r="AV84" s="1597" t="s">
        <v>9670</v>
      </c>
      <c r="AW84" s="1597" t="s">
        <v>9671</v>
      </c>
      <c r="AX84" s="1597" t="s">
        <v>9672</v>
      </c>
      <c r="AY84" s="1597" t="s">
        <v>9673</v>
      </c>
      <c r="AZ84" s="1597" t="s">
        <v>9674</v>
      </c>
      <c r="BA84" s="1597" t="s">
        <v>9675</v>
      </c>
      <c r="BB84" s="2366" t="s">
        <v>17407</v>
      </c>
      <c r="BC84" s="2366" t="s">
        <v>17408</v>
      </c>
      <c r="BD84" s="2366" t="s">
        <v>17409</v>
      </c>
      <c r="BE84" s="2366" t="s">
        <v>17410</v>
      </c>
      <c r="BF84" s="2366" t="s">
        <v>17411</v>
      </c>
      <c r="BG84" s="2365" t="s">
        <v>17412</v>
      </c>
      <c r="BH84" s="2097" t="s">
        <v>9676</v>
      </c>
      <c r="BI84" s="2097" t="s">
        <v>9677</v>
      </c>
      <c r="BJ84" s="2376" t="s">
        <v>9678</v>
      </c>
    </row>
    <row r="85" spans="1:62" ht="15.75" customHeight="1">
      <c r="A85" s="197"/>
      <c r="B85" s="1067" t="s">
        <v>9679</v>
      </c>
      <c r="C85" s="354" t="s">
        <v>9215</v>
      </c>
      <c r="D85" s="286" t="s">
        <v>4215</v>
      </c>
      <c r="E85" s="286">
        <v>3</v>
      </c>
      <c r="F85" s="697">
        <v>1.1719999999999999</v>
      </c>
      <c r="G85" s="697">
        <v>0</v>
      </c>
      <c r="H85" s="697">
        <v>0</v>
      </c>
      <c r="I85" s="697">
        <v>-5.8000000000000003E-2</v>
      </c>
      <c r="J85" s="697">
        <v>0</v>
      </c>
      <c r="K85" s="1597">
        <f t="shared" si="149"/>
        <v>1.1139999999999999</v>
      </c>
      <c r="L85" s="2364">
        <v>0.86199999999999999</v>
      </c>
      <c r="M85" s="2364">
        <v>0</v>
      </c>
      <c r="N85" s="2364">
        <v>0</v>
      </c>
      <c r="O85" s="2364">
        <v>0</v>
      </c>
      <c r="P85" s="2364">
        <v>0</v>
      </c>
      <c r="Q85" s="2365">
        <f t="shared" si="140"/>
        <v>0.86199999999999999</v>
      </c>
      <c r="R85" s="1657"/>
      <c r="S85" s="1657"/>
      <c r="T85" s="1671"/>
      <c r="U85" s="197"/>
      <c r="V85" s="1071" t="s">
        <v>9680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8" t="s">
        <v>9681</v>
      </c>
      <c r="AU85" s="354" t="s">
        <v>9215</v>
      </c>
      <c r="AV85" s="697" t="s">
        <v>9682</v>
      </c>
      <c r="AW85" s="697" t="s">
        <v>9683</v>
      </c>
      <c r="AX85" s="697" t="s">
        <v>9684</v>
      </c>
      <c r="AY85" s="697" t="s">
        <v>9685</v>
      </c>
      <c r="AZ85" s="697" t="s">
        <v>9686</v>
      </c>
      <c r="BA85" s="1597" t="s">
        <v>9687</v>
      </c>
      <c r="BB85" s="2364" t="s">
        <v>17413</v>
      </c>
      <c r="BC85" s="2364" t="s">
        <v>17414</v>
      </c>
      <c r="BD85" s="2364" t="s">
        <v>17415</v>
      </c>
      <c r="BE85" s="2364" t="s">
        <v>17416</v>
      </c>
      <c r="BF85" s="2364" t="s">
        <v>17417</v>
      </c>
      <c r="BG85" s="2365" t="s">
        <v>17418</v>
      </c>
      <c r="BH85" s="1657"/>
      <c r="BI85" s="1657"/>
      <c r="BJ85" s="1671"/>
    </row>
    <row r="86" spans="1:62" ht="15.75" customHeight="1">
      <c r="A86" s="197"/>
      <c r="B86" s="1067" t="s">
        <v>9679</v>
      </c>
      <c r="C86" s="354" t="s">
        <v>9223</v>
      </c>
      <c r="D86" s="286" t="s">
        <v>4215</v>
      </c>
      <c r="E86" s="286">
        <v>3</v>
      </c>
      <c r="F86" s="697">
        <v>0</v>
      </c>
      <c r="G86" s="697">
        <v>0</v>
      </c>
      <c r="H86" s="697">
        <v>0</v>
      </c>
      <c r="I86" s="697">
        <v>0.10299999999999999</v>
      </c>
      <c r="J86" s="697">
        <v>0</v>
      </c>
      <c r="K86" s="1597">
        <f t="shared" si="149"/>
        <v>0.10299999999999999</v>
      </c>
      <c r="L86" s="2364">
        <v>0</v>
      </c>
      <c r="M86" s="2364">
        <v>0</v>
      </c>
      <c r="N86" s="2364">
        <v>0</v>
      </c>
      <c r="O86" s="2364">
        <v>0</v>
      </c>
      <c r="P86" s="2364">
        <v>0</v>
      </c>
      <c r="Q86" s="2365">
        <f t="shared" si="140"/>
        <v>0</v>
      </c>
      <c r="R86" s="1657"/>
      <c r="S86" s="1657"/>
      <c r="T86" s="1671"/>
      <c r="U86" s="197"/>
      <c r="V86" s="1071" t="s">
        <v>9688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8" t="s">
        <v>9681</v>
      </c>
      <c r="AU86" s="354" t="s">
        <v>9223</v>
      </c>
      <c r="AV86" s="697" t="s">
        <v>9689</v>
      </c>
      <c r="AW86" s="697" t="s">
        <v>9690</v>
      </c>
      <c r="AX86" s="697" t="s">
        <v>9691</v>
      </c>
      <c r="AY86" s="697" t="s">
        <v>9692</v>
      </c>
      <c r="AZ86" s="697" t="s">
        <v>9693</v>
      </c>
      <c r="BA86" s="1597" t="s">
        <v>9694</v>
      </c>
      <c r="BB86" s="2364" t="s">
        <v>17419</v>
      </c>
      <c r="BC86" s="2364" t="s">
        <v>17420</v>
      </c>
      <c r="BD86" s="2364" t="s">
        <v>17421</v>
      </c>
      <c r="BE86" s="2364" t="s">
        <v>17422</v>
      </c>
      <c r="BF86" s="2364" t="s">
        <v>17423</v>
      </c>
      <c r="BG86" s="2365" t="s">
        <v>17424</v>
      </c>
      <c r="BH86" s="1657"/>
      <c r="BI86" s="1657"/>
      <c r="BJ86" s="1671"/>
    </row>
    <row r="87" spans="1:62" ht="15.75" customHeight="1">
      <c r="A87" s="197"/>
      <c r="B87" s="1067" t="s">
        <v>9679</v>
      </c>
      <c r="C87" s="354" t="s">
        <v>9231</v>
      </c>
      <c r="D87" s="286" t="s">
        <v>4215</v>
      </c>
      <c r="E87" s="286">
        <v>3</v>
      </c>
      <c r="F87" s="2374">
        <f>IFERROR(SUM(F85:F86), 0)</f>
        <v>1.1719999999999999</v>
      </c>
      <c r="G87" s="2374">
        <f>IFERROR(SUM(G85:G86), 0)</f>
        <v>0</v>
      </c>
      <c r="H87" s="2374">
        <f t="shared" ref="H87:J87" si="160">IFERROR(SUM(H85:H86), 0)</f>
        <v>0</v>
      </c>
      <c r="I87" s="2374">
        <f t="shared" si="160"/>
        <v>4.4999999999999991E-2</v>
      </c>
      <c r="J87" s="2374">
        <f t="shared" si="160"/>
        <v>0</v>
      </c>
      <c r="K87" s="1597">
        <f t="shared" si="149"/>
        <v>1.2169999999999999</v>
      </c>
      <c r="L87" s="2366">
        <f>IFERROR(SUM(L85:L86), 0)</f>
        <v>0.86199999999999999</v>
      </c>
      <c r="M87" s="2366">
        <f>IFERROR(SUM(M85:M86), 0)</f>
        <v>0</v>
      </c>
      <c r="N87" s="2366">
        <f t="shared" ref="N87:P87" si="161">IFERROR(SUM(N85:N86), 0)</f>
        <v>0</v>
      </c>
      <c r="O87" s="2366">
        <f t="shared" si="161"/>
        <v>0</v>
      </c>
      <c r="P87" s="2366">
        <f t="shared" si="161"/>
        <v>0</v>
      </c>
      <c r="Q87" s="2365">
        <f t="shared" si="140"/>
        <v>0.86199999999999999</v>
      </c>
      <c r="R87" s="2097">
        <v>1.5229999999999999</v>
      </c>
      <c r="S87" s="2097">
        <v>7.8730000000000002</v>
      </c>
      <c r="T87" s="2376">
        <v>11.661</v>
      </c>
      <c r="U87" s="197"/>
      <c r="V87" s="1071" t="s">
        <v>9695</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8" t="s">
        <v>9681</v>
      </c>
      <c r="AU87" s="354" t="s">
        <v>9231</v>
      </c>
      <c r="AV87" s="2374" t="s">
        <v>9696</v>
      </c>
      <c r="AW87" s="2374" t="s">
        <v>9697</v>
      </c>
      <c r="AX87" s="2374" t="s">
        <v>9698</v>
      </c>
      <c r="AY87" s="2374" t="s">
        <v>9699</v>
      </c>
      <c r="AZ87" s="2374" t="s">
        <v>9700</v>
      </c>
      <c r="BA87" s="1597" t="s">
        <v>9701</v>
      </c>
      <c r="BB87" s="2366" t="s">
        <v>17425</v>
      </c>
      <c r="BC87" s="2366" t="s">
        <v>17426</v>
      </c>
      <c r="BD87" s="2366" t="s">
        <v>17427</v>
      </c>
      <c r="BE87" s="2366" t="s">
        <v>17428</v>
      </c>
      <c r="BF87" s="2366" t="s">
        <v>17429</v>
      </c>
      <c r="BG87" s="2365" t="s">
        <v>17430</v>
      </c>
      <c r="BH87" s="2097" t="s">
        <v>9676</v>
      </c>
      <c r="BI87" s="2097" t="s">
        <v>9677</v>
      </c>
      <c r="BJ87" s="2376" t="s">
        <v>9678</v>
      </c>
    </row>
    <row r="88" spans="1:62" ht="15.75" customHeight="1">
      <c r="A88" s="197"/>
      <c r="B88" s="1067" t="s">
        <v>9702</v>
      </c>
      <c r="C88" s="354" t="s">
        <v>9215</v>
      </c>
      <c r="D88" s="286" t="s">
        <v>4215</v>
      </c>
      <c r="E88" s="286">
        <v>3</v>
      </c>
      <c r="F88" s="2374">
        <f t="shared" ref="F88:J89" si="165">IFERROR(SUM(F82+F85), 0)</f>
        <v>1.1719999999999999</v>
      </c>
      <c r="G88" s="2374">
        <f t="shared" si="165"/>
        <v>0</v>
      </c>
      <c r="H88" s="2374">
        <f t="shared" si="165"/>
        <v>0</v>
      </c>
      <c r="I88" s="2374">
        <f t="shared" si="165"/>
        <v>-5.8000000000000003E-2</v>
      </c>
      <c r="J88" s="2374">
        <f t="shared" si="165"/>
        <v>0</v>
      </c>
      <c r="K88" s="1597">
        <f t="shared" si="149"/>
        <v>1.1139999999999999</v>
      </c>
      <c r="L88" s="2364">
        <v>0</v>
      </c>
      <c r="M88" s="2364">
        <v>0</v>
      </c>
      <c r="N88" s="2364">
        <v>0</v>
      </c>
      <c r="O88" s="2364">
        <v>0</v>
      </c>
      <c r="P88" s="2364">
        <v>0</v>
      </c>
      <c r="Q88" s="2365">
        <f>IFERROR(SUM(L88:P88), 0)</f>
        <v>0</v>
      </c>
      <c r="R88" s="1657"/>
      <c r="S88" s="1657"/>
      <c r="T88" s="1671"/>
      <c r="U88" s="197"/>
      <c r="V88" s="1071" t="s">
        <v>9703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8" t="s">
        <v>9702</v>
      </c>
      <c r="AU88" s="354" t="s">
        <v>9215</v>
      </c>
      <c r="AV88" s="2374" t="s">
        <v>9704</v>
      </c>
      <c r="AW88" s="2374" t="s">
        <v>9705</v>
      </c>
      <c r="AX88" s="2374" t="s">
        <v>9706</v>
      </c>
      <c r="AY88" s="2374" t="s">
        <v>9707</v>
      </c>
      <c r="AZ88" s="2374" t="s">
        <v>9708</v>
      </c>
      <c r="BA88" s="1597" t="s">
        <v>9709</v>
      </c>
      <c r="BB88" s="2364" t="s">
        <v>17431</v>
      </c>
      <c r="BC88" s="2364" t="s">
        <v>17432</v>
      </c>
      <c r="BD88" s="2364" t="s">
        <v>17433</v>
      </c>
      <c r="BE88" s="2364" t="s">
        <v>17434</v>
      </c>
      <c r="BF88" s="2364" t="s">
        <v>17435</v>
      </c>
      <c r="BG88" s="2365" t="s">
        <v>17436</v>
      </c>
      <c r="BH88" s="1657"/>
      <c r="BI88" s="1657"/>
      <c r="BJ88" s="1671"/>
    </row>
    <row r="89" spans="1:62" ht="15.75" customHeight="1">
      <c r="A89" s="197"/>
      <c r="B89" s="1067" t="s">
        <v>9702</v>
      </c>
      <c r="C89" s="354" t="s">
        <v>9223</v>
      </c>
      <c r="D89" s="286" t="s">
        <v>4215</v>
      </c>
      <c r="E89" s="286">
        <v>3</v>
      </c>
      <c r="F89" s="2374">
        <f t="shared" si="165"/>
        <v>0</v>
      </c>
      <c r="G89" s="2374">
        <f t="shared" si="165"/>
        <v>0</v>
      </c>
      <c r="H89" s="2374">
        <f t="shared" si="165"/>
        <v>0</v>
      </c>
      <c r="I89" s="2374">
        <f t="shared" si="165"/>
        <v>0.10299999999999999</v>
      </c>
      <c r="J89" s="2374">
        <f t="shared" si="165"/>
        <v>0</v>
      </c>
      <c r="K89" s="1597">
        <f t="shared" si="149"/>
        <v>0.10299999999999999</v>
      </c>
      <c r="L89" s="2364">
        <v>0</v>
      </c>
      <c r="M89" s="2364">
        <v>0</v>
      </c>
      <c r="N89" s="2364">
        <v>0</v>
      </c>
      <c r="O89" s="2364">
        <v>0</v>
      </c>
      <c r="P89" s="2364">
        <v>0</v>
      </c>
      <c r="Q89" s="2365">
        <f>IFERROR(SUM(L89:P89), 0)</f>
        <v>0</v>
      </c>
      <c r="R89" s="1657"/>
      <c r="S89" s="1657"/>
      <c r="T89" s="1671"/>
      <c r="U89" s="197"/>
      <c r="V89" s="1071" t="s">
        <v>9710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8" t="s">
        <v>9702</v>
      </c>
      <c r="AU89" s="354" t="s">
        <v>9223</v>
      </c>
      <c r="AV89" s="2374" t="s">
        <v>9711</v>
      </c>
      <c r="AW89" s="2374" t="s">
        <v>9712</v>
      </c>
      <c r="AX89" s="2374" t="s">
        <v>9713</v>
      </c>
      <c r="AY89" s="2374" t="s">
        <v>9714</v>
      </c>
      <c r="AZ89" s="2374" t="s">
        <v>9715</v>
      </c>
      <c r="BA89" s="1597" t="s">
        <v>9716</v>
      </c>
      <c r="BB89" s="2364" t="s">
        <v>17437</v>
      </c>
      <c r="BC89" s="2364" t="s">
        <v>17438</v>
      </c>
      <c r="BD89" s="2364" t="s">
        <v>17439</v>
      </c>
      <c r="BE89" s="2364" t="s">
        <v>17440</v>
      </c>
      <c r="BF89" s="2364" t="s">
        <v>17441</v>
      </c>
      <c r="BG89" s="2365" t="s">
        <v>17442</v>
      </c>
      <c r="BH89" s="1657"/>
      <c r="BI89" s="1657"/>
      <c r="BJ89" s="1671"/>
    </row>
    <row r="90" spans="1:62" ht="15.75" customHeight="1">
      <c r="A90" s="197"/>
      <c r="B90" s="1067" t="s">
        <v>9702</v>
      </c>
      <c r="C90" s="354" t="s">
        <v>9231</v>
      </c>
      <c r="D90" s="286" t="s">
        <v>4215</v>
      </c>
      <c r="E90" s="286">
        <v>3</v>
      </c>
      <c r="F90" s="2374">
        <f>IFERROR(SUM(F88:F89), 0)</f>
        <v>1.1719999999999999</v>
      </c>
      <c r="G90" s="2374">
        <f t="shared" ref="G90:J90" si="172">IFERROR(SUM(G88:G89), 0)</f>
        <v>0</v>
      </c>
      <c r="H90" s="2374">
        <f t="shared" si="172"/>
        <v>0</v>
      </c>
      <c r="I90" s="2374">
        <f t="shared" si="172"/>
        <v>4.4999999999999991E-2</v>
      </c>
      <c r="J90" s="2374">
        <f t="shared" si="172"/>
        <v>0</v>
      </c>
      <c r="K90" s="1597">
        <f t="shared" si="149"/>
        <v>1.2169999999999999</v>
      </c>
      <c r="L90" s="2366">
        <f>IFERROR(SUM(L88:L89), 0)</f>
        <v>0</v>
      </c>
      <c r="M90" s="2366">
        <f>IFERROR(SUM(M88:M89), 0)</f>
        <v>0</v>
      </c>
      <c r="N90" s="2366">
        <f t="shared" ref="N90:P90" si="173">IFERROR(SUM(N88:N89), 0)</f>
        <v>0</v>
      </c>
      <c r="O90" s="2366">
        <f t="shared" si="173"/>
        <v>0</v>
      </c>
      <c r="P90" s="2366">
        <f t="shared" si="173"/>
        <v>0</v>
      </c>
      <c r="Q90" s="2365">
        <f>IFERROR(SUM(L90:P90), 0)</f>
        <v>0</v>
      </c>
      <c r="R90" s="2097">
        <v>1.5229999999999999</v>
      </c>
      <c r="S90" s="2097">
        <v>7.8730000000000002</v>
      </c>
      <c r="T90" s="2376">
        <v>11.661</v>
      </c>
      <c r="U90" s="197"/>
      <c r="V90" s="1071" t="s">
        <v>9717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8" t="s">
        <v>9702</v>
      </c>
      <c r="AU90" s="354" t="s">
        <v>9231</v>
      </c>
      <c r="AV90" s="2374" t="s">
        <v>9718</v>
      </c>
      <c r="AW90" s="2374" t="s">
        <v>9719</v>
      </c>
      <c r="AX90" s="2374" t="s">
        <v>9720</v>
      </c>
      <c r="AY90" s="2374" t="s">
        <v>9721</v>
      </c>
      <c r="AZ90" s="2374" t="s">
        <v>9722</v>
      </c>
      <c r="BA90" s="1597" t="s">
        <v>9723</v>
      </c>
      <c r="BB90" s="2366" t="s">
        <v>17443</v>
      </c>
      <c r="BC90" s="2366" t="s">
        <v>17444</v>
      </c>
      <c r="BD90" s="2366" t="s">
        <v>17445</v>
      </c>
      <c r="BE90" s="2366" t="s">
        <v>17446</v>
      </c>
      <c r="BF90" s="2366" t="s">
        <v>17447</v>
      </c>
      <c r="BG90" s="2365" t="s">
        <v>17448</v>
      </c>
      <c r="BH90" s="2097" t="s">
        <v>9676</v>
      </c>
      <c r="BI90" s="2097" t="s">
        <v>9677</v>
      </c>
      <c r="BJ90" s="2376" t="s">
        <v>9678</v>
      </c>
    </row>
    <row r="91" spans="1:62" ht="15.75" customHeight="1">
      <c r="A91" s="197"/>
      <c r="B91" s="1067" t="s">
        <v>9724</v>
      </c>
      <c r="C91" s="354" t="s">
        <v>9215</v>
      </c>
      <c r="D91" s="286" t="s">
        <v>4215</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9725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9724</v>
      </c>
      <c r="AU91" s="354" t="s">
        <v>9215</v>
      </c>
      <c r="AV91" s="697" t="s">
        <v>9726</v>
      </c>
      <c r="AW91" s="697" t="s">
        <v>9727</v>
      </c>
      <c r="AX91" s="697" t="s">
        <v>9728</v>
      </c>
      <c r="AY91" s="697" t="s">
        <v>9729</v>
      </c>
      <c r="AZ91" s="697" t="s">
        <v>9730</v>
      </c>
      <c r="BA91" s="1597" t="s">
        <v>9731</v>
      </c>
      <c r="BB91" s="1655"/>
      <c r="BC91" s="1660"/>
      <c r="BD91" s="1660"/>
      <c r="BE91" s="1660"/>
      <c r="BF91" s="1660"/>
      <c r="BG91" s="1660"/>
      <c r="BH91" s="1657"/>
      <c r="BI91" s="1657"/>
      <c r="BJ91" s="1671"/>
    </row>
    <row r="92" spans="1:62" ht="15.75" customHeight="1">
      <c r="A92" s="197"/>
      <c r="B92" s="1067" t="s">
        <v>9724</v>
      </c>
      <c r="C92" s="354" t="s">
        <v>9223</v>
      </c>
      <c r="D92" s="286" t="s">
        <v>4215</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9732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9724</v>
      </c>
      <c r="AU92" s="354" t="s">
        <v>9223</v>
      </c>
      <c r="AV92" s="697" t="s">
        <v>9733</v>
      </c>
      <c r="AW92" s="697" t="s">
        <v>9734</v>
      </c>
      <c r="AX92" s="697" t="s">
        <v>9735</v>
      </c>
      <c r="AY92" s="697" t="s">
        <v>9736</v>
      </c>
      <c r="AZ92" s="697" t="s">
        <v>9737</v>
      </c>
      <c r="BA92" s="1597" t="s">
        <v>9738</v>
      </c>
      <c r="BB92" s="1655"/>
      <c r="BC92" s="1660"/>
      <c r="BD92" s="1660"/>
      <c r="BE92" s="1660"/>
      <c r="BF92" s="1660"/>
      <c r="BG92" s="1660"/>
      <c r="BH92" s="1657"/>
      <c r="BI92" s="1657"/>
      <c r="BJ92" s="1671"/>
    </row>
    <row r="93" spans="1:62" ht="15.75" customHeight="1">
      <c r="A93" s="197"/>
      <c r="B93" s="1067" t="s">
        <v>9724</v>
      </c>
      <c r="C93" s="354" t="s">
        <v>9231</v>
      </c>
      <c r="D93" s="286" t="s">
        <v>4215</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0.13400000000000001</v>
      </c>
      <c r="S93" s="2097">
        <v>1.788</v>
      </c>
      <c r="T93" s="2376">
        <v>2.6160000000000001</v>
      </c>
      <c r="U93" s="197"/>
      <c r="V93" s="1071" t="s">
        <v>9739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9724</v>
      </c>
      <c r="AU93" s="354" t="s">
        <v>9231</v>
      </c>
      <c r="AV93" s="1597" t="s">
        <v>9740</v>
      </c>
      <c r="AW93" s="1597" t="s">
        <v>9741</v>
      </c>
      <c r="AX93" s="1597" t="s">
        <v>9742</v>
      </c>
      <c r="AY93" s="1597" t="s">
        <v>9743</v>
      </c>
      <c r="AZ93" s="1597" t="s">
        <v>9744</v>
      </c>
      <c r="BA93" s="1597" t="s">
        <v>9745</v>
      </c>
      <c r="BB93" s="1655"/>
      <c r="BC93" s="1660"/>
      <c r="BD93" s="1660"/>
      <c r="BE93" s="1660"/>
      <c r="BF93" s="1660"/>
      <c r="BG93" s="1660"/>
      <c r="BH93" s="2097" t="s">
        <v>9746</v>
      </c>
      <c r="BI93" s="2097" t="s">
        <v>9747</v>
      </c>
      <c r="BJ93" s="2376" t="s">
        <v>9748</v>
      </c>
    </row>
    <row r="94" spans="1:62" ht="32.25" customHeight="1">
      <c r="A94" s="197"/>
      <c r="B94" s="1067" t="s">
        <v>9749</v>
      </c>
      <c r="C94" s="354" t="s">
        <v>9215</v>
      </c>
      <c r="D94" s="286" t="s">
        <v>4215</v>
      </c>
      <c r="E94" s="286">
        <v>3</v>
      </c>
      <c r="F94" s="697">
        <v>1.2999999999999999E-2</v>
      </c>
      <c r="G94" s="697">
        <v>0</v>
      </c>
      <c r="H94" s="697">
        <v>0</v>
      </c>
      <c r="I94" s="697">
        <v>0</v>
      </c>
      <c r="J94" s="697">
        <v>4.3999999999999997E-2</v>
      </c>
      <c r="K94" s="1597">
        <f t="shared" si="149"/>
        <v>5.6999999999999995E-2</v>
      </c>
      <c r="L94" s="1655"/>
      <c r="M94" s="1660"/>
      <c r="N94" s="1660"/>
      <c r="O94" s="1660"/>
      <c r="P94" s="1660"/>
      <c r="Q94" s="1655"/>
      <c r="R94" s="1657"/>
      <c r="S94" s="1657"/>
      <c r="T94" s="1671"/>
      <c r="U94" s="197"/>
      <c r="V94" s="1071" t="s">
        <v>9750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9749</v>
      </c>
      <c r="AU94" s="354" t="s">
        <v>9215</v>
      </c>
      <c r="AV94" s="697" t="s">
        <v>9751</v>
      </c>
      <c r="AW94" s="697" t="s">
        <v>9752</v>
      </c>
      <c r="AX94" s="697" t="s">
        <v>9753</v>
      </c>
      <c r="AY94" s="697" t="s">
        <v>9754</v>
      </c>
      <c r="AZ94" s="697" t="s">
        <v>9755</v>
      </c>
      <c r="BA94" s="1597" t="s">
        <v>9756</v>
      </c>
      <c r="BB94" s="1655"/>
      <c r="BC94" s="1660"/>
      <c r="BD94" s="1660"/>
      <c r="BE94" s="1660"/>
      <c r="BF94" s="1660"/>
      <c r="BG94" s="1655"/>
      <c r="BH94" s="1657"/>
      <c r="BI94" s="1657"/>
      <c r="BJ94" s="1671"/>
    </row>
    <row r="95" spans="1:62" ht="32.25" customHeight="1">
      <c r="A95" s="197"/>
      <c r="B95" s="1067" t="s">
        <v>9749</v>
      </c>
      <c r="C95" s="354" t="s">
        <v>9223</v>
      </c>
      <c r="D95" s="286" t="s">
        <v>4215</v>
      </c>
      <c r="E95" s="286">
        <v>3</v>
      </c>
      <c r="F95" s="697">
        <v>0</v>
      </c>
      <c r="G95" s="697">
        <v>0</v>
      </c>
      <c r="H95" s="697">
        <v>0</v>
      </c>
      <c r="I95" s="697">
        <v>0</v>
      </c>
      <c r="J95" s="697">
        <v>0</v>
      </c>
      <c r="K95" s="1597">
        <f t="shared" si="149"/>
        <v>0</v>
      </c>
      <c r="L95" s="1655"/>
      <c r="M95" s="1660"/>
      <c r="N95" s="1660"/>
      <c r="O95" s="1660"/>
      <c r="P95" s="1660"/>
      <c r="Q95" s="1655"/>
      <c r="R95" s="1657"/>
      <c r="S95" s="1657"/>
      <c r="T95" s="1671"/>
      <c r="U95" s="197"/>
      <c r="V95" s="1071" t="s">
        <v>9757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9749</v>
      </c>
      <c r="AU95" s="354" t="s">
        <v>9223</v>
      </c>
      <c r="AV95" s="697" t="s">
        <v>9758</v>
      </c>
      <c r="AW95" s="697" t="s">
        <v>9759</v>
      </c>
      <c r="AX95" s="697" t="s">
        <v>9760</v>
      </c>
      <c r="AY95" s="697" t="s">
        <v>9761</v>
      </c>
      <c r="AZ95" s="697" t="s">
        <v>9762</v>
      </c>
      <c r="BA95" s="1597" t="s">
        <v>9763</v>
      </c>
      <c r="BB95" s="1655"/>
      <c r="BC95" s="1660"/>
      <c r="BD95" s="1660"/>
      <c r="BE95" s="1660"/>
      <c r="BF95" s="1660"/>
      <c r="BG95" s="1655"/>
      <c r="BH95" s="1657"/>
      <c r="BI95" s="1657"/>
      <c r="BJ95" s="1671"/>
    </row>
    <row r="96" spans="1:62" ht="32.25" customHeight="1" thickBot="1">
      <c r="A96" s="197"/>
      <c r="B96" s="1067" t="s">
        <v>9749</v>
      </c>
      <c r="C96" s="354" t="s">
        <v>9231</v>
      </c>
      <c r="D96" s="286" t="s">
        <v>4215</v>
      </c>
      <c r="E96" s="286">
        <v>3</v>
      </c>
      <c r="F96" s="1597">
        <f>IFERROR(SUM(F94:F95), 0)</f>
        <v>1.2999999999999999E-2</v>
      </c>
      <c r="G96" s="1597">
        <f t="shared" ref="G96:J96" si="191">IFERROR(SUM(G94:G95), 0)</f>
        <v>0</v>
      </c>
      <c r="H96" s="1597">
        <f t="shared" si="191"/>
        <v>0</v>
      </c>
      <c r="I96" s="1597">
        <f t="shared" si="191"/>
        <v>0</v>
      </c>
      <c r="J96" s="1597">
        <f t="shared" si="191"/>
        <v>4.3999999999999997E-2</v>
      </c>
      <c r="K96" s="1597">
        <f t="shared" si="149"/>
        <v>5.6999999999999995E-2</v>
      </c>
      <c r="L96" s="1655"/>
      <c r="M96" s="1660"/>
      <c r="N96" s="1660"/>
      <c r="O96" s="1660"/>
      <c r="P96" s="1660"/>
      <c r="Q96" s="1655"/>
      <c r="R96" s="2515">
        <v>0.27700000000000002</v>
      </c>
      <c r="S96" s="2515">
        <v>13.728</v>
      </c>
      <c r="T96" s="2514">
        <v>22.120999999999999</v>
      </c>
      <c r="U96" s="197"/>
      <c r="V96" s="1071" t="s">
        <v>9764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9749</v>
      </c>
      <c r="AU96" s="354" t="s">
        <v>9231</v>
      </c>
      <c r="AV96" s="1597" t="s">
        <v>9765</v>
      </c>
      <c r="AW96" s="1597" t="s">
        <v>9766</v>
      </c>
      <c r="AX96" s="1597" t="s">
        <v>9767</v>
      </c>
      <c r="AY96" s="1597" t="s">
        <v>9768</v>
      </c>
      <c r="AZ96" s="1597" t="s">
        <v>9769</v>
      </c>
      <c r="BA96" s="1597" t="s">
        <v>9770</v>
      </c>
      <c r="BB96" s="1655"/>
      <c r="BC96" s="1660"/>
      <c r="BD96" s="1660"/>
      <c r="BE96" s="1660"/>
      <c r="BF96" s="1660"/>
      <c r="BG96" s="1655"/>
      <c r="BH96" s="2097" t="s">
        <v>9771</v>
      </c>
      <c r="BI96" s="2097" t="s">
        <v>9772</v>
      </c>
      <c r="BJ96" s="2376" t="s">
        <v>9773</v>
      </c>
    </row>
    <row r="97" spans="1:62" ht="30.6" thickTop="1">
      <c r="A97" s="197"/>
      <c r="B97" s="2377" t="s">
        <v>9774</v>
      </c>
      <c r="C97" s="2369" t="s">
        <v>9215</v>
      </c>
      <c r="D97" s="2370" t="s">
        <v>4215</v>
      </c>
      <c r="E97" s="2370">
        <v>3</v>
      </c>
      <c r="F97" s="697">
        <v>0</v>
      </c>
      <c r="G97" s="697">
        <v>0</v>
      </c>
      <c r="H97" s="697">
        <v>0</v>
      </c>
      <c r="I97" s="697">
        <v>0</v>
      </c>
      <c r="J97" s="697">
        <v>0</v>
      </c>
      <c r="K97" s="1597">
        <f t="shared" si="149"/>
        <v>0</v>
      </c>
      <c r="L97" s="1655"/>
      <c r="M97" s="1660"/>
      <c r="N97" s="1660"/>
      <c r="O97" s="1660"/>
      <c r="P97" s="1660"/>
      <c r="Q97" s="1660"/>
      <c r="R97" s="2592"/>
      <c r="S97" s="2592"/>
      <c r="T97" s="2593"/>
      <c r="U97" s="197"/>
      <c r="V97" s="1071" t="s">
        <v>9775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8" t="s">
        <v>9774</v>
      </c>
      <c r="AU97" s="2379" t="s">
        <v>9215</v>
      </c>
      <c r="AV97" s="697" t="s">
        <v>9776</v>
      </c>
      <c r="AW97" s="697" t="s">
        <v>9777</v>
      </c>
      <c r="AX97" s="697" t="s">
        <v>9778</v>
      </c>
      <c r="AY97" s="697" t="s">
        <v>9779</v>
      </c>
      <c r="AZ97" s="697" t="s">
        <v>9780</v>
      </c>
      <c r="BA97" s="1597" t="s">
        <v>9781</v>
      </c>
      <c r="BB97" s="1655"/>
      <c r="BC97" s="1660"/>
      <c r="BD97" s="1660"/>
      <c r="BE97" s="1660"/>
      <c r="BF97" s="1660"/>
      <c r="BG97" s="1660"/>
      <c r="BH97" s="2594"/>
      <c r="BI97" s="2594"/>
      <c r="BJ97" s="2595"/>
    </row>
    <row r="98" spans="1:62" ht="30">
      <c r="A98" s="197"/>
      <c r="B98" s="2377" t="s">
        <v>9774</v>
      </c>
      <c r="C98" s="2369" t="s">
        <v>9223</v>
      </c>
      <c r="D98" s="2370" t="s">
        <v>4215</v>
      </c>
      <c r="E98" s="2370">
        <v>3</v>
      </c>
      <c r="F98" s="697">
        <v>0</v>
      </c>
      <c r="G98" s="697">
        <v>0</v>
      </c>
      <c r="H98" s="697">
        <v>0</v>
      </c>
      <c r="I98" s="697">
        <v>0</v>
      </c>
      <c r="J98" s="697">
        <v>0</v>
      </c>
      <c r="K98" s="1597">
        <f t="shared" si="149"/>
        <v>0</v>
      </c>
      <c r="L98" s="1655"/>
      <c r="M98" s="1660"/>
      <c r="N98" s="1660"/>
      <c r="O98" s="1660"/>
      <c r="P98" s="1660"/>
      <c r="Q98" s="1660"/>
      <c r="R98" s="2592"/>
      <c r="S98" s="2594"/>
      <c r="T98" s="2595"/>
      <c r="U98" s="197"/>
      <c r="V98" s="1071" t="s">
        <v>9782</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8" t="s">
        <v>9774</v>
      </c>
      <c r="AU98" s="2369" t="s">
        <v>9223</v>
      </c>
      <c r="AV98" s="697" t="s">
        <v>9783</v>
      </c>
      <c r="AW98" s="697" t="s">
        <v>9784</v>
      </c>
      <c r="AX98" s="697" t="s">
        <v>9785</v>
      </c>
      <c r="AY98" s="697" t="s">
        <v>9786</v>
      </c>
      <c r="AZ98" s="697" t="s">
        <v>9787</v>
      </c>
      <c r="BA98" s="1597" t="s">
        <v>9788</v>
      </c>
      <c r="BB98" s="1655"/>
      <c r="BC98" s="1660"/>
      <c r="BD98" s="1660"/>
      <c r="BE98" s="1660"/>
      <c r="BF98" s="1660"/>
      <c r="BG98" s="1660"/>
      <c r="BH98" s="2594"/>
      <c r="BI98" s="2594"/>
      <c r="BJ98" s="2595"/>
    </row>
    <row r="99" spans="1:62" ht="30">
      <c r="A99" s="197"/>
      <c r="B99" s="2377" t="s">
        <v>9774</v>
      </c>
      <c r="C99" s="2369" t="s">
        <v>9231</v>
      </c>
      <c r="D99" s="2370" t="s">
        <v>4215</v>
      </c>
      <c r="E99" s="2370">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5">
        <v>0</v>
      </c>
      <c r="S99" s="2515">
        <v>0</v>
      </c>
      <c r="T99" s="2514">
        <v>0</v>
      </c>
      <c r="U99" s="197"/>
      <c r="V99" s="1071" t="s">
        <v>9789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8" t="s">
        <v>9774</v>
      </c>
      <c r="AU99" s="2369" t="s">
        <v>9231</v>
      </c>
      <c r="AV99" s="1597" t="s">
        <v>9790</v>
      </c>
      <c r="AW99" s="1597" t="s">
        <v>9791</v>
      </c>
      <c r="AX99" s="1597" t="s">
        <v>9792</v>
      </c>
      <c r="AY99" s="1597" t="s">
        <v>9793</v>
      </c>
      <c r="AZ99" s="1597" t="s">
        <v>9794</v>
      </c>
      <c r="BA99" s="1597" t="s">
        <v>9795</v>
      </c>
      <c r="BB99" s="1655"/>
      <c r="BC99" s="1660"/>
      <c r="BD99" s="1660"/>
      <c r="BE99" s="1660"/>
      <c r="BF99" s="1660"/>
      <c r="BG99" s="1660"/>
      <c r="BH99" s="2097" t="s">
        <v>17386</v>
      </c>
      <c r="BI99" s="2097" t="s">
        <v>17387</v>
      </c>
      <c r="BJ99" s="2097" t="s">
        <v>17388</v>
      </c>
    </row>
    <row r="100" spans="1:62" ht="30">
      <c r="A100" s="197"/>
      <c r="B100" s="2377" t="s">
        <v>9796</v>
      </c>
      <c r="C100" s="2369" t="s">
        <v>9215</v>
      </c>
      <c r="D100" s="2370" t="s">
        <v>4215</v>
      </c>
      <c r="E100" s="2370">
        <v>3</v>
      </c>
      <c r="F100" s="697">
        <v>0</v>
      </c>
      <c r="G100" s="697">
        <v>0</v>
      </c>
      <c r="H100" s="697">
        <v>0</v>
      </c>
      <c r="I100" s="697">
        <v>0</v>
      </c>
      <c r="J100" s="697">
        <v>2.2519999999999998</v>
      </c>
      <c r="K100" s="1597">
        <f t="shared" si="149"/>
        <v>2.2519999999999998</v>
      </c>
      <c r="L100" s="1655"/>
      <c r="M100" s="1660"/>
      <c r="N100" s="1660"/>
      <c r="O100" s="1660"/>
      <c r="P100" s="1660"/>
      <c r="Q100" s="1660"/>
      <c r="R100" s="2592"/>
      <c r="S100" s="2592"/>
      <c r="T100" s="2593"/>
      <c r="U100" s="197"/>
      <c r="V100" s="1071" t="s">
        <v>9797</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1" t="s">
        <v>9796</v>
      </c>
      <c r="AU100" s="2369" t="s">
        <v>9215</v>
      </c>
      <c r="AV100" s="697" t="s">
        <v>9798</v>
      </c>
      <c r="AW100" s="697" t="s">
        <v>9799</v>
      </c>
      <c r="AX100" s="697" t="s">
        <v>9800</v>
      </c>
      <c r="AY100" s="697" t="s">
        <v>9801</v>
      </c>
      <c r="AZ100" s="697" t="s">
        <v>9802</v>
      </c>
      <c r="BA100" s="1597" t="s">
        <v>9803</v>
      </c>
      <c r="BB100" s="1655"/>
      <c r="BC100" s="1660"/>
      <c r="BD100" s="1660"/>
      <c r="BE100" s="1660"/>
      <c r="BF100" s="1660"/>
      <c r="BG100" s="1660"/>
      <c r="BH100" s="2594"/>
      <c r="BI100" s="2594"/>
      <c r="BJ100" s="2595"/>
    </row>
    <row r="101" spans="1:62" ht="30" customHeight="1">
      <c r="A101" s="197"/>
      <c r="B101" s="2377" t="s">
        <v>9796</v>
      </c>
      <c r="C101" s="2369" t="s">
        <v>9223</v>
      </c>
      <c r="D101" s="2370" t="s">
        <v>4215</v>
      </c>
      <c r="E101" s="2370">
        <v>3</v>
      </c>
      <c r="F101" s="697">
        <v>0</v>
      </c>
      <c r="G101" s="697">
        <v>0</v>
      </c>
      <c r="H101" s="697">
        <v>0</v>
      </c>
      <c r="I101" s="697">
        <v>0</v>
      </c>
      <c r="J101" s="697">
        <v>0</v>
      </c>
      <c r="K101" s="1597">
        <f t="shared" si="149"/>
        <v>0</v>
      </c>
      <c r="L101" s="1655"/>
      <c r="M101" s="1660"/>
      <c r="N101" s="1660"/>
      <c r="O101" s="1660"/>
      <c r="P101" s="1660"/>
      <c r="Q101" s="1660"/>
      <c r="R101" s="2592"/>
      <c r="S101" s="2592"/>
      <c r="T101" s="2593"/>
      <c r="U101" s="197"/>
      <c r="V101" s="1071" t="s">
        <v>9804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1" t="s">
        <v>9796</v>
      </c>
      <c r="AU101" s="2369" t="s">
        <v>9223</v>
      </c>
      <c r="AV101" s="697" t="s">
        <v>9805</v>
      </c>
      <c r="AW101" s="697" t="s">
        <v>9806</v>
      </c>
      <c r="AX101" s="697" t="s">
        <v>9807</v>
      </c>
      <c r="AY101" s="697" t="s">
        <v>9808</v>
      </c>
      <c r="AZ101" s="697" t="s">
        <v>9809</v>
      </c>
      <c r="BA101" s="1597" t="s">
        <v>9810</v>
      </c>
      <c r="BB101" s="1655"/>
      <c r="BC101" s="1660"/>
      <c r="BD101" s="1660"/>
      <c r="BE101" s="1660"/>
      <c r="BF101" s="1660"/>
      <c r="BG101" s="1660"/>
      <c r="BH101" s="2594"/>
      <c r="BI101" s="2594"/>
      <c r="BJ101" s="2595"/>
    </row>
    <row r="102" spans="1:62" ht="34.5" customHeight="1">
      <c r="A102" s="197"/>
      <c r="B102" s="2377" t="s">
        <v>9796</v>
      </c>
      <c r="C102" s="2369" t="s">
        <v>9231</v>
      </c>
      <c r="D102" s="2370" t="s">
        <v>4215</v>
      </c>
      <c r="E102" s="2370">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2.2519999999999998</v>
      </c>
      <c r="K102" s="1597">
        <f t="shared" si="149"/>
        <v>2.2519999999999998</v>
      </c>
      <c r="L102" s="1655"/>
      <c r="M102" s="1660"/>
      <c r="N102" s="1660"/>
      <c r="O102" s="1660"/>
      <c r="P102" s="1660"/>
      <c r="Q102" s="1660"/>
      <c r="R102" s="2097">
        <v>5.9950000000000001</v>
      </c>
      <c r="S102" s="2097">
        <v>10.256</v>
      </c>
      <c r="T102" s="2376">
        <v>16.526</v>
      </c>
      <c r="U102" s="197"/>
      <c r="V102" s="1071" t="s">
        <v>9811</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1" t="s">
        <v>9796</v>
      </c>
      <c r="AU102" s="2369" t="s">
        <v>9231</v>
      </c>
      <c r="AV102" s="1597" t="s">
        <v>9812</v>
      </c>
      <c r="AW102" s="1597" t="s">
        <v>9813</v>
      </c>
      <c r="AX102" s="1597" t="s">
        <v>9814</v>
      </c>
      <c r="AY102" s="1597" t="s">
        <v>9815</v>
      </c>
      <c r="AZ102" s="1597" t="s">
        <v>9816</v>
      </c>
      <c r="BA102" s="1597" t="s">
        <v>9817</v>
      </c>
      <c r="BB102" s="1655"/>
      <c r="BC102" s="1660"/>
      <c r="BD102" s="1660"/>
      <c r="BE102" s="1660"/>
      <c r="BF102" s="1660"/>
      <c r="BG102" s="1660"/>
      <c r="BH102" s="2097" t="s">
        <v>17389</v>
      </c>
      <c r="BI102" s="2097" t="s">
        <v>17390</v>
      </c>
      <c r="BJ102" s="2376" t="s">
        <v>17391</v>
      </c>
    </row>
    <row r="103" spans="1:62" ht="15.75" customHeight="1">
      <c r="A103" s="197"/>
      <c r="B103" s="2377" t="s">
        <v>9818</v>
      </c>
      <c r="C103" s="2369" t="s">
        <v>9215</v>
      </c>
      <c r="D103" s="2370" t="s">
        <v>4215</v>
      </c>
      <c r="E103" s="2370">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9819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1" t="s">
        <v>9818</v>
      </c>
      <c r="AU103" s="2369" t="s">
        <v>9215</v>
      </c>
      <c r="AV103" s="697" t="s">
        <v>9820</v>
      </c>
      <c r="AW103" s="697" t="s">
        <v>9821</v>
      </c>
      <c r="AX103" s="697" t="s">
        <v>9822</v>
      </c>
      <c r="AY103" s="697" t="s">
        <v>9823</v>
      </c>
      <c r="AZ103" s="697" t="s">
        <v>9824</v>
      </c>
      <c r="BA103" s="1597" t="s">
        <v>9825</v>
      </c>
      <c r="BB103" s="1655"/>
      <c r="BC103" s="1660"/>
      <c r="BD103" s="1660"/>
      <c r="BE103" s="1660"/>
      <c r="BF103" s="1660"/>
      <c r="BG103" s="1660"/>
      <c r="BH103" s="1657"/>
      <c r="BI103" s="1657"/>
      <c r="BJ103" s="1671"/>
    </row>
    <row r="104" spans="1:62" ht="15.75" customHeight="1">
      <c r="A104" s="197"/>
      <c r="B104" s="2377" t="s">
        <v>9818</v>
      </c>
      <c r="C104" s="2369" t="s">
        <v>9223</v>
      </c>
      <c r="D104" s="2370" t="s">
        <v>4215</v>
      </c>
      <c r="E104" s="2370">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9826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1" t="s">
        <v>9818</v>
      </c>
      <c r="AU104" s="2369" t="s">
        <v>9223</v>
      </c>
      <c r="AV104" s="697" t="s">
        <v>9827</v>
      </c>
      <c r="AW104" s="697" t="s">
        <v>9828</v>
      </c>
      <c r="AX104" s="697" t="s">
        <v>9829</v>
      </c>
      <c r="AY104" s="697" t="s">
        <v>9830</v>
      </c>
      <c r="AZ104" s="697" t="s">
        <v>9831</v>
      </c>
      <c r="BA104" s="1597" t="s">
        <v>9832</v>
      </c>
      <c r="BB104" s="1655"/>
      <c r="BC104" s="1660"/>
      <c r="BD104" s="1660"/>
      <c r="BE104" s="1660"/>
      <c r="BF104" s="1660"/>
      <c r="BG104" s="1660"/>
      <c r="BH104" s="1657"/>
      <c r="BI104" s="1657"/>
      <c r="BJ104" s="1671"/>
    </row>
    <row r="105" spans="1:62" ht="15.75" customHeight="1">
      <c r="A105" s="197"/>
      <c r="B105" s="2377" t="s">
        <v>9818</v>
      </c>
      <c r="C105" s="2369" t="s">
        <v>9231</v>
      </c>
      <c r="D105" s="2370" t="s">
        <v>4215</v>
      </c>
      <c r="E105" s="2370">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6">
        <v>0</v>
      </c>
      <c r="U105" s="197"/>
      <c r="V105" s="1071" t="s">
        <v>9833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2" t="s">
        <v>9818</v>
      </c>
      <c r="AU105" s="2373" t="s">
        <v>9231</v>
      </c>
      <c r="AV105" s="1597" t="s">
        <v>9834</v>
      </c>
      <c r="AW105" s="1597" t="s">
        <v>9835</v>
      </c>
      <c r="AX105" s="1597" t="s">
        <v>9836</v>
      </c>
      <c r="AY105" s="1597" t="s">
        <v>9837</v>
      </c>
      <c r="AZ105" s="1597" t="s">
        <v>9838</v>
      </c>
      <c r="BA105" s="1597" t="s">
        <v>9839</v>
      </c>
      <c r="BB105" s="1655"/>
      <c r="BC105" s="1660"/>
      <c r="BD105" s="1660"/>
      <c r="BE105" s="1660"/>
      <c r="BF105" s="1660"/>
      <c r="BG105" s="1660"/>
      <c r="BH105" s="2097" t="s">
        <v>17392</v>
      </c>
      <c r="BI105" s="2097" t="s">
        <v>17393</v>
      </c>
      <c r="BJ105" s="2376" t="s">
        <v>17394</v>
      </c>
    </row>
    <row r="106" spans="1:62" ht="15.75" customHeight="1">
      <c r="A106" s="197"/>
      <c r="B106" s="1067" t="s">
        <v>9840</v>
      </c>
      <c r="C106" s="354" t="s">
        <v>9215</v>
      </c>
      <c r="D106" s="286" t="s">
        <v>4215</v>
      </c>
      <c r="E106" s="286">
        <v>3</v>
      </c>
      <c r="F106" s="1597">
        <f t="shared" ref="F106:J107" si="210">IFERROR(SUM(F97,F100,F103), 0)</f>
        <v>0</v>
      </c>
      <c r="G106" s="1597">
        <f t="shared" si="210"/>
        <v>0</v>
      </c>
      <c r="H106" s="1597">
        <f t="shared" si="210"/>
        <v>0</v>
      </c>
      <c r="I106" s="1597">
        <f t="shared" si="210"/>
        <v>0</v>
      </c>
      <c r="J106" s="1597">
        <f t="shared" si="210"/>
        <v>2.2519999999999998</v>
      </c>
      <c r="K106" s="1597">
        <f>IFERROR(SUM(F106:J106), 0)</f>
        <v>2.2519999999999998</v>
      </c>
      <c r="L106" s="1655"/>
      <c r="M106" s="1660"/>
      <c r="N106" s="1660"/>
      <c r="O106" s="1660"/>
      <c r="P106" s="1660"/>
      <c r="Q106" s="1660"/>
      <c r="R106" s="1657"/>
      <c r="S106" s="1657"/>
      <c r="T106" s="1671"/>
      <c r="U106" s="197"/>
      <c r="V106" s="1071" t="s">
        <v>9841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9840</v>
      </c>
      <c r="AU106" s="354" t="s">
        <v>9215</v>
      </c>
      <c r="AV106" s="1597" t="s">
        <v>9842</v>
      </c>
      <c r="AW106" s="1597" t="s">
        <v>9843</v>
      </c>
      <c r="AX106" s="1597" t="s">
        <v>9844</v>
      </c>
      <c r="AY106" s="1597" t="s">
        <v>9845</v>
      </c>
      <c r="AZ106" s="1597" t="s">
        <v>9846</v>
      </c>
      <c r="BA106" s="1597" t="s">
        <v>9847</v>
      </c>
      <c r="BB106" s="1655"/>
      <c r="BC106" s="1660"/>
      <c r="BD106" s="1660"/>
      <c r="BE106" s="1660"/>
      <c r="BF106" s="1660"/>
      <c r="BG106" s="1660"/>
      <c r="BH106" s="1657"/>
      <c r="BI106" s="1657"/>
      <c r="BJ106" s="1671"/>
    </row>
    <row r="107" spans="1:62" ht="15.75" customHeight="1">
      <c r="A107" s="197"/>
      <c r="B107" s="1067" t="s">
        <v>9840</v>
      </c>
      <c r="C107" s="354" t="s">
        <v>9223</v>
      </c>
      <c r="D107" s="286" t="s">
        <v>4215</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9848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9840</v>
      </c>
      <c r="AU107" s="354" t="s">
        <v>9223</v>
      </c>
      <c r="AV107" s="1597" t="s">
        <v>9849</v>
      </c>
      <c r="AW107" s="1597" t="s">
        <v>9850</v>
      </c>
      <c r="AX107" s="1597" t="s">
        <v>9851</v>
      </c>
      <c r="AY107" s="1597" t="s">
        <v>9852</v>
      </c>
      <c r="AZ107" s="1597" t="s">
        <v>9853</v>
      </c>
      <c r="BA107" s="1597" t="s">
        <v>9854</v>
      </c>
      <c r="BB107" s="1655"/>
      <c r="BC107" s="1660"/>
      <c r="BD107" s="1660"/>
      <c r="BE107" s="1660"/>
      <c r="BF107" s="1660"/>
      <c r="BG107" s="1660"/>
      <c r="BH107" s="1657"/>
      <c r="BI107" s="1657"/>
      <c r="BJ107" s="1671"/>
    </row>
    <row r="108" spans="1:62" ht="15.75" customHeight="1">
      <c r="A108" s="197"/>
      <c r="B108" s="1067" t="s">
        <v>9840</v>
      </c>
      <c r="C108" s="354" t="s">
        <v>9231</v>
      </c>
      <c r="D108" s="286" t="s">
        <v>4215</v>
      </c>
      <c r="E108" s="286">
        <v>3</v>
      </c>
      <c r="F108" s="1597">
        <f>IFERROR(SUM(F106:F107), 0)</f>
        <v>0</v>
      </c>
      <c r="G108" s="1597">
        <f t="shared" ref="G108:I108" si="216">IFERROR(SUM(G106:G107), 0)</f>
        <v>0</v>
      </c>
      <c r="H108" s="1597">
        <f t="shared" si="216"/>
        <v>0</v>
      </c>
      <c r="I108" s="1597">
        <f t="shared" si="216"/>
        <v>0</v>
      </c>
      <c r="J108" s="1597">
        <f>IFERROR(SUM(J106:J107), 0)</f>
        <v>2.2519999999999998</v>
      </c>
      <c r="K108" s="1597">
        <f t="shared" si="135"/>
        <v>2.2519999999999998</v>
      </c>
      <c r="L108" s="1655"/>
      <c r="M108" s="1660"/>
      <c r="N108" s="1660"/>
      <c r="O108" s="1660"/>
      <c r="P108" s="1660"/>
      <c r="Q108" s="1660"/>
      <c r="R108" s="2097">
        <v>5.9950000000000001</v>
      </c>
      <c r="S108" s="2097">
        <v>10.256</v>
      </c>
      <c r="T108" s="2376">
        <v>16.526</v>
      </c>
      <c r="U108" s="197"/>
      <c r="V108" s="1071" t="s">
        <v>9855</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9840</v>
      </c>
      <c r="AU108" s="354" t="s">
        <v>9231</v>
      </c>
      <c r="AV108" s="1597" t="s">
        <v>9856</v>
      </c>
      <c r="AW108" s="1597" t="s">
        <v>9857</v>
      </c>
      <c r="AX108" s="1597" t="s">
        <v>9858</v>
      </c>
      <c r="AY108" s="1597" t="s">
        <v>9859</v>
      </c>
      <c r="AZ108" s="1597" t="s">
        <v>9860</v>
      </c>
      <c r="BA108" s="1597" t="s">
        <v>9861</v>
      </c>
      <c r="BB108" s="1655"/>
      <c r="BC108" s="1660"/>
      <c r="BD108" s="1660"/>
      <c r="BE108" s="1660"/>
      <c r="BF108" s="1660"/>
      <c r="BG108" s="1660"/>
      <c r="BH108" s="2097" t="s">
        <v>9862</v>
      </c>
      <c r="BI108" s="2097" t="s">
        <v>9863</v>
      </c>
      <c r="BJ108" s="2376" t="s">
        <v>9864</v>
      </c>
    </row>
    <row r="109" spans="1:62" ht="15.75" customHeight="1">
      <c r="A109" s="197"/>
      <c r="B109" s="1067" t="s">
        <v>9865</v>
      </c>
      <c r="C109" s="354" t="s">
        <v>9215</v>
      </c>
      <c r="D109" s="286" t="s">
        <v>4215</v>
      </c>
      <c r="E109" s="286">
        <v>3</v>
      </c>
      <c r="F109" s="697">
        <v>2E-3</v>
      </c>
      <c r="G109" s="697">
        <v>1E-3</v>
      </c>
      <c r="H109" s="697">
        <v>0</v>
      </c>
      <c r="I109" s="697">
        <v>0.46800000000000003</v>
      </c>
      <c r="J109" s="697">
        <v>1.0349999999999999</v>
      </c>
      <c r="K109" s="1597">
        <f t="shared" si="135"/>
        <v>1.506</v>
      </c>
      <c r="L109" s="1655"/>
      <c r="M109" s="1660"/>
      <c r="N109" s="1660"/>
      <c r="O109" s="1660"/>
      <c r="P109" s="1660"/>
      <c r="Q109" s="1655"/>
      <c r="R109" s="1657"/>
      <c r="S109" s="1657"/>
      <c r="T109" s="1671"/>
      <c r="U109" s="197"/>
      <c r="V109" s="1071" t="s">
        <v>9866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9865</v>
      </c>
      <c r="AU109" s="354" t="s">
        <v>9215</v>
      </c>
      <c r="AV109" s="697" t="s">
        <v>9867</v>
      </c>
      <c r="AW109" s="697" t="s">
        <v>9868</v>
      </c>
      <c r="AX109" s="697" t="s">
        <v>9869</v>
      </c>
      <c r="AY109" s="697" t="s">
        <v>9870</v>
      </c>
      <c r="AZ109" s="697" t="s">
        <v>9871</v>
      </c>
      <c r="BA109" s="1597" t="s">
        <v>9872</v>
      </c>
      <c r="BB109" s="1655"/>
      <c r="BC109" s="1660"/>
      <c r="BD109" s="1660"/>
      <c r="BE109" s="1660"/>
      <c r="BF109" s="1660"/>
      <c r="BG109" s="1655"/>
      <c r="BH109" s="1657"/>
      <c r="BI109" s="1657"/>
      <c r="BJ109" s="1671"/>
    </row>
    <row r="110" spans="1:62" ht="15.75" customHeight="1">
      <c r="A110" s="197"/>
      <c r="B110" s="1067" t="s">
        <v>9865</v>
      </c>
      <c r="C110" s="354" t="s">
        <v>9223</v>
      </c>
      <c r="D110" s="286" t="s">
        <v>4215</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9873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9865</v>
      </c>
      <c r="AU110" s="354" t="s">
        <v>9223</v>
      </c>
      <c r="AV110" s="697" t="s">
        <v>9874</v>
      </c>
      <c r="AW110" s="697" t="s">
        <v>9875</v>
      </c>
      <c r="AX110" s="697" t="s">
        <v>9876</v>
      </c>
      <c r="AY110" s="697" t="s">
        <v>9877</v>
      </c>
      <c r="AZ110" s="697" t="s">
        <v>9878</v>
      </c>
      <c r="BA110" s="1597" t="s">
        <v>9879</v>
      </c>
      <c r="BB110" s="1655"/>
      <c r="BC110" s="1660"/>
      <c r="BD110" s="1660"/>
      <c r="BE110" s="1660"/>
      <c r="BF110" s="1660"/>
      <c r="BG110" s="1655"/>
      <c r="BH110" s="1657"/>
      <c r="BI110" s="1657"/>
      <c r="BJ110" s="1671"/>
    </row>
    <row r="111" spans="1:62" ht="15.75" customHeight="1">
      <c r="A111" s="197"/>
      <c r="B111" s="1067" t="s">
        <v>9865</v>
      </c>
      <c r="C111" s="354" t="s">
        <v>9231</v>
      </c>
      <c r="D111" s="286" t="s">
        <v>4215</v>
      </c>
      <c r="E111" s="286">
        <v>3</v>
      </c>
      <c r="F111" s="1597">
        <f>IFERROR(SUM(F109:F110), 0)</f>
        <v>2E-3</v>
      </c>
      <c r="G111" s="1597">
        <f>IFERROR(SUM(G109:G110), 0)</f>
        <v>1E-3</v>
      </c>
      <c r="H111" s="1597">
        <f t="shared" ref="H111:J111" si="225">IFERROR(SUM(H109:H110), 0)</f>
        <v>0</v>
      </c>
      <c r="I111" s="1597">
        <f t="shared" si="225"/>
        <v>0.46800000000000003</v>
      </c>
      <c r="J111" s="1597">
        <f t="shared" si="225"/>
        <v>1.0349999999999999</v>
      </c>
      <c r="K111" s="1597">
        <f t="shared" si="135"/>
        <v>1.506</v>
      </c>
      <c r="L111" s="1655"/>
      <c r="M111" s="1660"/>
      <c r="N111" s="1660"/>
      <c r="O111" s="1660"/>
      <c r="P111" s="1660"/>
      <c r="Q111" s="1655"/>
      <c r="R111" s="2097">
        <v>4.8739999999999997</v>
      </c>
      <c r="S111" s="2097">
        <v>2.6589999999999998</v>
      </c>
      <c r="T111" s="2376">
        <v>4.2850000000000001</v>
      </c>
      <c r="U111" s="197"/>
      <c r="V111" s="1071" t="s">
        <v>9880</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9865</v>
      </c>
      <c r="AU111" s="354" t="s">
        <v>9231</v>
      </c>
      <c r="AV111" s="1597" t="s">
        <v>9881</v>
      </c>
      <c r="AW111" s="1597" t="s">
        <v>9882</v>
      </c>
      <c r="AX111" s="1597" t="s">
        <v>9883</v>
      </c>
      <c r="AY111" s="1597" t="s">
        <v>9884</v>
      </c>
      <c r="AZ111" s="1597" t="s">
        <v>9885</v>
      </c>
      <c r="BA111" s="1597" t="s">
        <v>9886</v>
      </c>
      <c r="BB111" s="1655"/>
      <c r="BC111" s="1660"/>
      <c r="BD111" s="1660"/>
      <c r="BE111" s="1660"/>
      <c r="BF111" s="1660"/>
      <c r="BG111" s="1655"/>
      <c r="BH111" s="2097" t="s">
        <v>9887</v>
      </c>
      <c r="BI111" s="2097" t="s">
        <v>9888</v>
      </c>
      <c r="BJ111" s="2376" t="s">
        <v>9889</v>
      </c>
    </row>
    <row r="112" spans="1:62" ht="15.75" customHeight="1">
      <c r="A112" s="197"/>
      <c r="B112" s="1067" t="s">
        <v>9890</v>
      </c>
      <c r="C112" s="354" t="s">
        <v>9215</v>
      </c>
      <c r="D112" s="286" t="s">
        <v>4215</v>
      </c>
      <c r="E112" s="286">
        <v>3</v>
      </c>
      <c r="F112" s="697">
        <v>3.1E-2</v>
      </c>
      <c r="G112" s="697">
        <v>7.0000000000000001E-3</v>
      </c>
      <c r="H112" s="697">
        <v>3.0000000000000001E-3</v>
      </c>
      <c r="I112" s="697">
        <v>0.107</v>
      </c>
      <c r="J112" s="697">
        <v>0.19700000000000001</v>
      </c>
      <c r="K112" s="1597">
        <f t="shared" si="135"/>
        <v>0.34499999999999997</v>
      </c>
      <c r="L112" s="1655"/>
      <c r="M112" s="1660"/>
      <c r="N112" s="1660"/>
      <c r="O112" s="1660"/>
      <c r="P112" s="1660"/>
      <c r="Q112" s="1655"/>
      <c r="R112" s="1657"/>
      <c r="S112" s="1657"/>
      <c r="T112" s="1671"/>
      <c r="U112" s="197"/>
      <c r="V112" s="1071" t="s">
        <v>9891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9890</v>
      </c>
      <c r="AU112" s="354" t="s">
        <v>9215</v>
      </c>
      <c r="AV112" s="697" t="s">
        <v>9892</v>
      </c>
      <c r="AW112" s="697" t="s">
        <v>9893</v>
      </c>
      <c r="AX112" s="697" t="s">
        <v>9894</v>
      </c>
      <c r="AY112" s="697" t="s">
        <v>9895</v>
      </c>
      <c r="AZ112" s="697" t="s">
        <v>9896</v>
      </c>
      <c r="BA112" s="1597" t="s">
        <v>9897</v>
      </c>
      <c r="BB112" s="1655"/>
      <c r="BC112" s="1660"/>
      <c r="BD112" s="1660"/>
      <c r="BE112" s="1660"/>
      <c r="BF112" s="1660"/>
      <c r="BG112" s="1655"/>
      <c r="BH112" s="1657"/>
      <c r="BI112" s="1657"/>
      <c r="BJ112" s="1671"/>
    </row>
    <row r="113" spans="1:62" ht="15.75" customHeight="1">
      <c r="A113" s="197"/>
      <c r="B113" s="1067" t="s">
        <v>9890</v>
      </c>
      <c r="C113" s="354" t="s">
        <v>9223</v>
      </c>
      <c r="D113" s="286" t="s">
        <v>4215</v>
      </c>
      <c r="E113" s="286">
        <v>3</v>
      </c>
      <c r="F113" s="697">
        <v>0</v>
      </c>
      <c r="G113" s="697">
        <v>0</v>
      </c>
      <c r="H113" s="697">
        <v>0</v>
      </c>
      <c r="I113" s="697">
        <v>0</v>
      </c>
      <c r="J113" s="697">
        <v>0</v>
      </c>
      <c r="K113" s="1597">
        <f t="shared" si="135"/>
        <v>0</v>
      </c>
      <c r="L113" s="1655"/>
      <c r="M113" s="1660"/>
      <c r="N113" s="1660"/>
      <c r="O113" s="1660"/>
      <c r="P113" s="1660"/>
      <c r="Q113" s="1655"/>
      <c r="R113" s="1657"/>
      <c r="S113" s="1657"/>
      <c r="T113" s="1671"/>
      <c r="U113" s="197"/>
      <c r="V113" s="1071" t="s">
        <v>9898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9890</v>
      </c>
      <c r="AU113" s="354" t="s">
        <v>9223</v>
      </c>
      <c r="AV113" s="697" t="s">
        <v>9899</v>
      </c>
      <c r="AW113" s="697" t="s">
        <v>9900</v>
      </c>
      <c r="AX113" s="697" t="s">
        <v>9901</v>
      </c>
      <c r="AY113" s="697" t="s">
        <v>9902</v>
      </c>
      <c r="AZ113" s="697" t="s">
        <v>9903</v>
      </c>
      <c r="BA113" s="1597" t="s">
        <v>9904</v>
      </c>
      <c r="BB113" s="1655"/>
      <c r="BC113" s="1660"/>
      <c r="BD113" s="1660"/>
      <c r="BE113" s="1660"/>
      <c r="BF113" s="1660"/>
      <c r="BG113" s="1655"/>
      <c r="BH113" s="1657"/>
      <c r="BI113" s="1657"/>
      <c r="BJ113" s="1671"/>
    </row>
    <row r="114" spans="1:62" ht="15.75" customHeight="1">
      <c r="A114" s="197"/>
      <c r="B114" s="1067" t="s">
        <v>9890</v>
      </c>
      <c r="C114" s="354" t="s">
        <v>9231</v>
      </c>
      <c r="D114" s="286" t="s">
        <v>4215</v>
      </c>
      <c r="E114" s="286">
        <v>3</v>
      </c>
      <c r="F114" s="1597">
        <f>IFERROR(SUM(F112:F113), 0)</f>
        <v>3.1E-2</v>
      </c>
      <c r="G114" s="1597">
        <f t="shared" ref="G114:J114" si="234">IFERROR(SUM(G112:G113), 0)</f>
        <v>7.0000000000000001E-3</v>
      </c>
      <c r="H114" s="1597">
        <f t="shared" si="234"/>
        <v>3.0000000000000001E-3</v>
      </c>
      <c r="I114" s="1597">
        <f>IFERROR(SUM(I112:I113), 0)</f>
        <v>0.107</v>
      </c>
      <c r="J114" s="1597">
        <f t="shared" si="234"/>
        <v>0.19700000000000001</v>
      </c>
      <c r="K114" s="1597">
        <f t="shared" si="135"/>
        <v>0.34499999999999997</v>
      </c>
      <c r="L114" s="1655"/>
      <c r="M114" s="1660"/>
      <c r="N114" s="1660"/>
      <c r="O114" s="1660"/>
      <c r="P114" s="1660"/>
      <c r="Q114" s="1655"/>
      <c r="R114" s="2097">
        <v>0.66700000000000004</v>
      </c>
      <c r="S114" s="2097">
        <v>6.2850000000000001</v>
      </c>
      <c r="T114" s="2376">
        <v>10.093999999999999</v>
      </c>
      <c r="U114" s="197"/>
      <c r="V114" s="1071" t="s">
        <v>9905</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9890</v>
      </c>
      <c r="AU114" s="354" t="s">
        <v>9231</v>
      </c>
      <c r="AV114" s="1597" t="s">
        <v>9906</v>
      </c>
      <c r="AW114" s="1597" t="s">
        <v>9907</v>
      </c>
      <c r="AX114" s="1597" t="s">
        <v>9908</v>
      </c>
      <c r="AY114" s="1597" t="s">
        <v>9909</v>
      </c>
      <c r="AZ114" s="1597" t="s">
        <v>9910</v>
      </c>
      <c r="BA114" s="1597" t="s">
        <v>9911</v>
      </c>
      <c r="BB114" s="1655"/>
      <c r="BC114" s="1660"/>
      <c r="BD114" s="1660"/>
      <c r="BE114" s="1660"/>
      <c r="BF114" s="1660"/>
      <c r="BG114" s="1655"/>
      <c r="BH114" s="2097" t="s">
        <v>9912</v>
      </c>
      <c r="BI114" s="2097" t="s">
        <v>9913</v>
      </c>
      <c r="BJ114" s="2376" t="s">
        <v>9914</v>
      </c>
    </row>
    <row r="115" spans="1:62" ht="15.75" customHeight="1">
      <c r="A115" s="197"/>
      <c r="B115" s="1102" t="s">
        <v>18838</v>
      </c>
      <c r="C115" s="354" t="s">
        <v>9215</v>
      </c>
      <c r="D115" s="286" t="s">
        <v>4215</v>
      </c>
      <c r="E115" s="286">
        <v>3</v>
      </c>
      <c r="F115" s="697">
        <v>18.989999999999998</v>
      </c>
      <c r="G115" s="697">
        <v>0</v>
      </c>
      <c r="H115" s="697">
        <v>0</v>
      </c>
      <c r="I115" s="697">
        <v>0</v>
      </c>
      <c r="J115" s="697">
        <v>0</v>
      </c>
      <c r="K115" s="1597">
        <f>IFERROR(SUM(F115:J115), 0)</f>
        <v>18.989999999999998</v>
      </c>
      <c r="L115" s="1655"/>
      <c r="M115" s="1660"/>
      <c r="N115" s="1660"/>
      <c r="O115" s="1660"/>
      <c r="P115" s="1660"/>
      <c r="Q115" s="1655"/>
      <c r="R115" s="2097">
        <v>62.686999999999998</v>
      </c>
      <c r="S115" s="2097">
        <v>60.953000000000003</v>
      </c>
      <c r="T115" s="2376">
        <v>89.161000000000001</v>
      </c>
      <c r="U115" s="197"/>
      <c r="V115" s="1071" t="s">
        <v>9916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9915</v>
      </c>
      <c r="AU115" s="354" t="s">
        <v>9215</v>
      </c>
      <c r="AV115" s="697" t="s">
        <v>9917</v>
      </c>
      <c r="AW115" s="697" t="s">
        <v>9918</v>
      </c>
      <c r="AX115" s="697" t="s">
        <v>9919</v>
      </c>
      <c r="AY115" s="697" t="s">
        <v>9920</v>
      </c>
      <c r="AZ115" s="697" t="s">
        <v>9921</v>
      </c>
      <c r="BA115" s="1597" t="s">
        <v>9922</v>
      </c>
      <c r="BB115" s="1655"/>
      <c r="BC115" s="1660"/>
      <c r="BD115" s="1660"/>
      <c r="BE115" s="1660"/>
      <c r="BF115" s="1660"/>
      <c r="BG115" s="1655"/>
      <c r="BH115" s="2097" t="s">
        <v>9923</v>
      </c>
      <c r="BI115" s="2097" t="s">
        <v>9924</v>
      </c>
      <c r="BJ115" s="2376" t="s">
        <v>9925</v>
      </c>
    </row>
    <row r="116" spans="1:62" ht="15.75" customHeight="1">
      <c r="A116" s="197"/>
      <c r="B116" s="1102" t="s">
        <v>18838</v>
      </c>
      <c r="C116" s="354" t="s">
        <v>9223</v>
      </c>
      <c r="D116" s="286" t="s">
        <v>4215</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6">
        <v>0</v>
      </c>
      <c r="U116" s="197"/>
      <c r="V116" s="1071" t="s">
        <v>9926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9915</v>
      </c>
      <c r="AU116" s="354" t="s">
        <v>9223</v>
      </c>
      <c r="AV116" s="697" t="s">
        <v>9927</v>
      </c>
      <c r="AW116" s="697" t="s">
        <v>9928</v>
      </c>
      <c r="AX116" s="697" t="s">
        <v>9929</v>
      </c>
      <c r="AY116" s="697" t="s">
        <v>9930</v>
      </c>
      <c r="AZ116" s="697" t="s">
        <v>9931</v>
      </c>
      <c r="BA116" s="1597" t="s">
        <v>9932</v>
      </c>
      <c r="BB116" s="1655"/>
      <c r="BC116" s="1660"/>
      <c r="BD116" s="1660"/>
      <c r="BE116" s="1660"/>
      <c r="BF116" s="1660"/>
      <c r="BG116" s="1655"/>
      <c r="BH116" s="2097" t="s">
        <v>9933</v>
      </c>
      <c r="BI116" s="2097" t="s">
        <v>9934</v>
      </c>
      <c r="BJ116" s="2376" t="s">
        <v>9935</v>
      </c>
    </row>
    <row r="117" spans="1:62" ht="15.75" customHeight="1">
      <c r="A117" s="197"/>
      <c r="B117" s="1102" t="s">
        <v>18839</v>
      </c>
      <c r="C117" s="354" t="s">
        <v>9215</v>
      </c>
      <c r="D117" s="286" t="s">
        <v>4215</v>
      </c>
      <c r="E117" s="286">
        <v>3</v>
      </c>
      <c r="F117" s="697">
        <v>0</v>
      </c>
      <c r="G117" s="697">
        <v>0</v>
      </c>
      <c r="H117" s="697">
        <v>0</v>
      </c>
      <c r="I117" s="697">
        <v>4.5019999999999998</v>
      </c>
      <c r="J117" s="697">
        <v>0</v>
      </c>
      <c r="K117" s="1597">
        <f t="shared" si="135"/>
        <v>4.5019999999999998</v>
      </c>
      <c r="L117" s="1655"/>
      <c r="M117" s="1655"/>
      <c r="N117" s="1655"/>
      <c r="O117" s="1655"/>
      <c r="P117" s="1655"/>
      <c r="Q117" s="1655"/>
      <c r="R117" s="2097">
        <v>11.762</v>
      </c>
      <c r="S117" s="2097">
        <v>9.9359999999999999</v>
      </c>
      <c r="T117" s="2376">
        <v>16.010000000000002</v>
      </c>
      <c r="U117" s="197"/>
      <c r="V117" s="1071" t="s">
        <v>9937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9936</v>
      </c>
      <c r="AU117" s="354" t="s">
        <v>9215</v>
      </c>
      <c r="AV117" s="697" t="s">
        <v>9938</v>
      </c>
      <c r="AW117" s="697" t="s">
        <v>9939</v>
      </c>
      <c r="AX117" s="697" t="s">
        <v>9940</v>
      </c>
      <c r="AY117" s="697" t="s">
        <v>9941</v>
      </c>
      <c r="AZ117" s="697" t="s">
        <v>9942</v>
      </c>
      <c r="BA117" s="1597" t="s">
        <v>9943</v>
      </c>
      <c r="BB117" s="1655"/>
      <c r="BC117" s="1655"/>
      <c r="BD117" s="1655"/>
      <c r="BE117" s="1655"/>
      <c r="BF117" s="1655"/>
      <c r="BG117" s="1655"/>
      <c r="BH117" s="2097" t="s">
        <v>9944</v>
      </c>
      <c r="BI117" s="2097" t="s">
        <v>9945</v>
      </c>
      <c r="BJ117" s="2376" t="s">
        <v>9946</v>
      </c>
    </row>
    <row r="118" spans="1:62" ht="15.75" customHeight="1">
      <c r="A118" s="197"/>
      <c r="B118" s="1102" t="s">
        <v>18839</v>
      </c>
      <c r="C118" s="354" t="s">
        <v>9223</v>
      </c>
      <c r="D118" s="286" t="s">
        <v>4215</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6">
        <v>0</v>
      </c>
      <c r="U118" s="197"/>
      <c r="V118" s="1071" t="s">
        <v>9947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9936</v>
      </c>
      <c r="AU118" s="354" t="s">
        <v>9223</v>
      </c>
      <c r="AV118" s="697" t="s">
        <v>9948</v>
      </c>
      <c r="AW118" s="697" t="s">
        <v>9949</v>
      </c>
      <c r="AX118" s="697" t="s">
        <v>9950</v>
      </c>
      <c r="AY118" s="697" t="s">
        <v>9951</v>
      </c>
      <c r="AZ118" s="697" t="s">
        <v>9952</v>
      </c>
      <c r="BA118" s="1597" t="s">
        <v>9953</v>
      </c>
      <c r="BB118" s="1655"/>
      <c r="BC118" s="1655"/>
      <c r="BD118" s="1655"/>
      <c r="BE118" s="1655"/>
      <c r="BF118" s="1655"/>
      <c r="BG118" s="1655"/>
      <c r="BH118" s="2097" t="s">
        <v>9954</v>
      </c>
      <c r="BI118" s="2097" t="s">
        <v>9955</v>
      </c>
      <c r="BJ118" s="2376" t="s">
        <v>9956</v>
      </c>
    </row>
    <row r="119" spans="1:62" ht="15.75" customHeight="1">
      <c r="A119" s="197"/>
      <c r="B119" s="1102" t="s">
        <v>18840</v>
      </c>
      <c r="C119" s="354" t="s">
        <v>9215</v>
      </c>
      <c r="D119" s="286" t="s">
        <v>4215</v>
      </c>
      <c r="E119" s="286">
        <v>3</v>
      </c>
      <c r="F119" s="697">
        <v>7.8840000000000003</v>
      </c>
      <c r="G119" s="697">
        <v>0</v>
      </c>
      <c r="H119" s="697">
        <v>0</v>
      </c>
      <c r="I119" s="697">
        <v>0</v>
      </c>
      <c r="J119" s="697">
        <v>0</v>
      </c>
      <c r="K119" s="1597">
        <f t="shared" si="135"/>
        <v>7.8840000000000003</v>
      </c>
      <c r="L119" s="1655"/>
      <c r="M119" s="1655"/>
      <c r="N119" s="1655"/>
      <c r="O119" s="1655"/>
      <c r="P119" s="1655"/>
      <c r="Q119" s="1655"/>
      <c r="R119" s="2097">
        <v>12.016</v>
      </c>
      <c r="S119" s="2097">
        <v>4.1399999999999997</v>
      </c>
      <c r="T119" s="2376">
        <v>6.056</v>
      </c>
      <c r="U119" s="197"/>
      <c r="V119" s="1071" t="s">
        <v>9958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9957</v>
      </c>
      <c r="AU119" s="354" t="s">
        <v>9215</v>
      </c>
      <c r="AV119" s="697" t="s">
        <v>9959</v>
      </c>
      <c r="AW119" s="697" t="s">
        <v>9960</v>
      </c>
      <c r="AX119" s="697" t="s">
        <v>9961</v>
      </c>
      <c r="AY119" s="697" t="s">
        <v>9962</v>
      </c>
      <c r="AZ119" s="697" t="s">
        <v>9963</v>
      </c>
      <c r="BA119" s="1597" t="s">
        <v>9964</v>
      </c>
      <c r="BB119" s="1655"/>
      <c r="BC119" s="1655"/>
      <c r="BD119" s="1655"/>
      <c r="BE119" s="1655"/>
      <c r="BF119" s="1655"/>
      <c r="BG119" s="1655"/>
      <c r="BH119" s="2097" t="s">
        <v>9965</v>
      </c>
      <c r="BI119" s="2097" t="s">
        <v>9966</v>
      </c>
      <c r="BJ119" s="2376" t="s">
        <v>9967</v>
      </c>
    </row>
    <row r="120" spans="1:62" ht="15.75" customHeight="1">
      <c r="A120" s="197"/>
      <c r="B120" s="1102" t="s">
        <v>18840</v>
      </c>
      <c r="C120" s="354" t="s">
        <v>9223</v>
      </c>
      <c r="D120" s="286" t="s">
        <v>4215</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6">
        <v>0</v>
      </c>
      <c r="U120" s="197"/>
      <c r="V120" s="1071" t="s">
        <v>9968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9957</v>
      </c>
      <c r="AU120" s="354" t="s">
        <v>9223</v>
      </c>
      <c r="AV120" s="697" t="s">
        <v>9969</v>
      </c>
      <c r="AW120" s="697" t="s">
        <v>9970</v>
      </c>
      <c r="AX120" s="697" t="s">
        <v>9971</v>
      </c>
      <c r="AY120" s="697" t="s">
        <v>9972</v>
      </c>
      <c r="AZ120" s="697" t="s">
        <v>9973</v>
      </c>
      <c r="BA120" s="1597" t="s">
        <v>9974</v>
      </c>
      <c r="BB120" s="1655"/>
      <c r="BC120" s="1655"/>
      <c r="BD120" s="1655"/>
      <c r="BE120" s="1655"/>
      <c r="BF120" s="1655"/>
      <c r="BG120" s="1655"/>
      <c r="BH120" s="2097" t="s">
        <v>9975</v>
      </c>
      <c r="BI120" s="2097" t="s">
        <v>9976</v>
      </c>
      <c r="BJ120" s="2376" t="s">
        <v>9977</v>
      </c>
    </row>
    <row r="121" spans="1:62" ht="15.75" customHeight="1">
      <c r="A121" s="197"/>
      <c r="B121" s="1102" t="s">
        <v>18841</v>
      </c>
      <c r="C121" s="354" t="s">
        <v>9215</v>
      </c>
      <c r="D121" s="286" t="s">
        <v>4215</v>
      </c>
      <c r="E121" s="286">
        <v>3</v>
      </c>
      <c r="F121" s="697">
        <v>0</v>
      </c>
      <c r="G121" s="697">
        <v>0</v>
      </c>
      <c r="H121" s="697">
        <v>0</v>
      </c>
      <c r="I121" s="697">
        <v>0</v>
      </c>
      <c r="J121" s="697">
        <v>0.59499999999999997</v>
      </c>
      <c r="K121" s="1597">
        <f t="shared" si="135"/>
        <v>0.59499999999999997</v>
      </c>
      <c r="L121" s="1655"/>
      <c r="M121" s="1655"/>
      <c r="N121" s="1655"/>
      <c r="O121" s="1655"/>
      <c r="P121" s="1655"/>
      <c r="Q121" s="1655"/>
      <c r="R121" s="2097">
        <v>0.63400000000000001</v>
      </c>
      <c r="S121" s="2097">
        <v>0</v>
      </c>
      <c r="T121" s="2376">
        <v>0</v>
      </c>
      <c r="U121" s="197"/>
      <c r="V121" s="1071" t="s">
        <v>9979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9978</v>
      </c>
      <c r="AU121" s="354" t="s">
        <v>9215</v>
      </c>
      <c r="AV121" s="697" t="s">
        <v>9980</v>
      </c>
      <c r="AW121" s="697" t="s">
        <v>9981</v>
      </c>
      <c r="AX121" s="697" t="s">
        <v>9982</v>
      </c>
      <c r="AY121" s="697" t="s">
        <v>9983</v>
      </c>
      <c r="AZ121" s="697" t="s">
        <v>9984</v>
      </c>
      <c r="BA121" s="1597" t="s">
        <v>9985</v>
      </c>
      <c r="BB121" s="1655"/>
      <c r="BC121" s="1655"/>
      <c r="BD121" s="1655"/>
      <c r="BE121" s="1655"/>
      <c r="BF121" s="1655"/>
      <c r="BG121" s="1655"/>
      <c r="BH121" s="2097" t="s">
        <v>9986</v>
      </c>
      <c r="BI121" s="2097" t="s">
        <v>9987</v>
      </c>
      <c r="BJ121" s="2376" t="s">
        <v>9988</v>
      </c>
    </row>
    <row r="122" spans="1:62" ht="15.75" customHeight="1">
      <c r="A122" s="197"/>
      <c r="B122" s="1102" t="s">
        <v>18841</v>
      </c>
      <c r="C122" s="354" t="s">
        <v>9223</v>
      </c>
      <c r="D122" s="286" t="s">
        <v>4215</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6">
        <v>0</v>
      </c>
      <c r="U122" s="197"/>
      <c r="V122" s="1071" t="s">
        <v>9989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9978</v>
      </c>
      <c r="AU122" s="354" t="s">
        <v>9223</v>
      </c>
      <c r="AV122" s="697" t="s">
        <v>9990</v>
      </c>
      <c r="AW122" s="697" t="s">
        <v>9991</v>
      </c>
      <c r="AX122" s="697" t="s">
        <v>9992</v>
      </c>
      <c r="AY122" s="697" t="s">
        <v>9993</v>
      </c>
      <c r="AZ122" s="697" t="s">
        <v>9994</v>
      </c>
      <c r="BA122" s="1597" t="s">
        <v>9995</v>
      </c>
      <c r="BB122" s="1655"/>
      <c r="BC122" s="1655"/>
      <c r="BD122" s="1655"/>
      <c r="BE122" s="1655"/>
      <c r="BF122" s="1655"/>
      <c r="BG122" s="1655"/>
      <c r="BH122" s="2097" t="s">
        <v>9996</v>
      </c>
      <c r="BI122" s="2097" t="s">
        <v>9997</v>
      </c>
      <c r="BJ122" s="2376" t="s">
        <v>9998</v>
      </c>
    </row>
    <row r="123" spans="1:62" ht="15.75" customHeight="1">
      <c r="A123" s="197"/>
      <c r="B123" s="1102" t="s">
        <v>18842</v>
      </c>
      <c r="C123" s="354" t="s">
        <v>9215</v>
      </c>
      <c r="D123" s="286" t="s">
        <v>4215</v>
      </c>
      <c r="E123" s="286">
        <v>3</v>
      </c>
      <c r="F123" s="697">
        <v>0</v>
      </c>
      <c r="G123" s="697">
        <v>0</v>
      </c>
      <c r="H123" s="697">
        <v>0</v>
      </c>
      <c r="I123" s="697">
        <v>0</v>
      </c>
      <c r="J123" s="697">
        <v>0</v>
      </c>
      <c r="K123" s="1597">
        <f t="shared" si="135"/>
        <v>0</v>
      </c>
      <c r="L123" s="1655"/>
      <c r="M123" s="1655"/>
      <c r="N123" s="1655"/>
      <c r="O123" s="1655"/>
      <c r="P123" s="1655"/>
      <c r="Q123" s="1655"/>
      <c r="R123" s="2097">
        <v>-0.45500000000000002</v>
      </c>
      <c r="S123" s="2097">
        <v>0</v>
      </c>
      <c r="T123" s="2376">
        <v>0</v>
      </c>
      <c r="U123" s="197"/>
      <c r="V123" s="1071" t="s">
        <v>10000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9999</v>
      </c>
      <c r="AU123" s="354" t="s">
        <v>9215</v>
      </c>
      <c r="AV123" s="697" t="s">
        <v>10001</v>
      </c>
      <c r="AW123" s="697" t="s">
        <v>10002</v>
      </c>
      <c r="AX123" s="697" t="s">
        <v>10003</v>
      </c>
      <c r="AY123" s="697" t="s">
        <v>10004</v>
      </c>
      <c r="AZ123" s="697" t="s">
        <v>10005</v>
      </c>
      <c r="BA123" s="1597" t="s">
        <v>10006</v>
      </c>
      <c r="BB123" s="1655"/>
      <c r="BC123" s="1655"/>
      <c r="BD123" s="1655"/>
      <c r="BE123" s="1655"/>
      <c r="BF123" s="1655"/>
      <c r="BG123" s="1655"/>
      <c r="BH123" s="2097" t="s">
        <v>10007</v>
      </c>
      <c r="BI123" s="2097" t="s">
        <v>10008</v>
      </c>
      <c r="BJ123" s="2376" t="s">
        <v>10009</v>
      </c>
    </row>
    <row r="124" spans="1:62" ht="15.75" customHeight="1">
      <c r="A124" s="197"/>
      <c r="B124" s="1102" t="s">
        <v>18842</v>
      </c>
      <c r="C124" s="354" t="s">
        <v>9223</v>
      </c>
      <c r="D124" s="286" t="s">
        <v>4215</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6">
        <v>0</v>
      </c>
      <c r="U124" s="197"/>
      <c r="V124" s="1071" t="s">
        <v>10010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9999</v>
      </c>
      <c r="AU124" s="354" t="s">
        <v>9223</v>
      </c>
      <c r="AV124" s="697" t="s">
        <v>10011</v>
      </c>
      <c r="AW124" s="697" t="s">
        <v>10012</v>
      </c>
      <c r="AX124" s="697" t="s">
        <v>10013</v>
      </c>
      <c r="AY124" s="697" t="s">
        <v>10014</v>
      </c>
      <c r="AZ124" s="697" t="s">
        <v>10015</v>
      </c>
      <c r="BA124" s="1597" t="s">
        <v>10016</v>
      </c>
      <c r="BB124" s="1655"/>
      <c r="BC124" s="1655"/>
      <c r="BD124" s="1655"/>
      <c r="BE124" s="1655"/>
      <c r="BF124" s="1655"/>
      <c r="BG124" s="1655"/>
      <c r="BH124" s="2097" t="s">
        <v>10017</v>
      </c>
      <c r="BI124" s="2097" t="s">
        <v>10018</v>
      </c>
      <c r="BJ124" s="2376" t="s">
        <v>10019</v>
      </c>
    </row>
    <row r="125" spans="1:62" ht="15.75" customHeight="1" thickBot="1">
      <c r="A125" s="197"/>
      <c r="B125" s="1080" t="s">
        <v>10020</v>
      </c>
      <c r="C125" s="1081" t="s">
        <v>9231</v>
      </c>
      <c r="D125" s="355" t="s">
        <v>4215</v>
      </c>
      <c r="E125" s="355">
        <v>3</v>
      </c>
      <c r="F125" s="1589">
        <f t="shared" ref="F125:K125" si="243">IFERROR(SUM(F81,F108,F90,F93,F96,F111,F114,F115:F124), 0)</f>
        <v>28.091999999999999</v>
      </c>
      <c r="G125" s="1589">
        <f t="shared" si="243"/>
        <v>8.0000000000000002E-3</v>
      </c>
      <c r="H125" s="1589">
        <f t="shared" si="243"/>
        <v>3.0000000000000001E-3</v>
      </c>
      <c r="I125" s="1589">
        <f t="shared" si="243"/>
        <v>6.2939999999999996</v>
      </c>
      <c r="J125" s="1589">
        <f>IFERROR(SUM(J81,J108,J90,J93,J96,J111,J114,J115:J124), 0)</f>
        <v>12.651000000000002</v>
      </c>
      <c r="K125" s="1589">
        <f t="shared" si="243"/>
        <v>47.048000000000002</v>
      </c>
      <c r="L125" s="1661"/>
      <c r="M125" s="1661"/>
      <c r="N125" s="1661"/>
      <c r="O125" s="1661"/>
      <c r="P125" s="1661"/>
      <c r="Q125" s="1661"/>
      <c r="R125" s="1589">
        <f>IFERROR(SUM(R81,R108,R90,R93,R96,R111,R114,R115:R124), 0)</f>
        <v>142.45599999999996</v>
      </c>
      <c r="S125" s="1589">
        <f>IFERROR(SUM(S81,S108,S90,S93,S96,S111,S114,S115:S124), 0)</f>
        <v>188.57599999999999</v>
      </c>
      <c r="T125" s="1599">
        <f>IFERROR(SUM(T81,T108,T90,T93,T96,T111,T114,T115:T124), 0)</f>
        <v>292.87200000000001</v>
      </c>
      <c r="U125" s="197"/>
      <c r="V125" s="1085" t="s">
        <v>10021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10020</v>
      </c>
      <c r="AU125" s="1081" t="s">
        <v>9231</v>
      </c>
      <c r="AV125" s="1589" t="s">
        <v>10022</v>
      </c>
      <c r="AW125" s="1589" t="s">
        <v>10023</v>
      </c>
      <c r="AX125" s="1589" t="s">
        <v>10024</v>
      </c>
      <c r="AY125" s="1589" t="s">
        <v>10025</v>
      </c>
      <c r="AZ125" s="1589" t="s">
        <v>10026</v>
      </c>
      <c r="BA125" s="1589" t="s">
        <v>10027</v>
      </c>
      <c r="BB125" s="1661"/>
      <c r="BC125" s="1661"/>
      <c r="BD125" s="1661"/>
      <c r="BE125" s="1661"/>
      <c r="BF125" s="1661"/>
      <c r="BG125" s="1661"/>
      <c r="BH125" s="1589" t="s">
        <v>10028</v>
      </c>
      <c r="BI125" s="1589" t="s">
        <v>10029</v>
      </c>
      <c r="BJ125" s="1599" t="s">
        <v>10030</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10031</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10031</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10032</v>
      </c>
      <c r="C128" s="1063" t="s">
        <v>9215</v>
      </c>
      <c r="D128" s="277" t="s">
        <v>4215</v>
      </c>
      <c r="E128" s="277">
        <v>3</v>
      </c>
      <c r="F128" s="1595">
        <f t="shared" ref="F128:I129" si="244">IFERROR(SUM(F10,F13,F16,F19,F22,F25,F31,F34,F37,F40,F43,F46,F79,F106,F88,F91,F94,F109,F112,F115,F117,F119,F121,F123), 0)</f>
        <v>29.791999999999998</v>
      </c>
      <c r="G128" s="1595">
        <f t="shared" si="244"/>
        <v>4.9530000000000003</v>
      </c>
      <c r="H128" s="1595">
        <f t="shared" si="244"/>
        <v>3.0000000000000001E-3</v>
      </c>
      <c r="I128" s="1595">
        <f t="shared" si="244"/>
        <v>6.25</v>
      </c>
      <c r="J128" s="1595">
        <f>IFERROR(SUM(J10,J13,J16,J19,J22,J25,J31,J34,J37,J40,J43,J46,J79,J106,J88,J91,J94,J109,J112,J115,J117,J119,J121,J123,J52,J55,J58,J61,J64,J67,J70,J73), 0)</f>
        <v>19.811999999999998</v>
      </c>
      <c r="K128" s="1595">
        <f>IFERROR(SUM(F128:J128), 0)</f>
        <v>60.809999999999995</v>
      </c>
      <c r="L128" s="1679"/>
      <c r="M128" s="1679"/>
      <c r="N128" s="1679"/>
      <c r="O128" s="1679"/>
      <c r="P128" s="1679"/>
      <c r="Q128" s="1679"/>
      <c r="R128" s="1679"/>
      <c r="S128" s="1679"/>
      <c r="T128" s="1680"/>
      <c r="U128" s="197"/>
      <c r="V128" s="1066" t="s">
        <v>10033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10032</v>
      </c>
      <c r="AU128" s="1063" t="s">
        <v>9215</v>
      </c>
      <c r="AV128" s="1595" t="s">
        <v>5376</v>
      </c>
      <c r="AW128" s="1595" t="s">
        <v>7940</v>
      </c>
      <c r="AX128" s="1595" t="s">
        <v>7941</v>
      </c>
      <c r="AY128" s="1595" t="s">
        <v>7942</v>
      </c>
      <c r="AZ128" s="1595" t="s">
        <v>7943</v>
      </c>
      <c r="BA128" s="1595" t="s">
        <v>10034</v>
      </c>
      <c r="BB128" s="1679"/>
      <c r="BC128" s="1679"/>
      <c r="BD128" s="1679"/>
      <c r="BE128" s="1679"/>
      <c r="BF128" s="1679"/>
      <c r="BG128" s="1679"/>
      <c r="BH128" s="1679"/>
      <c r="BI128" s="1679"/>
      <c r="BJ128" s="1680"/>
    </row>
    <row r="129" spans="1:62" ht="15.75" customHeight="1">
      <c r="A129" s="197"/>
      <c r="B129" s="1067" t="s">
        <v>10032</v>
      </c>
      <c r="C129" s="354" t="s">
        <v>9223</v>
      </c>
      <c r="D129" s="286" t="s">
        <v>4215</v>
      </c>
      <c r="E129" s="286">
        <v>3</v>
      </c>
      <c r="F129" s="1597">
        <f t="shared" si="244"/>
        <v>1.2999999999999999E-2</v>
      </c>
      <c r="G129" s="1597">
        <f t="shared" si="244"/>
        <v>0</v>
      </c>
      <c r="H129" s="1597">
        <f t="shared" si="244"/>
        <v>0</v>
      </c>
      <c r="I129" s="1597">
        <f t="shared" si="244"/>
        <v>0.10299999999999999</v>
      </c>
      <c r="J129" s="1597">
        <f>IFERROR(SUM(J11,J14,J17,J20,J23,J26,J32,J35,J38,J41,J44,J47,J80,J107,J89,J92,J95,J110,J113,J116,J118,J120,J122,J124,J53,J56,J59,J62,J65,J68,J71,J74), 0)</f>
        <v>5.1999999999999998E-2</v>
      </c>
      <c r="K129" s="1597">
        <f>IFERROR(SUM(F129:J129), 0)</f>
        <v>0.16799999999999998</v>
      </c>
      <c r="L129" s="1655"/>
      <c r="M129" s="1655"/>
      <c r="N129" s="1655"/>
      <c r="O129" s="1655"/>
      <c r="P129" s="1655"/>
      <c r="Q129" s="1655"/>
      <c r="R129" s="1655"/>
      <c r="S129" s="1655"/>
      <c r="T129" s="1656"/>
      <c r="U129" s="197"/>
      <c r="V129" s="1071" t="s">
        <v>10035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10032</v>
      </c>
      <c r="AU129" s="354" t="s">
        <v>9223</v>
      </c>
      <c r="AV129" s="1597" t="s">
        <v>5319</v>
      </c>
      <c r="AW129" s="1597" t="s">
        <v>7894</v>
      </c>
      <c r="AX129" s="1597" t="s">
        <v>7895</v>
      </c>
      <c r="AY129" s="1597" t="s">
        <v>7896</v>
      </c>
      <c r="AZ129" s="1597" t="s">
        <v>7897</v>
      </c>
      <c r="BA129" s="1597" t="s">
        <v>10036</v>
      </c>
      <c r="BB129" s="1655"/>
      <c r="BC129" s="1655"/>
      <c r="BD129" s="1655"/>
      <c r="BE129" s="1655"/>
      <c r="BF129" s="1655"/>
      <c r="BG129" s="1655"/>
      <c r="BH129" s="1655"/>
      <c r="BI129" s="1655"/>
      <c r="BJ129" s="1656"/>
    </row>
    <row r="130" spans="1:62" ht="15.75" customHeight="1" thickBot="1">
      <c r="A130" s="197"/>
      <c r="B130" s="1080" t="s">
        <v>10032</v>
      </c>
      <c r="C130" s="1081" t="s">
        <v>9231</v>
      </c>
      <c r="D130" s="355" t="s">
        <v>4215</v>
      </c>
      <c r="E130" s="355">
        <v>3</v>
      </c>
      <c r="F130" s="1589">
        <f>IFERROR(F128 + F129, 0)</f>
        <v>29.805</v>
      </c>
      <c r="G130" s="1589">
        <f t="shared" ref="G130:I130" si="245">IFERROR(G128 + G129, 0)</f>
        <v>4.9530000000000003</v>
      </c>
      <c r="H130" s="1589">
        <f t="shared" si="245"/>
        <v>3.0000000000000001E-3</v>
      </c>
      <c r="I130" s="1589">
        <f t="shared" si="245"/>
        <v>6.3529999999999998</v>
      </c>
      <c r="J130" s="1589">
        <f>IFERROR(J128 + J129, 0)</f>
        <v>19.863999999999997</v>
      </c>
      <c r="K130" s="1589">
        <f>IFERROR(SUM(F130:J130), 0)</f>
        <v>60.978000000000002</v>
      </c>
      <c r="L130" s="1661"/>
      <c r="M130" s="1661"/>
      <c r="N130" s="1661"/>
      <c r="O130" s="1661"/>
      <c r="P130" s="1661"/>
      <c r="Q130" s="1661"/>
      <c r="R130" s="1589">
        <f>IFERROR(SUM(R125,R76,R49,R28), 0)</f>
        <v>178.25299999999996</v>
      </c>
      <c r="S130" s="1589">
        <f>IFERROR(SUM(S125,S76,S49,S28), 0)</f>
        <v>253.48099999999997</v>
      </c>
      <c r="T130" s="1599">
        <f>IFERROR(SUM(T125,T76,T49,T28), 0)</f>
        <v>389.70300000000003</v>
      </c>
      <c r="U130" s="197"/>
      <c r="V130" s="1085" t="s">
        <v>10037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10032</v>
      </c>
      <c r="AU130" s="1081" t="s">
        <v>9231</v>
      </c>
      <c r="AV130" s="1589" t="s">
        <v>10038</v>
      </c>
      <c r="AW130" s="1589" t="s">
        <v>10039</v>
      </c>
      <c r="AX130" s="1589" t="s">
        <v>10040</v>
      </c>
      <c r="AY130" s="1589" t="s">
        <v>10041</v>
      </c>
      <c r="AZ130" s="1589" t="s">
        <v>10042</v>
      </c>
      <c r="BA130" s="1589" t="s">
        <v>10043</v>
      </c>
      <c r="BB130" s="1661"/>
      <c r="BC130" s="1661"/>
      <c r="BD130" s="1661"/>
      <c r="BE130" s="1661"/>
      <c r="BF130" s="1661"/>
      <c r="BG130" s="1661"/>
      <c r="BH130" s="1589" t="s">
        <v>10044</v>
      </c>
      <c r="BI130" s="1589" t="s">
        <v>10045</v>
      </c>
      <c r="BJ130" s="1599" t="s">
        <v>10046</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10:AA130">
    <cfRule type="cellIs" dxfId="119" priority="1" operator="equal">
      <formula>0</formula>
    </cfRule>
  </conditionalFormatting>
  <dataValidations count="1">
    <dataValidation type="custom" allowBlank="1" showErrorMessage="1" errorTitle="Input Error" error="Please enter a numeric value." sqref="F10:J11 F13:J14 F19:J20 J70:J71 F22:J23 F25:J26 F31:J32 F34:J35 L37:P38 F40:J41 F43:J44 F73:H74 F79:J80 F85:J86 F82:J83 F91:J92 F94:J95 F109:J110 F112:J113 F37:J38 F55:J56 F46:J47 F52:J53 F115:J124 F58:J59 J73:J74 F103:J104 F97:J98 F100:J101 J61:J62 J64:J65 F67:H68 J67:J68 F16:J17"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78" zoomScale="80" zoomScaleNormal="80" zoomScaleSheetLayoutView="100" workbookViewId="0">
      <selection activeCell="B93" sqref="B93"/>
    </sheetView>
  </sheetViews>
  <sheetFormatPr defaultColWidth="9" defaultRowHeight="24" customHeight="1"/>
  <cols>
    <col min="1" max="1" width="1.59765625" style="224" customWidth="1"/>
    <col min="2" max="2" width="42.09765625" style="247" customWidth="1"/>
    <col min="3" max="3" width="7.19921875" style="224" customWidth="1"/>
    <col min="4" max="4" width="7" style="224" customWidth="1"/>
    <col min="5" max="5" width="5.5" style="224" customWidth="1"/>
    <col min="6" max="6" width="7.09765625" style="472" bestFit="1" customWidth="1"/>
    <col min="7" max="8" width="8.796875" style="472" customWidth="1"/>
    <col min="9" max="10" width="12.296875" style="472" customWidth="1"/>
    <col min="11" max="11" width="8.796875" style="472" customWidth="1"/>
    <col min="12" max="12" width="9.296875" style="472" customWidth="1"/>
    <col min="13" max="13" width="12.5" style="472" customWidth="1"/>
    <col min="14" max="14" width="10.296875" style="472" customWidth="1"/>
    <col min="15" max="15" width="6.09765625" style="472" customWidth="1"/>
    <col min="16" max="17" width="8.796875" style="472" customWidth="1"/>
    <col min="18" max="19" width="12.296875" style="472" customWidth="1"/>
    <col min="20" max="20" width="8.796875" style="472" customWidth="1"/>
    <col min="21" max="21" width="9.296875" style="472" customWidth="1"/>
    <col min="22" max="22" width="8.296875" style="472" customWidth="1"/>
    <col min="23" max="23" width="10.296875" style="472" customWidth="1"/>
    <col min="24" max="26" width="19.19921875" style="472" customWidth="1"/>
    <col min="27" max="27" width="6.59765625" style="224" customWidth="1"/>
    <col min="28" max="28" width="9.19921875" style="224" bestFit="1" customWidth="1"/>
    <col min="29" max="29" width="1.59765625" style="224" customWidth="1"/>
    <col min="30" max="30" width="22.5" style="224" customWidth="1"/>
    <col min="31" max="32" width="1.59765625" style="224" customWidth="1"/>
    <col min="33" max="33" width="19.59765625" style="224" bestFit="1" customWidth="1"/>
    <col min="34" max="34" width="1.59765625" style="224" customWidth="1"/>
    <col min="35" max="55" width="6.09765625" style="224" hidden="1" customWidth="1"/>
    <col min="56" max="57" width="1.59765625" style="224" customWidth="1"/>
    <col min="58" max="58" width="36.09765625" style="224" customWidth="1"/>
    <col min="59" max="59" width="6.796875" style="224" bestFit="1" customWidth="1"/>
    <col min="60" max="77" width="17.59765625" style="224" customWidth="1"/>
    <col min="78" max="80" width="12.59765625" style="472" customWidth="1"/>
    <col min="81" max="16384" width="9" style="224"/>
  </cols>
  <sheetData>
    <row r="1" spans="2:80" s="389" customFormat="1" ht="29.25" customHeight="1">
      <c r="B1" s="561" t="s">
        <v>10047</v>
      </c>
      <c r="C1" s="561"/>
      <c r="D1" s="561"/>
      <c r="E1" s="561"/>
      <c r="F1" s="587"/>
      <c r="G1" s="587"/>
      <c r="H1" s="587"/>
      <c r="I1" s="587"/>
      <c r="J1" s="587"/>
      <c r="K1" s="587"/>
      <c r="L1" s="587"/>
      <c r="M1" s="587"/>
      <c r="N1" s="587"/>
      <c r="O1" s="587"/>
      <c r="P1" s="587"/>
      <c r="Q1" s="587"/>
      <c r="R1" s="587"/>
      <c r="S1" s="587"/>
      <c r="T1" s="587"/>
      <c r="U1" s="587"/>
      <c r="V1" s="587"/>
      <c r="W1" s="587"/>
      <c r="X1" s="587"/>
      <c r="Y1" s="587"/>
      <c r="Z1" s="587"/>
      <c r="AA1" s="2721"/>
      <c r="AB1" s="2721"/>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Dŵr Cymru</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29" t="s">
        <v>10048</v>
      </c>
      <c r="C3" s="2829"/>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60"/>
      <c r="AF3" s="1105"/>
      <c r="AG3" s="267"/>
      <c r="AH3" s="345"/>
      <c r="BD3" s="363"/>
      <c r="BF3" s="2829" t="s">
        <v>10048</v>
      </c>
      <c r="BG3" s="2829"/>
      <c r="BH3" s="2829"/>
      <c r="BI3" s="2829"/>
      <c r="BJ3" s="2829"/>
      <c r="BK3" s="2829"/>
      <c r="BL3" s="2829"/>
      <c r="BM3" s="2829"/>
      <c r="BN3" s="2829"/>
      <c r="BO3" s="2829"/>
      <c r="BP3" s="2829"/>
      <c r="BQ3" s="2829"/>
      <c r="BR3" s="2829"/>
      <c r="BS3" s="2829"/>
      <c r="BT3" s="2829"/>
      <c r="BU3" s="2829"/>
      <c r="BV3" s="2829"/>
      <c r="BW3" s="2829"/>
      <c r="BX3" s="2829"/>
      <c r="BY3" s="2829"/>
      <c r="BZ3" s="2829"/>
      <c r="CA3" s="2829"/>
      <c r="CB3" s="2829"/>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76" t="s">
        <v>9208</v>
      </c>
      <c r="C5" s="2876"/>
      <c r="D5" s="2841" t="s">
        <v>4203</v>
      </c>
      <c r="E5" s="2841" t="s">
        <v>4204</v>
      </c>
      <c r="F5" s="2890" t="s">
        <v>9026</v>
      </c>
      <c r="G5" s="2890"/>
      <c r="H5" s="2890"/>
      <c r="I5" s="2890"/>
      <c r="J5" s="2890"/>
      <c r="K5" s="2890"/>
      <c r="L5" s="2890"/>
      <c r="M5" s="2890"/>
      <c r="N5" s="2890"/>
      <c r="O5" s="2890" t="s">
        <v>9209</v>
      </c>
      <c r="P5" s="2890"/>
      <c r="Q5" s="2890"/>
      <c r="R5" s="2890"/>
      <c r="S5" s="2890"/>
      <c r="T5" s="2890"/>
      <c r="U5" s="2890"/>
      <c r="V5" s="2890"/>
      <c r="W5" s="2890"/>
      <c r="X5" s="2890" t="s">
        <v>9210</v>
      </c>
      <c r="Y5" s="2890" t="s">
        <v>9211</v>
      </c>
      <c r="Z5" s="2893" t="s">
        <v>9212</v>
      </c>
      <c r="AA5" s="731"/>
      <c r="AB5" s="2811" t="s">
        <v>4208</v>
      </c>
      <c r="AC5" s="260"/>
      <c r="AD5" s="2811" t="s">
        <v>4209</v>
      </c>
      <c r="AE5" s="260"/>
      <c r="AF5" s="1105"/>
      <c r="AG5" s="272"/>
      <c r="AH5" s="1057"/>
      <c r="BD5" s="828"/>
      <c r="BF5" s="2876" t="s">
        <v>9208</v>
      </c>
      <c r="BG5" s="2876"/>
      <c r="BH5" s="2890" t="s">
        <v>9026</v>
      </c>
      <c r="BI5" s="2890"/>
      <c r="BJ5" s="2890"/>
      <c r="BK5" s="2890"/>
      <c r="BL5" s="2890"/>
      <c r="BM5" s="2890"/>
      <c r="BN5" s="2890"/>
      <c r="BO5" s="2890"/>
      <c r="BP5" s="2890"/>
      <c r="BQ5" s="2890" t="s">
        <v>9209</v>
      </c>
      <c r="BR5" s="2890"/>
      <c r="BS5" s="2890"/>
      <c r="BT5" s="2890"/>
      <c r="BU5" s="2890"/>
      <c r="BV5" s="2890"/>
      <c r="BW5" s="2890"/>
      <c r="BX5" s="2890"/>
      <c r="BY5" s="2890"/>
      <c r="BZ5" s="2890" t="s">
        <v>9210</v>
      </c>
      <c r="CA5" s="2890" t="s">
        <v>9211</v>
      </c>
      <c r="CB5" s="2893" t="s">
        <v>9212</v>
      </c>
    </row>
    <row r="6" spans="2:80" s="197" customFormat="1" ht="42" customHeight="1">
      <c r="B6" s="2876"/>
      <c r="C6" s="2876"/>
      <c r="D6" s="2841"/>
      <c r="E6" s="2841"/>
      <c r="F6" s="2892" t="s">
        <v>9027</v>
      </c>
      <c r="G6" s="2892"/>
      <c r="H6" s="2892"/>
      <c r="I6" s="2892"/>
      <c r="J6" s="2892"/>
      <c r="K6" s="2891" t="s">
        <v>5144</v>
      </c>
      <c r="L6" s="2891"/>
      <c r="M6" s="2891"/>
      <c r="N6" s="2891" t="s">
        <v>4425</v>
      </c>
      <c r="O6" s="2892" t="s">
        <v>9027</v>
      </c>
      <c r="P6" s="2892"/>
      <c r="Q6" s="2892"/>
      <c r="R6" s="2892"/>
      <c r="S6" s="2892"/>
      <c r="T6" s="2891" t="s">
        <v>5144</v>
      </c>
      <c r="U6" s="2891"/>
      <c r="V6" s="2891"/>
      <c r="W6" s="2891" t="s">
        <v>4425</v>
      </c>
      <c r="X6" s="2890"/>
      <c r="Y6" s="2890"/>
      <c r="Z6" s="2893"/>
      <c r="AA6" s="106"/>
      <c r="AB6" s="2811"/>
      <c r="AC6" s="582"/>
      <c r="AD6" s="2811"/>
      <c r="AE6" s="582"/>
      <c r="AF6" s="1107"/>
      <c r="AG6" s="272"/>
      <c r="AH6" s="1057"/>
      <c r="BD6" s="828"/>
      <c r="BF6" s="2876"/>
      <c r="BG6" s="2876"/>
      <c r="BH6" s="2892" t="s">
        <v>9027</v>
      </c>
      <c r="BI6" s="2892"/>
      <c r="BJ6" s="2892"/>
      <c r="BK6" s="2892"/>
      <c r="BL6" s="2892"/>
      <c r="BM6" s="2891" t="s">
        <v>5144</v>
      </c>
      <c r="BN6" s="2891"/>
      <c r="BO6" s="2891"/>
      <c r="BP6" s="2891" t="s">
        <v>4425</v>
      </c>
      <c r="BQ6" s="2892" t="s">
        <v>9027</v>
      </c>
      <c r="BR6" s="2892"/>
      <c r="BS6" s="2892"/>
      <c r="BT6" s="2892"/>
      <c r="BU6" s="2892"/>
      <c r="BV6" s="2891" t="s">
        <v>5144</v>
      </c>
      <c r="BW6" s="2891"/>
      <c r="BX6" s="2891"/>
      <c r="BY6" s="2891" t="s">
        <v>4425</v>
      </c>
      <c r="BZ6" s="2890"/>
      <c r="CA6" s="2890"/>
      <c r="CB6" s="2893"/>
    </row>
    <row r="7" spans="2:80" s="197" customFormat="1" ht="51.75" customHeight="1" thickBot="1">
      <c r="B7" s="2876"/>
      <c r="C7" s="2876"/>
      <c r="D7" s="2841"/>
      <c r="E7" s="2841"/>
      <c r="F7" s="1108" t="s">
        <v>8058</v>
      </c>
      <c r="G7" s="1108" t="s">
        <v>8059</v>
      </c>
      <c r="H7" s="1108" t="s">
        <v>8060</v>
      </c>
      <c r="I7" s="1108" t="s">
        <v>8061</v>
      </c>
      <c r="J7" s="1108" t="s">
        <v>8360</v>
      </c>
      <c r="K7" s="1108" t="s">
        <v>8063</v>
      </c>
      <c r="L7" s="1108" t="s">
        <v>8064</v>
      </c>
      <c r="M7" s="1108" t="s">
        <v>8065</v>
      </c>
      <c r="N7" s="2891"/>
      <c r="O7" s="1108" t="s">
        <v>8058</v>
      </c>
      <c r="P7" s="1108" t="s">
        <v>8059</v>
      </c>
      <c r="Q7" s="1108" t="s">
        <v>8060</v>
      </c>
      <c r="R7" s="1108" t="s">
        <v>8061</v>
      </c>
      <c r="S7" s="1108" t="s">
        <v>8360</v>
      </c>
      <c r="T7" s="1108" t="s">
        <v>8063</v>
      </c>
      <c r="U7" s="1108" t="s">
        <v>8064</v>
      </c>
      <c r="V7" s="1108" t="s">
        <v>8065</v>
      </c>
      <c r="W7" s="2891"/>
      <c r="X7" s="1108" t="s">
        <v>4425</v>
      </c>
      <c r="Y7" s="1108" t="s">
        <v>4425</v>
      </c>
      <c r="Z7" s="1109" t="s">
        <v>4425</v>
      </c>
      <c r="AA7" s="106"/>
      <c r="AB7" s="2811"/>
      <c r="AC7" s="1110"/>
      <c r="AD7" s="2811"/>
      <c r="AE7" s="1110"/>
      <c r="AF7" s="1111"/>
      <c r="AG7" s="2209" t="s">
        <v>4200</v>
      </c>
      <c r="AH7" s="1057"/>
      <c r="BD7" s="828"/>
      <c r="BF7" s="2876"/>
      <c r="BG7" s="2876"/>
      <c r="BH7" s="1108" t="s">
        <v>8058</v>
      </c>
      <c r="BI7" s="1108" t="s">
        <v>8059</v>
      </c>
      <c r="BJ7" s="1108" t="s">
        <v>8060</v>
      </c>
      <c r="BK7" s="1108" t="s">
        <v>8061</v>
      </c>
      <c r="BL7" s="1108" t="s">
        <v>8360</v>
      </c>
      <c r="BM7" s="1108" t="s">
        <v>8063</v>
      </c>
      <c r="BN7" s="1108" t="s">
        <v>8064</v>
      </c>
      <c r="BO7" s="1108" t="s">
        <v>8065</v>
      </c>
      <c r="BP7" s="2891"/>
      <c r="BQ7" s="1108" t="s">
        <v>8058</v>
      </c>
      <c r="BR7" s="1108" t="s">
        <v>8059</v>
      </c>
      <c r="BS7" s="1108" t="s">
        <v>8060</v>
      </c>
      <c r="BT7" s="1108" t="s">
        <v>8061</v>
      </c>
      <c r="BU7" s="1108" t="s">
        <v>8360</v>
      </c>
      <c r="BV7" s="1108" t="s">
        <v>8063</v>
      </c>
      <c r="BW7" s="1108" t="s">
        <v>8064</v>
      </c>
      <c r="BX7" s="1108" t="s">
        <v>8065</v>
      </c>
      <c r="BY7" s="2891"/>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710" t="s">
        <v>4201</v>
      </c>
      <c r="AJ8" s="2710"/>
      <c r="AK8" s="2710"/>
      <c r="AL8" s="2710"/>
      <c r="AM8" s="2710"/>
      <c r="AN8" s="2710"/>
      <c r="AO8" s="2710"/>
      <c r="AP8" s="2710"/>
      <c r="AQ8" s="2710"/>
      <c r="AR8" s="2710"/>
      <c r="AS8" s="2710"/>
      <c r="AT8" s="2710"/>
      <c r="AU8" s="2710"/>
      <c r="AV8" s="2710"/>
      <c r="AW8" s="2710"/>
      <c r="AX8" s="2710"/>
      <c r="AY8" s="2710"/>
      <c r="AZ8" s="2710"/>
      <c r="BA8" s="2710"/>
      <c r="BB8" s="2710"/>
      <c r="BC8" s="2710"/>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9213</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9213</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10049</v>
      </c>
      <c r="C10" s="2356" t="s">
        <v>9215</v>
      </c>
      <c r="D10" s="318" t="s">
        <v>4215</v>
      </c>
      <c r="E10" s="318">
        <v>3</v>
      </c>
      <c r="F10" s="748">
        <v>1E-3</v>
      </c>
      <c r="G10" s="748">
        <v>1E-3</v>
      </c>
      <c r="H10" s="748">
        <v>0</v>
      </c>
      <c r="I10" s="748">
        <v>0.20599999999999999</v>
      </c>
      <c r="J10" s="748">
        <v>0</v>
      </c>
      <c r="K10" s="748">
        <v>0</v>
      </c>
      <c r="L10" s="748">
        <v>0</v>
      </c>
      <c r="M10" s="748">
        <v>0</v>
      </c>
      <c r="N10" s="2380">
        <f>IFERROR(SUM(F10:M10), 0)</f>
        <v>0.20799999999999999</v>
      </c>
      <c r="O10" s="2381"/>
      <c r="P10" s="2381"/>
      <c r="Q10" s="2381"/>
      <c r="R10" s="2381"/>
      <c r="S10" s="2381"/>
      <c r="T10" s="2381"/>
      <c r="U10" s="2381"/>
      <c r="V10" s="2381"/>
      <c r="W10" s="2381"/>
      <c r="X10" s="2382"/>
      <c r="Y10" s="2382"/>
      <c r="Z10" s="2383"/>
      <c r="AA10" s="997"/>
      <c r="AB10" s="791" t="s">
        <v>10050</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10049</v>
      </c>
      <c r="BG10" s="1063" t="s">
        <v>9215</v>
      </c>
      <c r="BH10" s="278" t="s">
        <v>10051</v>
      </c>
      <c r="BI10" s="278" t="s">
        <v>10052</v>
      </c>
      <c r="BJ10" s="278" t="s">
        <v>10053</v>
      </c>
      <c r="BK10" s="278" t="s">
        <v>10054</v>
      </c>
      <c r="BL10" s="278" t="s">
        <v>10055</v>
      </c>
      <c r="BM10" s="278" t="s">
        <v>10056</v>
      </c>
      <c r="BN10" s="278" t="s">
        <v>10057</v>
      </c>
      <c r="BO10" s="278" t="s">
        <v>10058</v>
      </c>
      <c r="BP10" s="279" t="s">
        <v>10059</v>
      </c>
      <c r="BQ10" s="662"/>
      <c r="BR10" s="662"/>
      <c r="BS10" s="662"/>
      <c r="BT10" s="662"/>
      <c r="BU10" s="662"/>
      <c r="BV10" s="662"/>
      <c r="BW10" s="662"/>
      <c r="BX10" s="662"/>
      <c r="BY10" s="662"/>
      <c r="BZ10" s="667"/>
      <c r="CA10" s="667"/>
      <c r="CB10" s="743"/>
    </row>
    <row r="11" spans="2:80" s="200" customFormat="1" ht="15.75" customHeight="1">
      <c r="B11" s="792" t="s">
        <v>10049</v>
      </c>
      <c r="C11" s="2357" t="s">
        <v>9223</v>
      </c>
      <c r="D11" s="325" t="s">
        <v>4215</v>
      </c>
      <c r="E11" s="325">
        <v>3</v>
      </c>
      <c r="F11" s="751">
        <v>0</v>
      </c>
      <c r="G11" s="751">
        <v>0</v>
      </c>
      <c r="H11" s="751">
        <v>0</v>
      </c>
      <c r="I11" s="751">
        <v>0</v>
      </c>
      <c r="J11" s="751">
        <v>0</v>
      </c>
      <c r="K11" s="751">
        <v>0</v>
      </c>
      <c r="L11" s="751">
        <v>0</v>
      </c>
      <c r="M11" s="751">
        <v>0</v>
      </c>
      <c r="N11" s="312">
        <f t="shared" ref="N11:N55" si="7">IFERROR(SUM(F11:M11), 0)</f>
        <v>0</v>
      </c>
      <c r="O11" s="2384"/>
      <c r="P11" s="2384"/>
      <c r="Q11" s="2384"/>
      <c r="R11" s="2384"/>
      <c r="S11" s="2384"/>
      <c r="T11" s="2384"/>
      <c r="U11" s="2384"/>
      <c r="V11" s="2384"/>
      <c r="W11" s="2384"/>
      <c r="X11" s="2385"/>
      <c r="Y11" s="2385"/>
      <c r="Z11" s="2386"/>
      <c r="AA11" s="997"/>
      <c r="AB11" s="795" t="s">
        <v>10060</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10049</v>
      </c>
      <c r="BG11" s="354" t="s">
        <v>9223</v>
      </c>
      <c r="BH11" s="287" t="s">
        <v>10061</v>
      </c>
      <c r="BI11" s="287" t="s">
        <v>10062</v>
      </c>
      <c r="BJ11" s="287" t="s">
        <v>10063</v>
      </c>
      <c r="BK11" s="287" t="s">
        <v>10064</v>
      </c>
      <c r="BL11" s="287" t="s">
        <v>10065</v>
      </c>
      <c r="BM11" s="287" t="s">
        <v>10066</v>
      </c>
      <c r="BN11" s="287" t="s">
        <v>10067</v>
      </c>
      <c r="BO11" s="287" t="s">
        <v>10068</v>
      </c>
      <c r="BP11" s="288" t="s">
        <v>10069</v>
      </c>
      <c r="BQ11" s="399"/>
      <c r="BR11" s="399"/>
      <c r="BS11" s="399"/>
      <c r="BT11" s="399"/>
      <c r="BU11" s="399"/>
      <c r="BV11" s="399"/>
      <c r="BW11" s="399"/>
      <c r="BX11" s="399"/>
      <c r="BY11" s="399"/>
      <c r="BZ11" s="744"/>
      <c r="CA11" s="744"/>
      <c r="CB11" s="745"/>
    </row>
    <row r="12" spans="2:80" s="200" customFormat="1" ht="15.75" customHeight="1">
      <c r="B12" s="792" t="s">
        <v>10049</v>
      </c>
      <c r="C12" s="2357" t="s">
        <v>9231</v>
      </c>
      <c r="D12" s="325" t="s">
        <v>4215</v>
      </c>
      <c r="E12" s="325">
        <v>3</v>
      </c>
      <c r="F12" s="312">
        <f>IFERROR(SUM(F10:F11), 0)</f>
        <v>1E-3</v>
      </c>
      <c r="G12" s="312">
        <f t="shared" ref="G12:M12" si="10">IFERROR(SUM(G10:G11), 0)</f>
        <v>1E-3</v>
      </c>
      <c r="H12" s="312">
        <f t="shared" si="10"/>
        <v>0</v>
      </c>
      <c r="I12" s="312">
        <f t="shared" si="10"/>
        <v>0.20599999999999999</v>
      </c>
      <c r="J12" s="312">
        <f t="shared" si="10"/>
        <v>0</v>
      </c>
      <c r="K12" s="312">
        <f t="shared" si="10"/>
        <v>0</v>
      </c>
      <c r="L12" s="312">
        <f t="shared" si="10"/>
        <v>0</v>
      </c>
      <c r="M12" s="312">
        <f t="shared" si="10"/>
        <v>0</v>
      </c>
      <c r="N12" s="312">
        <f t="shared" si="7"/>
        <v>0.20799999999999999</v>
      </c>
      <c r="O12" s="2384"/>
      <c r="P12" s="2384"/>
      <c r="Q12" s="2384"/>
      <c r="R12" s="2384"/>
      <c r="S12" s="2384"/>
      <c r="T12" s="2384"/>
      <c r="U12" s="2384"/>
      <c r="V12" s="2384"/>
      <c r="W12" s="2384"/>
      <c r="X12" s="751">
        <v>0.307</v>
      </c>
      <c r="Y12" s="751">
        <v>1.091</v>
      </c>
      <c r="Z12" s="796">
        <v>1.7</v>
      </c>
      <c r="AA12" s="997"/>
      <c r="AB12" s="795" t="s">
        <v>10070</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10049</v>
      </c>
      <c r="BG12" s="354" t="s">
        <v>9231</v>
      </c>
      <c r="BH12" s="288" t="s">
        <v>10071</v>
      </c>
      <c r="BI12" s="288" t="s">
        <v>10072</v>
      </c>
      <c r="BJ12" s="288" t="s">
        <v>10073</v>
      </c>
      <c r="BK12" s="288" t="s">
        <v>10074</v>
      </c>
      <c r="BL12" s="288" t="s">
        <v>10075</v>
      </c>
      <c r="BM12" s="288" t="s">
        <v>10076</v>
      </c>
      <c r="BN12" s="288" t="s">
        <v>10077</v>
      </c>
      <c r="BO12" s="288" t="s">
        <v>10078</v>
      </c>
      <c r="BP12" s="288" t="s">
        <v>10079</v>
      </c>
      <c r="BQ12" s="399"/>
      <c r="BR12" s="399"/>
      <c r="BS12" s="399"/>
      <c r="BT12" s="399"/>
      <c r="BU12" s="399"/>
      <c r="BV12" s="399"/>
      <c r="BW12" s="399"/>
      <c r="BX12" s="399"/>
      <c r="BY12" s="399"/>
      <c r="BZ12" s="740" t="s">
        <v>10080</v>
      </c>
      <c r="CA12" s="740" t="s">
        <v>10081</v>
      </c>
      <c r="CB12" s="1117" t="s">
        <v>10082</v>
      </c>
    </row>
    <row r="13" spans="2:80" s="200" customFormat="1" ht="33" customHeight="1">
      <c r="B13" s="792" t="s">
        <v>10083</v>
      </c>
      <c r="C13" s="2357" t="s">
        <v>9215</v>
      </c>
      <c r="D13" s="325" t="s">
        <v>4215</v>
      </c>
      <c r="E13" s="325">
        <v>3</v>
      </c>
      <c r="F13" s="751">
        <v>2.7210000000000001</v>
      </c>
      <c r="G13" s="751">
        <v>1.115</v>
      </c>
      <c r="H13" s="751">
        <v>0.625</v>
      </c>
      <c r="I13" s="751">
        <v>0.377</v>
      </c>
      <c r="J13" s="751">
        <v>0</v>
      </c>
      <c r="K13" s="751">
        <v>0</v>
      </c>
      <c r="L13" s="751">
        <v>0</v>
      </c>
      <c r="M13" s="751">
        <v>0</v>
      </c>
      <c r="N13" s="312">
        <f t="shared" si="7"/>
        <v>4.8380000000000001</v>
      </c>
      <c r="O13" s="2384"/>
      <c r="P13" s="2384"/>
      <c r="Q13" s="2384"/>
      <c r="R13" s="2384"/>
      <c r="S13" s="2384"/>
      <c r="T13" s="2384"/>
      <c r="U13" s="2384"/>
      <c r="V13" s="2384"/>
      <c r="W13" s="2384"/>
      <c r="X13" s="2385"/>
      <c r="Y13" s="2385"/>
      <c r="Z13" s="2386"/>
      <c r="AA13" s="997"/>
      <c r="AB13" s="795" t="s">
        <v>10084</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10083</v>
      </c>
      <c r="BG13" s="354" t="s">
        <v>9215</v>
      </c>
      <c r="BH13" s="287" t="s">
        <v>10085</v>
      </c>
      <c r="BI13" s="287" t="s">
        <v>10086</v>
      </c>
      <c r="BJ13" s="287" t="s">
        <v>10087</v>
      </c>
      <c r="BK13" s="287" t="s">
        <v>10088</v>
      </c>
      <c r="BL13" s="287" t="s">
        <v>10089</v>
      </c>
      <c r="BM13" s="287" t="s">
        <v>10090</v>
      </c>
      <c r="BN13" s="287" t="s">
        <v>10091</v>
      </c>
      <c r="BO13" s="287" t="s">
        <v>10092</v>
      </c>
      <c r="BP13" s="288" t="s">
        <v>10093</v>
      </c>
      <c r="BQ13" s="399"/>
      <c r="BR13" s="399"/>
      <c r="BS13" s="399"/>
      <c r="BT13" s="399"/>
      <c r="BU13" s="399"/>
      <c r="BV13" s="399"/>
      <c r="BW13" s="399"/>
      <c r="BX13" s="399"/>
      <c r="BY13" s="399"/>
      <c r="BZ13" s="744"/>
      <c r="CA13" s="744"/>
      <c r="CB13" s="745"/>
    </row>
    <row r="14" spans="2:80" s="200" customFormat="1" ht="33" customHeight="1">
      <c r="B14" s="792" t="s">
        <v>10083</v>
      </c>
      <c r="C14" s="2357" t="s">
        <v>9223</v>
      </c>
      <c r="D14" s="325" t="s">
        <v>4215</v>
      </c>
      <c r="E14" s="325">
        <v>3</v>
      </c>
      <c r="F14" s="751">
        <v>0</v>
      </c>
      <c r="G14" s="751">
        <v>0</v>
      </c>
      <c r="H14" s="751">
        <v>0</v>
      </c>
      <c r="I14" s="751">
        <v>0</v>
      </c>
      <c r="J14" s="751">
        <v>0</v>
      </c>
      <c r="K14" s="751">
        <v>0</v>
      </c>
      <c r="L14" s="751">
        <v>0</v>
      </c>
      <c r="M14" s="751">
        <v>0</v>
      </c>
      <c r="N14" s="312">
        <f t="shared" si="7"/>
        <v>0</v>
      </c>
      <c r="O14" s="2384"/>
      <c r="P14" s="2384"/>
      <c r="Q14" s="2384"/>
      <c r="R14" s="2384"/>
      <c r="S14" s="2384"/>
      <c r="T14" s="2384"/>
      <c r="U14" s="2384"/>
      <c r="V14" s="2384"/>
      <c r="W14" s="2384"/>
      <c r="X14" s="2385"/>
      <c r="Y14" s="2385"/>
      <c r="Z14" s="2386"/>
      <c r="AA14" s="997"/>
      <c r="AB14" s="795" t="s">
        <v>10094</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10083</v>
      </c>
      <c r="BG14" s="354" t="s">
        <v>9223</v>
      </c>
      <c r="BH14" s="287" t="s">
        <v>10095</v>
      </c>
      <c r="BI14" s="287" t="s">
        <v>10096</v>
      </c>
      <c r="BJ14" s="287" t="s">
        <v>10097</v>
      </c>
      <c r="BK14" s="287" t="s">
        <v>10098</v>
      </c>
      <c r="BL14" s="287" t="s">
        <v>10099</v>
      </c>
      <c r="BM14" s="287" t="s">
        <v>10100</v>
      </c>
      <c r="BN14" s="287" t="s">
        <v>10101</v>
      </c>
      <c r="BO14" s="287" t="s">
        <v>10102</v>
      </c>
      <c r="BP14" s="288" t="s">
        <v>10103</v>
      </c>
      <c r="BQ14" s="399"/>
      <c r="BR14" s="399"/>
      <c r="BS14" s="399"/>
      <c r="BT14" s="399"/>
      <c r="BU14" s="399"/>
      <c r="BV14" s="399"/>
      <c r="BW14" s="399"/>
      <c r="BX14" s="399"/>
      <c r="BY14" s="399"/>
      <c r="BZ14" s="744"/>
      <c r="CA14" s="744"/>
      <c r="CB14" s="745"/>
    </row>
    <row r="15" spans="2:80" s="200" customFormat="1" ht="33" customHeight="1">
      <c r="B15" s="792" t="s">
        <v>10083</v>
      </c>
      <c r="C15" s="2357" t="s">
        <v>9231</v>
      </c>
      <c r="D15" s="325" t="s">
        <v>4215</v>
      </c>
      <c r="E15" s="325">
        <v>3</v>
      </c>
      <c r="F15" s="312">
        <f>IFERROR(SUM(F13:F14), 0)</f>
        <v>2.7210000000000001</v>
      </c>
      <c r="G15" s="312">
        <f t="shared" ref="G15:M15" si="22">IFERROR(SUM(G13:G14), 0)</f>
        <v>1.115</v>
      </c>
      <c r="H15" s="312">
        <f t="shared" si="22"/>
        <v>0.625</v>
      </c>
      <c r="I15" s="312">
        <f t="shared" si="22"/>
        <v>0.377</v>
      </c>
      <c r="J15" s="312">
        <f t="shared" si="22"/>
        <v>0</v>
      </c>
      <c r="K15" s="312">
        <f t="shared" si="22"/>
        <v>0</v>
      </c>
      <c r="L15" s="312">
        <f t="shared" si="22"/>
        <v>0</v>
      </c>
      <c r="M15" s="312">
        <f t="shared" si="22"/>
        <v>0</v>
      </c>
      <c r="N15" s="312">
        <f t="shared" si="7"/>
        <v>4.8380000000000001</v>
      </c>
      <c r="O15" s="2384"/>
      <c r="P15" s="2384"/>
      <c r="Q15" s="2384"/>
      <c r="R15" s="2384"/>
      <c r="S15" s="2384"/>
      <c r="T15" s="2384"/>
      <c r="U15" s="2384"/>
      <c r="V15" s="2384"/>
      <c r="W15" s="2384"/>
      <c r="X15" s="751">
        <v>6.2549999999999999</v>
      </c>
      <c r="Y15" s="751">
        <v>3.423</v>
      </c>
      <c r="Z15" s="796">
        <v>5.335</v>
      </c>
      <c r="AA15" s="997"/>
      <c r="AB15" s="795" t="s">
        <v>10104</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10083</v>
      </c>
      <c r="BG15" s="354" t="s">
        <v>9231</v>
      </c>
      <c r="BH15" s="288" t="s">
        <v>10105</v>
      </c>
      <c r="BI15" s="288" t="s">
        <v>10106</v>
      </c>
      <c r="BJ15" s="288" t="s">
        <v>10107</v>
      </c>
      <c r="BK15" s="288" t="s">
        <v>10108</v>
      </c>
      <c r="BL15" s="288" t="s">
        <v>10109</v>
      </c>
      <c r="BM15" s="288" t="s">
        <v>10110</v>
      </c>
      <c r="BN15" s="288" t="s">
        <v>10111</v>
      </c>
      <c r="BO15" s="288" t="s">
        <v>10112</v>
      </c>
      <c r="BP15" s="288" t="s">
        <v>10113</v>
      </c>
      <c r="BQ15" s="399"/>
      <c r="BR15" s="399"/>
      <c r="BS15" s="399"/>
      <c r="BT15" s="399"/>
      <c r="BU15" s="399"/>
      <c r="BV15" s="399"/>
      <c r="BW15" s="399"/>
      <c r="BX15" s="399"/>
      <c r="BY15" s="399"/>
      <c r="BZ15" s="740" t="s">
        <v>10114</v>
      </c>
      <c r="CA15" s="740" t="s">
        <v>10115</v>
      </c>
      <c r="CB15" s="1117" t="s">
        <v>10116</v>
      </c>
    </row>
    <row r="16" spans="2:80" s="200" customFormat="1" ht="15.75" customHeight="1">
      <c r="B16" s="792" t="s">
        <v>10117</v>
      </c>
      <c r="C16" s="2357" t="s">
        <v>9215</v>
      </c>
      <c r="D16" s="325" t="s">
        <v>4215</v>
      </c>
      <c r="E16" s="325">
        <v>3</v>
      </c>
      <c r="F16" s="751">
        <v>0</v>
      </c>
      <c r="G16" s="751">
        <v>0</v>
      </c>
      <c r="H16" s="751">
        <v>0</v>
      </c>
      <c r="I16" s="751">
        <v>4.7759999999999998</v>
      </c>
      <c r="J16" s="751">
        <v>0</v>
      </c>
      <c r="K16" s="751">
        <v>0</v>
      </c>
      <c r="L16" s="751">
        <v>0</v>
      </c>
      <c r="M16" s="751">
        <v>0</v>
      </c>
      <c r="N16" s="312">
        <f t="shared" si="7"/>
        <v>4.7759999999999998</v>
      </c>
      <c r="O16" s="2384"/>
      <c r="P16" s="2384"/>
      <c r="Q16" s="2384"/>
      <c r="R16" s="2384"/>
      <c r="S16" s="2384"/>
      <c r="T16" s="2384"/>
      <c r="U16" s="2384"/>
      <c r="V16" s="2384"/>
      <c r="W16" s="2384"/>
      <c r="X16" s="2385"/>
      <c r="Y16" s="2385"/>
      <c r="Z16" s="2386"/>
      <c r="AA16" s="997"/>
      <c r="AB16" s="795" t="s">
        <v>10118</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10117</v>
      </c>
      <c r="BG16" s="354" t="s">
        <v>9215</v>
      </c>
      <c r="BH16" s="287" t="s">
        <v>10119</v>
      </c>
      <c r="BI16" s="287" t="s">
        <v>10120</v>
      </c>
      <c r="BJ16" s="287" t="s">
        <v>10121</v>
      </c>
      <c r="BK16" s="287" t="s">
        <v>10122</v>
      </c>
      <c r="BL16" s="287" t="s">
        <v>10123</v>
      </c>
      <c r="BM16" s="287" t="s">
        <v>10124</v>
      </c>
      <c r="BN16" s="287" t="s">
        <v>10125</v>
      </c>
      <c r="BO16" s="287" t="s">
        <v>10126</v>
      </c>
      <c r="BP16" s="288" t="s">
        <v>10127</v>
      </c>
      <c r="BQ16" s="399"/>
      <c r="BR16" s="399"/>
      <c r="BS16" s="399"/>
      <c r="BT16" s="399"/>
      <c r="BU16" s="399"/>
      <c r="BV16" s="399"/>
      <c r="BW16" s="399"/>
      <c r="BX16" s="399"/>
      <c r="BY16" s="399"/>
      <c r="BZ16" s="744"/>
      <c r="CA16" s="744"/>
      <c r="CB16" s="745"/>
    </row>
    <row r="17" spans="2:80" s="200" customFormat="1" ht="15.75" customHeight="1">
      <c r="B17" s="792" t="s">
        <v>10117</v>
      </c>
      <c r="C17" s="2357" t="s">
        <v>9223</v>
      </c>
      <c r="D17" s="325" t="s">
        <v>4215</v>
      </c>
      <c r="E17" s="325">
        <v>3</v>
      </c>
      <c r="F17" s="751">
        <v>0</v>
      </c>
      <c r="G17" s="751">
        <v>0</v>
      </c>
      <c r="H17" s="751">
        <v>0</v>
      </c>
      <c r="I17" s="751">
        <v>0</v>
      </c>
      <c r="J17" s="751">
        <v>0</v>
      </c>
      <c r="K17" s="751">
        <v>0</v>
      </c>
      <c r="L17" s="751">
        <v>0</v>
      </c>
      <c r="M17" s="751">
        <v>0</v>
      </c>
      <c r="N17" s="312">
        <f t="shared" si="7"/>
        <v>0</v>
      </c>
      <c r="O17" s="2384"/>
      <c r="P17" s="2384"/>
      <c r="Q17" s="2384"/>
      <c r="R17" s="2384"/>
      <c r="S17" s="2384"/>
      <c r="T17" s="2384"/>
      <c r="U17" s="2384"/>
      <c r="V17" s="2384"/>
      <c r="W17" s="2384"/>
      <c r="X17" s="2385"/>
      <c r="Y17" s="2385"/>
      <c r="Z17" s="2386"/>
      <c r="AA17" s="997"/>
      <c r="AB17" s="795" t="s">
        <v>10128</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10117</v>
      </c>
      <c r="BG17" s="354" t="s">
        <v>9223</v>
      </c>
      <c r="BH17" s="287" t="s">
        <v>10129</v>
      </c>
      <c r="BI17" s="287" t="s">
        <v>10130</v>
      </c>
      <c r="BJ17" s="287" t="s">
        <v>10131</v>
      </c>
      <c r="BK17" s="287" t="s">
        <v>10132</v>
      </c>
      <c r="BL17" s="287" t="s">
        <v>10133</v>
      </c>
      <c r="BM17" s="287" t="s">
        <v>10134</v>
      </c>
      <c r="BN17" s="287" t="s">
        <v>10135</v>
      </c>
      <c r="BO17" s="287" t="s">
        <v>10136</v>
      </c>
      <c r="BP17" s="288" t="s">
        <v>10137</v>
      </c>
      <c r="BQ17" s="399"/>
      <c r="BR17" s="399"/>
      <c r="BS17" s="399"/>
      <c r="BT17" s="399"/>
      <c r="BU17" s="399"/>
      <c r="BV17" s="399"/>
      <c r="BW17" s="399"/>
      <c r="BX17" s="399"/>
      <c r="BY17" s="399"/>
      <c r="BZ17" s="744"/>
      <c r="CA17" s="744"/>
      <c r="CB17" s="745"/>
    </row>
    <row r="18" spans="2:80" s="200" customFormat="1" ht="15.75" customHeight="1">
      <c r="B18" s="792" t="s">
        <v>10117</v>
      </c>
      <c r="C18" s="2357" t="s">
        <v>9231</v>
      </c>
      <c r="D18" s="325" t="s">
        <v>4215</v>
      </c>
      <c r="E18" s="325">
        <v>3</v>
      </c>
      <c r="F18" s="312">
        <f>IFERROR(SUM(F16:F17), 0)</f>
        <v>0</v>
      </c>
      <c r="G18" s="312">
        <f t="shared" ref="G18:M18" si="34">IFERROR(SUM(G16:G17), 0)</f>
        <v>0</v>
      </c>
      <c r="H18" s="312">
        <f t="shared" si="34"/>
        <v>0</v>
      </c>
      <c r="I18" s="312">
        <f t="shared" si="34"/>
        <v>4.7759999999999998</v>
      </c>
      <c r="J18" s="312">
        <f t="shared" si="34"/>
        <v>0</v>
      </c>
      <c r="K18" s="312">
        <f t="shared" si="34"/>
        <v>0</v>
      </c>
      <c r="L18" s="312">
        <f t="shared" si="34"/>
        <v>0</v>
      </c>
      <c r="M18" s="312">
        <f t="shared" si="34"/>
        <v>0</v>
      </c>
      <c r="N18" s="312">
        <f t="shared" si="7"/>
        <v>4.7759999999999998</v>
      </c>
      <c r="O18" s="2384"/>
      <c r="P18" s="2384"/>
      <c r="Q18" s="2384"/>
      <c r="R18" s="2384"/>
      <c r="S18" s="2384"/>
      <c r="T18" s="2384"/>
      <c r="U18" s="2384"/>
      <c r="V18" s="2384"/>
      <c r="W18" s="2384"/>
      <c r="X18" s="751">
        <v>19.422000000000001</v>
      </c>
      <c r="Y18" s="751">
        <v>17.62</v>
      </c>
      <c r="Z18" s="796">
        <v>27.46</v>
      </c>
      <c r="AA18" s="997"/>
      <c r="AB18" s="795" t="s">
        <v>10138</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10117</v>
      </c>
      <c r="BG18" s="354" t="s">
        <v>9231</v>
      </c>
      <c r="BH18" s="288" t="s">
        <v>10139</v>
      </c>
      <c r="BI18" s="288" t="s">
        <v>10140</v>
      </c>
      <c r="BJ18" s="288" t="s">
        <v>10141</v>
      </c>
      <c r="BK18" s="288" t="s">
        <v>10142</v>
      </c>
      <c r="BL18" s="288" t="s">
        <v>10143</v>
      </c>
      <c r="BM18" s="288" t="s">
        <v>10144</v>
      </c>
      <c r="BN18" s="288" t="s">
        <v>10145</v>
      </c>
      <c r="BO18" s="288" t="s">
        <v>10146</v>
      </c>
      <c r="BP18" s="288" t="s">
        <v>10147</v>
      </c>
      <c r="BQ18" s="399"/>
      <c r="BR18" s="399"/>
      <c r="BS18" s="399"/>
      <c r="BT18" s="399"/>
      <c r="BU18" s="399"/>
      <c r="BV18" s="399"/>
      <c r="BW18" s="399"/>
      <c r="BX18" s="399"/>
      <c r="BY18" s="399"/>
      <c r="BZ18" s="740" t="s">
        <v>10148</v>
      </c>
      <c r="CA18" s="740" t="s">
        <v>10149</v>
      </c>
      <c r="CB18" s="1117" t="s">
        <v>10150</v>
      </c>
    </row>
    <row r="19" spans="2:80" s="200" customFormat="1" ht="15.75" customHeight="1">
      <c r="B19" s="792" t="s">
        <v>10151</v>
      </c>
      <c r="C19" s="2357" t="s">
        <v>9215</v>
      </c>
      <c r="D19" s="325" t="s">
        <v>4215</v>
      </c>
      <c r="E19" s="325">
        <v>3</v>
      </c>
      <c r="F19" s="751">
        <v>0</v>
      </c>
      <c r="G19" s="751">
        <v>0</v>
      </c>
      <c r="H19" s="751">
        <v>0</v>
      </c>
      <c r="I19" s="751">
        <v>2.6379999999999999</v>
      </c>
      <c r="J19" s="751">
        <v>0</v>
      </c>
      <c r="K19" s="751">
        <v>0</v>
      </c>
      <c r="L19" s="751">
        <v>0</v>
      </c>
      <c r="M19" s="751">
        <v>0</v>
      </c>
      <c r="N19" s="312">
        <f t="shared" si="7"/>
        <v>2.6379999999999999</v>
      </c>
      <c r="O19" s="751">
        <v>0</v>
      </c>
      <c r="P19" s="751">
        <v>0</v>
      </c>
      <c r="Q19" s="751">
        <v>0</v>
      </c>
      <c r="R19" s="751">
        <v>0</v>
      </c>
      <c r="S19" s="751">
        <v>0</v>
      </c>
      <c r="T19" s="751">
        <v>0</v>
      </c>
      <c r="U19" s="751">
        <v>0</v>
      </c>
      <c r="V19" s="751">
        <v>0</v>
      </c>
      <c r="W19" s="312">
        <f>IFERROR(SUM(O19:V19), 0)</f>
        <v>0</v>
      </c>
      <c r="X19" s="2385"/>
      <c r="Y19" s="2385"/>
      <c r="Z19" s="2386"/>
      <c r="AA19" s="997"/>
      <c r="AB19" s="795" t="s">
        <v>10152</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10151</v>
      </c>
      <c r="BG19" s="354" t="s">
        <v>9215</v>
      </c>
      <c r="BH19" s="287" t="s">
        <v>10153</v>
      </c>
      <c r="BI19" s="287" t="s">
        <v>10154</v>
      </c>
      <c r="BJ19" s="287" t="s">
        <v>10155</v>
      </c>
      <c r="BK19" s="287" t="s">
        <v>10156</v>
      </c>
      <c r="BL19" s="287" t="s">
        <v>10157</v>
      </c>
      <c r="BM19" s="287" t="s">
        <v>10158</v>
      </c>
      <c r="BN19" s="287" t="s">
        <v>10159</v>
      </c>
      <c r="BO19" s="287" t="s">
        <v>10160</v>
      </c>
      <c r="BP19" s="288" t="s">
        <v>10161</v>
      </c>
      <c r="BQ19" s="287" t="s">
        <v>10162</v>
      </c>
      <c r="BR19" s="287" t="s">
        <v>10163</v>
      </c>
      <c r="BS19" s="287" t="s">
        <v>10164</v>
      </c>
      <c r="BT19" s="287" t="s">
        <v>10165</v>
      </c>
      <c r="BU19" s="287" t="s">
        <v>10166</v>
      </c>
      <c r="BV19" s="287" t="s">
        <v>10167</v>
      </c>
      <c r="BW19" s="287" t="s">
        <v>10168</v>
      </c>
      <c r="BX19" s="287" t="s">
        <v>10169</v>
      </c>
      <c r="BY19" s="288" t="s">
        <v>10170</v>
      </c>
      <c r="BZ19" s="744"/>
      <c r="CA19" s="744"/>
      <c r="CB19" s="745"/>
    </row>
    <row r="20" spans="2:80" s="197" customFormat="1" ht="15.75" customHeight="1">
      <c r="B20" s="792" t="s">
        <v>10151</v>
      </c>
      <c r="C20" s="2357" t="s">
        <v>9223</v>
      </c>
      <c r="D20" s="325" t="s">
        <v>4215</v>
      </c>
      <c r="E20" s="325">
        <v>3</v>
      </c>
      <c r="F20" s="751">
        <v>0</v>
      </c>
      <c r="G20" s="751">
        <v>0</v>
      </c>
      <c r="H20" s="751">
        <v>0</v>
      </c>
      <c r="I20" s="751">
        <v>0</v>
      </c>
      <c r="J20" s="751">
        <v>0</v>
      </c>
      <c r="K20" s="751">
        <v>0</v>
      </c>
      <c r="L20" s="751">
        <v>0</v>
      </c>
      <c r="M20" s="751">
        <v>0</v>
      </c>
      <c r="N20" s="312">
        <f t="shared" si="7"/>
        <v>0</v>
      </c>
      <c r="O20" s="751">
        <v>0</v>
      </c>
      <c r="P20" s="751">
        <v>0</v>
      </c>
      <c r="Q20" s="751">
        <v>0</v>
      </c>
      <c r="R20" s="751">
        <v>0</v>
      </c>
      <c r="S20" s="751">
        <v>0</v>
      </c>
      <c r="T20" s="751">
        <v>0</v>
      </c>
      <c r="U20" s="751">
        <v>0</v>
      </c>
      <c r="V20" s="751">
        <v>0</v>
      </c>
      <c r="W20" s="312">
        <f t="shared" ref="W20:W37" si="52">IFERROR(SUM(O20:V20), 0)</f>
        <v>0</v>
      </c>
      <c r="X20" s="2385"/>
      <c r="Y20" s="2385"/>
      <c r="Z20" s="2386"/>
      <c r="AA20" s="997"/>
      <c r="AB20" s="795" t="s">
        <v>10171</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10151</v>
      </c>
      <c r="BG20" s="354" t="s">
        <v>9223</v>
      </c>
      <c r="BH20" s="287" t="s">
        <v>10172</v>
      </c>
      <c r="BI20" s="287" t="s">
        <v>10173</v>
      </c>
      <c r="BJ20" s="287" t="s">
        <v>10174</v>
      </c>
      <c r="BK20" s="287" t="s">
        <v>10175</v>
      </c>
      <c r="BL20" s="287" t="s">
        <v>10176</v>
      </c>
      <c r="BM20" s="287" t="s">
        <v>10177</v>
      </c>
      <c r="BN20" s="287" t="s">
        <v>10178</v>
      </c>
      <c r="BO20" s="287" t="s">
        <v>10179</v>
      </c>
      <c r="BP20" s="288" t="s">
        <v>10180</v>
      </c>
      <c r="BQ20" s="287" t="s">
        <v>10181</v>
      </c>
      <c r="BR20" s="287" t="s">
        <v>10182</v>
      </c>
      <c r="BS20" s="287" t="s">
        <v>10183</v>
      </c>
      <c r="BT20" s="287" t="s">
        <v>10184</v>
      </c>
      <c r="BU20" s="287" t="s">
        <v>10185</v>
      </c>
      <c r="BV20" s="287" t="s">
        <v>10186</v>
      </c>
      <c r="BW20" s="287" t="s">
        <v>10187</v>
      </c>
      <c r="BX20" s="287" t="s">
        <v>10188</v>
      </c>
      <c r="BY20" s="288" t="s">
        <v>10189</v>
      </c>
      <c r="BZ20" s="744"/>
      <c r="CA20" s="744"/>
      <c r="CB20" s="745"/>
    </row>
    <row r="21" spans="2:80" s="197" customFormat="1" ht="15.75" customHeight="1">
      <c r="B21" s="792" t="s">
        <v>10151</v>
      </c>
      <c r="C21" s="2357" t="s">
        <v>9231</v>
      </c>
      <c r="D21" s="325" t="s">
        <v>4215</v>
      </c>
      <c r="E21" s="325">
        <v>3</v>
      </c>
      <c r="F21" s="312">
        <f>IFERROR(SUM(F19:F20), 0)</f>
        <v>0</v>
      </c>
      <c r="G21" s="312">
        <f t="shared" ref="G21:M21" si="55">IFERROR(SUM(G19:G20), 0)</f>
        <v>0</v>
      </c>
      <c r="H21" s="312">
        <f t="shared" si="55"/>
        <v>0</v>
      </c>
      <c r="I21" s="312">
        <f t="shared" si="55"/>
        <v>2.6379999999999999</v>
      </c>
      <c r="J21" s="312">
        <f t="shared" si="55"/>
        <v>0</v>
      </c>
      <c r="K21" s="312">
        <f t="shared" si="55"/>
        <v>0</v>
      </c>
      <c r="L21" s="312">
        <f t="shared" si="55"/>
        <v>0</v>
      </c>
      <c r="M21" s="312">
        <f t="shared" si="55"/>
        <v>0</v>
      </c>
      <c r="N21" s="312">
        <f t="shared" si="7"/>
        <v>2.6379999999999999</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v>2.806</v>
      </c>
      <c r="Y21" s="751">
        <v>12.388</v>
      </c>
      <c r="Z21" s="796">
        <v>19.306999999999999</v>
      </c>
      <c r="AA21" s="997"/>
      <c r="AB21" s="795" t="s">
        <v>10190</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10151</v>
      </c>
      <c r="BG21" s="354" t="s">
        <v>9231</v>
      </c>
      <c r="BH21" s="288" t="s">
        <v>10191</v>
      </c>
      <c r="BI21" s="288" t="s">
        <v>10192</v>
      </c>
      <c r="BJ21" s="288" t="s">
        <v>10193</v>
      </c>
      <c r="BK21" s="288" t="s">
        <v>10194</v>
      </c>
      <c r="BL21" s="288" t="s">
        <v>10195</v>
      </c>
      <c r="BM21" s="288" t="s">
        <v>10196</v>
      </c>
      <c r="BN21" s="288" t="s">
        <v>10197</v>
      </c>
      <c r="BO21" s="288" t="s">
        <v>10198</v>
      </c>
      <c r="BP21" s="288" t="s">
        <v>10199</v>
      </c>
      <c r="BQ21" s="288" t="s">
        <v>10200</v>
      </c>
      <c r="BR21" s="288" t="s">
        <v>10201</v>
      </c>
      <c r="BS21" s="288" t="s">
        <v>10202</v>
      </c>
      <c r="BT21" s="288" t="s">
        <v>10203</v>
      </c>
      <c r="BU21" s="288" t="s">
        <v>10204</v>
      </c>
      <c r="BV21" s="288" t="s">
        <v>10205</v>
      </c>
      <c r="BW21" s="288" t="s">
        <v>10206</v>
      </c>
      <c r="BX21" s="288" t="s">
        <v>10207</v>
      </c>
      <c r="BY21" s="288" t="s">
        <v>10208</v>
      </c>
      <c r="BZ21" s="740" t="s">
        <v>10209</v>
      </c>
      <c r="CA21" s="740" t="s">
        <v>10210</v>
      </c>
      <c r="CB21" s="1117" t="s">
        <v>10211</v>
      </c>
    </row>
    <row r="22" spans="2:80" s="197" customFormat="1" ht="15.75" customHeight="1">
      <c r="B22" s="792" t="s">
        <v>10212</v>
      </c>
      <c r="C22" s="2357" t="s">
        <v>9215</v>
      </c>
      <c r="D22" s="325" t="s">
        <v>4215</v>
      </c>
      <c r="E22" s="325">
        <v>3</v>
      </c>
      <c r="F22" s="751">
        <v>0</v>
      </c>
      <c r="G22" s="751">
        <v>0</v>
      </c>
      <c r="H22" s="751">
        <v>0</v>
      </c>
      <c r="I22" s="751">
        <v>0.71699999999999997</v>
      </c>
      <c r="J22" s="751">
        <v>0</v>
      </c>
      <c r="K22" s="751">
        <v>0</v>
      </c>
      <c r="L22" s="751">
        <v>0</v>
      </c>
      <c r="M22" s="751">
        <v>0</v>
      </c>
      <c r="N22" s="312">
        <f t="shared" si="7"/>
        <v>0.71699999999999997</v>
      </c>
      <c r="O22" s="751">
        <v>0</v>
      </c>
      <c r="P22" s="751">
        <v>0</v>
      </c>
      <c r="Q22" s="751">
        <v>0</v>
      </c>
      <c r="R22" s="751">
        <v>0</v>
      </c>
      <c r="S22" s="751">
        <v>0</v>
      </c>
      <c r="T22" s="751">
        <v>0</v>
      </c>
      <c r="U22" s="751">
        <v>0</v>
      </c>
      <c r="V22" s="751">
        <v>0</v>
      </c>
      <c r="W22" s="312">
        <f t="shared" si="52"/>
        <v>0</v>
      </c>
      <c r="X22" s="2385"/>
      <c r="Y22" s="2385"/>
      <c r="Z22" s="2386"/>
      <c r="AA22" s="997"/>
      <c r="AB22" s="795" t="s">
        <v>10213</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10212</v>
      </c>
      <c r="BG22" s="354" t="s">
        <v>9215</v>
      </c>
      <c r="BH22" s="287" t="s">
        <v>10214</v>
      </c>
      <c r="BI22" s="287" t="s">
        <v>10215</v>
      </c>
      <c r="BJ22" s="287" t="s">
        <v>10216</v>
      </c>
      <c r="BK22" s="287" t="s">
        <v>10217</v>
      </c>
      <c r="BL22" s="287" t="s">
        <v>10218</v>
      </c>
      <c r="BM22" s="287" t="s">
        <v>10219</v>
      </c>
      <c r="BN22" s="287" t="s">
        <v>10220</v>
      </c>
      <c r="BO22" s="287" t="s">
        <v>10221</v>
      </c>
      <c r="BP22" s="288" t="s">
        <v>10222</v>
      </c>
      <c r="BQ22" s="287" t="s">
        <v>10223</v>
      </c>
      <c r="BR22" s="287" t="s">
        <v>10224</v>
      </c>
      <c r="BS22" s="287" t="s">
        <v>10225</v>
      </c>
      <c r="BT22" s="287" t="s">
        <v>10226</v>
      </c>
      <c r="BU22" s="287" t="s">
        <v>10227</v>
      </c>
      <c r="BV22" s="287" t="s">
        <v>10228</v>
      </c>
      <c r="BW22" s="287" t="s">
        <v>10229</v>
      </c>
      <c r="BX22" s="287" t="s">
        <v>10230</v>
      </c>
      <c r="BY22" s="288" t="s">
        <v>10231</v>
      </c>
      <c r="BZ22" s="744"/>
      <c r="CA22" s="744"/>
      <c r="CB22" s="745"/>
    </row>
    <row r="23" spans="2:80" s="197" customFormat="1" ht="15.75" customHeight="1">
      <c r="B23" s="792" t="s">
        <v>10212</v>
      </c>
      <c r="C23" s="2357" t="s">
        <v>9223</v>
      </c>
      <c r="D23" s="325" t="s">
        <v>4215</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5"/>
      <c r="Y23" s="2385"/>
      <c r="Z23" s="2386"/>
      <c r="AA23" s="997"/>
      <c r="AB23" s="795" t="s">
        <v>10232</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10212</v>
      </c>
      <c r="BG23" s="354" t="s">
        <v>9223</v>
      </c>
      <c r="BH23" s="287" t="s">
        <v>10233</v>
      </c>
      <c r="BI23" s="287" t="s">
        <v>10234</v>
      </c>
      <c r="BJ23" s="287" t="s">
        <v>10235</v>
      </c>
      <c r="BK23" s="287" t="s">
        <v>10236</v>
      </c>
      <c r="BL23" s="287" t="s">
        <v>10237</v>
      </c>
      <c r="BM23" s="287" t="s">
        <v>10238</v>
      </c>
      <c r="BN23" s="287" t="s">
        <v>10239</v>
      </c>
      <c r="BO23" s="287" t="s">
        <v>10240</v>
      </c>
      <c r="BP23" s="288" t="s">
        <v>10241</v>
      </c>
      <c r="BQ23" s="287" t="s">
        <v>10242</v>
      </c>
      <c r="BR23" s="287" t="s">
        <v>10243</v>
      </c>
      <c r="BS23" s="287" t="s">
        <v>10244</v>
      </c>
      <c r="BT23" s="287" t="s">
        <v>10245</v>
      </c>
      <c r="BU23" s="287" t="s">
        <v>10246</v>
      </c>
      <c r="BV23" s="287" t="s">
        <v>10247</v>
      </c>
      <c r="BW23" s="287" t="s">
        <v>10248</v>
      </c>
      <c r="BX23" s="287" t="s">
        <v>10249</v>
      </c>
      <c r="BY23" s="288" t="s">
        <v>10250</v>
      </c>
      <c r="BZ23" s="744"/>
      <c r="CA23" s="744"/>
      <c r="CB23" s="745"/>
    </row>
    <row r="24" spans="2:80" s="197" customFormat="1" ht="15.75" customHeight="1">
      <c r="B24" s="792" t="s">
        <v>10212</v>
      </c>
      <c r="C24" s="2357" t="s">
        <v>9231</v>
      </c>
      <c r="D24" s="325" t="s">
        <v>4215</v>
      </c>
      <c r="E24" s="325">
        <v>3</v>
      </c>
      <c r="F24" s="312">
        <f>IFERROR(SUM(F22:F23), 0)</f>
        <v>0</v>
      </c>
      <c r="G24" s="312">
        <f t="shared" ref="G24:M24" si="76">IFERROR(SUM(G22:G23), 0)</f>
        <v>0</v>
      </c>
      <c r="H24" s="312">
        <f t="shared" si="76"/>
        <v>0</v>
      </c>
      <c r="I24" s="312">
        <f t="shared" si="76"/>
        <v>0.71699999999999997</v>
      </c>
      <c r="J24" s="312">
        <f t="shared" si="76"/>
        <v>0</v>
      </c>
      <c r="K24" s="312">
        <f t="shared" si="76"/>
        <v>0</v>
      </c>
      <c r="L24" s="312">
        <f t="shared" si="76"/>
        <v>0</v>
      </c>
      <c r="M24" s="312">
        <f t="shared" si="76"/>
        <v>0</v>
      </c>
      <c r="N24" s="312">
        <f t="shared" si="7"/>
        <v>0.71699999999999997</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v>1.028</v>
      </c>
      <c r="Y24" s="751">
        <v>6.5170000000000003</v>
      </c>
      <c r="Z24" s="796">
        <v>10.157</v>
      </c>
      <c r="AA24" s="997"/>
      <c r="AB24" s="795" t="s">
        <v>10251</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10212</v>
      </c>
      <c r="BG24" s="354" t="s">
        <v>9231</v>
      </c>
      <c r="BH24" s="288" t="s">
        <v>10252</v>
      </c>
      <c r="BI24" s="288" t="s">
        <v>10253</v>
      </c>
      <c r="BJ24" s="288" t="s">
        <v>10254</v>
      </c>
      <c r="BK24" s="288" t="s">
        <v>10255</v>
      </c>
      <c r="BL24" s="288" t="s">
        <v>10256</v>
      </c>
      <c r="BM24" s="288" t="s">
        <v>10257</v>
      </c>
      <c r="BN24" s="288" t="s">
        <v>10258</v>
      </c>
      <c r="BO24" s="288" t="s">
        <v>10259</v>
      </c>
      <c r="BP24" s="288" t="s">
        <v>10260</v>
      </c>
      <c r="BQ24" s="288" t="s">
        <v>10261</v>
      </c>
      <c r="BR24" s="288" t="s">
        <v>10262</v>
      </c>
      <c r="BS24" s="288" t="s">
        <v>10263</v>
      </c>
      <c r="BT24" s="288" t="s">
        <v>10264</v>
      </c>
      <c r="BU24" s="288" t="s">
        <v>10265</v>
      </c>
      <c r="BV24" s="288" t="s">
        <v>10266</v>
      </c>
      <c r="BW24" s="288" t="s">
        <v>10267</v>
      </c>
      <c r="BX24" s="288" t="s">
        <v>10268</v>
      </c>
      <c r="BY24" s="288" t="s">
        <v>10269</v>
      </c>
      <c r="BZ24" s="740" t="s">
        <v>10270</v>
      </c>
      <c r="CA24" s="740" t="s">
        <v>10271</v>
      </c>
      <c r="CB24" s="1117" t="s">
        <v>10272</v>
      </c>
    </row>
    <row r="25" spans="2:80" s="197" customFormat="1" ht="45" customHeight="1">
      <c r="B25" s="792" t="s">
        <v>10273</v>
      </c>
      <c r="C25" s="2357" t="s">
        <v>9215</v>
      </c>
      <c r="D25" s="325" t="s">
        <v>4215</v>
      </c>
      <c r="E25" s="325">
        <v>3</v>
      </c>
      <c r="F25" s="2387">
        <v>0</v>
      </c>
      <c r="G25" s="2387">
        <v>0</v>
      </c>
      <c r="H25" s="2387">
        <v>0</v>
      </c>
      <c r="I25" s="2387">
        <v>0</v>
      </c>
      <c r="J25" s="2387">
        <v>0</v>
      </c>
      <c r="K25" s="2387">
        <v>0</v>
      </c>
      <c r="L25" s="2387">
        <v>0</v>
      </c>
      <c r="M25" s="2387">
        <v>0</v>
      </c>
      <c r="N25" s="2388">
        <f t="shared" ref="N25" si="81">IFERROR(SUM(F25:M25), 0)</f>
        <v>0</v>
      </c>
      <c r="O25" s="2387">
        <v>0</v>
      </c>
      <c r="P25" s="2387">
        <v>0</v>
      </c>
      <c r="Q25" s="2387">
        <v>0</v>
      </c>
      <c r="R25" s="2387">
        <v>0</v>
      </c>
      <c r="S25" s="2387">
        <v>0</v>
      </c>
      <c r="T25" s="2387">
        <v>0</v>
      </c>
      <c r="U25" s="2387">
        <v>0</v>
      </c>
      <c r="V25" s="2387">
        <v>0</v>
      </c>
      <c r="W25" s="2388">
        <f t="shared" ref="W25:W27" si="82">IFERROR(SUM(O25:V25), 0)</f>
        <v>0</v>
      </c>
      <c r="X25" s="2389"/>
      <c r="Y25" s="2389"/>
      <c r="Z25" s="2390"/>
      <c r="AA25" s="997"/>
      <c r="AB25" s="803" t="s">
        <v>10274</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10273</v>
      </c>
      <c r="BG25" s="354" t="s">
        <v>9215</v>
      </c>
      <c r="BH25" s="2387" t="s">
        <v>17468</v>
      </c>
      <c r="BI25" s="2387" t="s">
        <v>17469</v>
      </c>
      <c r="BJ25" s="2387" t="s">
        <v>17470</v>
      </c>
      <c r="BK25" s="2387" t="s">
        <v>17471</v>
      </c>
      <c r="BL25" s="2387" t="s">
        <v>17472</v>
      </c>
      <c r="BM25" s="2387" t="s">
        <v>17473</v>
      </c>
      <c r="BN25" s="2387" t="s">
        <v>17474</v>
      </c>
      <c r="BO25" s="2387" t="s">
        <v>17475</v>
      </c>
      <c r="BP25" s="2388" t="s">
        <v>17476</v>
      </c>
      <c r="BQ25" s="2387" t="s">
        <v>17477</v>
      </c>
      <c r="BR25" s="2387" t="s">
        <v>17478</v>
      </c>
      <c r="BS25" s="2387" t="s">
        <v>17479</v>
      </c>
      <c r="BT25" s="2387" t="s">
        <v>17480</v>
      </c>
      <c r="BU25" s="2387" t="s">
        <v>17481</v>
      </c>
      <c r="BV25" s="2387" t="s">
        <v>17482</v>
      </c>
      <c r="BW25" s="2387" t="s">
        <v>17483</v>
      </c>
      <c r="BX25" s="2387" t="s">
        <v>17484</v>
      </c>
      <c r="BY25" s="2388" t="s">
        <v>17485</v>
      </c>
      <c r="BZ25" s="2389"/>
      <c r="CA25" s="2389"/>
      <c r="CB25" s="2390"/>
    </row>
    <row r="26" spans="2:80" s="197" customFormat="1" ht="45" customHeight="1">
      <c r="B26" s="792" t="s">
        <v>10273</v>
      </c>
      <c r="C26" s="2357" t="s">
        <v>9223</v>
      </c>
      <c r="D26" s="325" t="s">
        <v>4215</v>
      </c>
      <c r="E26" s="325">
        <v>3</v>
      </c>
      <c r="F26" s="2387">
        <v>0</v>
      </c>
      <c r="G26" s="2387">
        <v>0</v>
      </c>
      <c r="H26" s="2387">
        <v>0</v>
      </c>
      <c r="I26" s="2387">
        <v>0</v>
      </c>
      <c r="J26" s="2387">
        <v>0</v>
      </c>
      <c r="K26" s="2387">
        <v>0</v>
      </c>
      <c r="L26" s="2387">
        <v>0</v>
      </c>
      <c r="M26" s="2387">
        <v>0</v>
      </c>
      <c r="N26" s="2388">
        <f>IFERROR(SUM(F26:M26), 0)</f>
        <v>0</v>
      </c>
      <c r="O26" s="2387">
        <v>0</v>
      </c>
      <c r="P26" s="2387">
        <v>0</v>
      </c>
      <c r="Q26" s="2387">
        <v>0</v>
      </c>
      <c r="R26" s="2387">
        <v>0</v>
      </c>
      <c r="S26" s="2387">
        <v>0</v>
      </c>
      <c r="T26" s="2387">
        <v>0</v>
      </c>
      <c r="U26" s="2387">
        <v>0</v>
      </c>
      <c r="V26" s="2387">
        <v>0</v>
      </c>
      <c r="W26" s="2388">
        <f>IFERROR(SUM(O26:V26), 0)</f>
        <v>0</v>
      </c>
      <c r="X26" s="2389"/>
      <c r="Y26" s="2389"/>
      <c r="Z26" s="2390"/>
      <c r="AA26" s="997"/>
      <c r="AB26" s="803" t="s">
        <v>10275</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10273</v>
      </c>
      <c r="BG26" s="354" t="s">
        <v>9223</v>
      </c>
      <c r="BH26" s="2387" t="s">
        <v>17486</v>
      </c>
      <c r="BI26" s="2387" t="s">
        <v>17487</v>
      </c>
      <c r="BJ26" s="2387" t="s">
        <v>17488</v>
      </c>
      <c r="BK26" s="2387" t="s">
        <v>17489</v>
      </c>
      <c r="BL26" s="2387" t="s">
        <v>17490</v>
      </c>
      <c r="BM26" s="2387" t="s">
        <v>17491</v>
      </c>
      <c r="BN26" s="2387" t="s">
        <v>17492</v>
      </c>
      <c r="BO26" s="2387" t="s">
        <v>17493</v>
      </c>
      <c r="BP26" s="2388" t="s">
        <v>17494</v>
      </c>
      <c r="BQ26" s="2387" t="s">
        <v>17495</v>
      </c>
      <c r="BR26" s="2387" t="s">
        <v>17496</v>
      </c>
      <c r="BS26" s="2387" t="s">
        <v>17497</v>
      </c>
      <c r="BT26" s="2387" t="s">
        <v>17498</v>
      </c>
      <c r="BU26" s="2387" t="s">
        <v>17499</v>
      </c>
      <c r="BV26" s="2387" t="s">
        <v>17500</v>
      </c>
      <c r="BW26" s="2387" t="s">
        <v>17501</v>
      </c>
      <c r="BX26" s="2387" t="s">
        <v>17502</v>
      </c>
      <c r="BY26" s="2388" t="s">
        <v>17503</v>
      </c>
      <c r="BZ26" s="2389"/>
      <c r="CA26" s="2389"/>
      <c r="CB26" s="2390"/>
    </row>
    <row r="27" spans="2:80" s="197" customFormat="1" ht="45" customHeight="1">
      <c r="B27" s="792" t="s">
        <v>10273</v>
      </c>
      <c r="C27" s="2357" t="s">
        <v>9231</v>
      </c>
      <c r="D27" s="325" t="s">
        <v>4215</v>
      </c>
      <c r="E27" s="325">
        <v>3</v>
      </c>
      <c r="F27" s="2388">
        <f>IFERROR(SUM(F25:F26), 0)</f>
        <v>0</v>
      </c>
      <c r="G27" s="2388">
        <f t="shared" ref="G27:M27" si="99">IFERROR(SUM(G25:G26), 0)</f>
        <v>0</v>
      </c>
      <c r="H27" s="2388">
        <f t="shared" si="99"/>
        <v>0</v>
      </c>
      <c r="I27" s="2388">
        <f t="shared" si="99"/>
        <v>0</v>
      </c>
      <c r="J27" s="2388">
        <f t="shared" si="99"/>
        <v>0</v>
      </c>
      <c r="K27" s="2388">
        <f t="shared" si="99"/>
        <v>0</v>
      </c>
      <c r="L27" s="2388">
        <f t="shared" si="99"/>
        <v>0</v>
      </c>
      <c r="M27" s="2388">
        <f t="shared" si="99"/>
        <v>0</v>
      </c>
      <c r="N27" s="2388">
        <f>IFERROR(SUM(F27:M27), 0)</f>
        <v>0</v>
      </c>
      <c r="O27" s="2388">
        <f>IFERROR(SUM(O25:O26), 0)</f>
        <v>0</v>
      </c>
      <c r="P27" s="2388">
        <f t="shared" ref="P27:V27" si="100">IFERROR(SUM(P25:P26), 0)</f>
        <v>0</v>
      </c>
      <c r="Q27" s="2388">
        <f t="shared" si="100"/>
        <v>0</v>
      </c>
      <c r="R27" s="2388">
        <f t="shared" si="100"/>
        <v>0</v>
      </c>
      <c r="S27" s="2388">
        <f t="shared" si="100"/>
        <v>0</v>
      </c>
      <c r="T27" s="2388">
        <f t="shared" si="100"/>
        <v>0</v>
      </c>
      <c r="U27" s="2388">
        <f t="shared" si="100"/>
        <v>0</v>
      </c>
      <c r="V27" s="2388">
        <f t="shared" si="100"/>
        <v>0</v>
      </c>
      <c r="W27" s="2388">
        <f t="shared" si="82"/>
        <v>0</v>
      </c>
      <c r="X27" s="2389"/>
      <c r="Y27" s="2389"/>
      <c r="Z27" s="2390"/>
      <c r="AA27" s="997"/>
      <c r="AB27" s="803" t="s">
        <v>10276</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10273</v>
      </c>
      <c r="BG27" s="354" t="s">
        <v>9231</v>
      </c>
      <c r="BH27" s="2388" t="s">
        <v>17504</v>
      </c>
      <c r="BI27" s="2388" t="s">
        <v>17505</v>
      </c>
      <c r="BJ27" s="2388" t="s">
        <v>17506</v>
      </c>
      <c r="BK27" s="2388" t="s">
        <v>17507</v>
      </c>
      <c r="BL27" s="2388" t="s">
        <v>17508</v>
      </c>
      <c r="BM27" s="2388" t="s">
        <v>17509</v>
      </c>
      <c r="BN27" s="2388" t="s">
        <v>17510</v>
      </c>
      <c r="BO27" s="2388" t="s">
        <v>17511</v>
      </c>
      <c r="BP27" s="2388" t="s">
        <v>17512</v>
      </c>
      <c r="BQ27" s="2388" t="s">
        <v>17513</v>
      </c>
      <c r="BR27" s="2388" t="s">
        <v>17514</v>
      </c>
      <c r="BS27" s="2388" t="s">
        <v>17515</v>
      </c>
      <c r="BT27" s="2388" t="s">
        <v>17516</v>
      </c>
      <c r="BU27" s="2388" t="s">
        <v>17517</v>
      </c>
      <c r="BV27" s="2388" t="s">
        <v>17518</v>
      </c>
      <c r="BW27" s="2388" t="s">
        <v>17519</v>
      </c>
      <c r="BX27" s="2388" t="s">
        <v>17520</v>
      </c>
      <c r="BY27" s="2388" t="s">
        <v>17521</v>
      </c>
      <c r="BZ27" s="2389"/>
      <c r="CA27" s="2389"/>
      <c r="CB27" s="2390"/>
    </row>
    <row r="28" spans="2:80" s="197" customFormat="1" ht="45" customHeight="1">
      <c r="B28" s="792" t="s">
        <v>10277</v>
      </c>
      <c r="C28" s="2510" t="s">
        <v>9215</v>
      </c>
      <c r="D28" s="325" t="s">
        <v>4215</v>
      </c>
      <c r="E28" s="325">
        <v>3</v>
      </c>
      <c r="F28" s="2387">
        <v>0.16600000000000001</v>
      </c>
      <c r="G28" s="2387">
        <v>6.8000000000000005E-2</v>
      </c>
      <c r="H28" s="2387">
        <v>3.7999999999999999E-2</v>
      </c>
      <c r="I28" s="2387">
        <v>0.221</v>
      </c>
      <c r="J28" s="2387">
        <v>0</v>
      </c>
      <c r="K28" s="2387">
        <v>0</v>
      </c>
      <c r="L28" s="2387">
        <v>0</v>
      </c>
      <c r="M28" s="2387">
        <v>0</v>
      </c>
      <c r="N28" s="2388">
        <f t="shared" ref="N28" si="101">IFERROR(SUM(F28:M28), 0)</f>
        <v>0.49299999999999999</v>
      </c>
      <c r="O28" s="2387">
        <v>0</v>
      </c>
      <c r="P28" s="2387">
        <v>0</v>
      </c>
      <c r="Q28" s="2387">
        <v>0</v>
      </c>
      <c r="R28" s="2387">
        <v>2.4E-2</v>
      </c>
      <c r="S28" s="2387">
        <v>0</v>
      </c>
      <c r="T28" s="2387">
        <v>0</v>
      </c>
      <c r="U28" s="2387">
        <v>0</v>
      </c>
      <c r="V28" s="2387">
        <v>0</v>
      </c>
      <c r="W28" s="2388">
        <f t="shared" ref="W28" si="102">IFERROR(SUM(O28:V28), 0)</f>
        <v>2.4E-2</v>
      </c>
      <c r="X28" s="2389"/>
      <c r="Y28" s="2389"/>
      <c r="Z28" s="2390"/>
      <c r="AA28" s="997"/>
      <c r="AB28" s="803" t="s">
        <v>10278</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10279</v>
      </c>
      <c r="BG28" s="354" t="s">
        <v>9215</v>
      </c>
      <c r="BH28" s="2387" t="s">
        <v>17522</v>
      </c>
      <c r="BI28" s="2387" t="s">
        <v>17523</v>
      </c>
      <c r="BJ28" s="2387" t="s">
        <v>17524</v>
      </c>
      <c r="BK28" s="2387" t="s">
        <v>17525</v>
      </c>
      <c r="BL28" s="2387" t="s">
        <v>17526</v>
      </c>
      <c r="BM28" s="2387" t="s">
        <v>17527</v>
      </c>
      <c r="BN28" s="2387" t="s">
        <v>17528</v>
      </c>
      <c r="BO28" s="2387" t="s">
        <v>17529</v>
      </c>
      <c r="BP28" s="2388" t="s">
        <v>17530</v>
      </c>
      <c r="BQ28" s="2387" t="s">
        <v>17531</v>
      </c>
      <c r="BR28" s="2387" t="s">
        <v>17532</v>
      </c>
      <c r="BS28" s="2387" t="s">
        <v>17533</v>
      </c>
      <c r="BT28" s="2387" t="s">
        <v>17534</v>
      </c>
      <c r="BU28" s="2387" t="s">
        <v>17535</v>
      </c>
      <c r="BV28" s="2387" t="s">
        <v>17536</v>
      </c>
      <c r="BW28" s="2387" t="s">
        <v>17537</v>
      </c>
      <c r="BX28" s="2387" t="s">
        <v>17538</v>
      </c>
      <c r="BY28" s="2388" t="s">
        <v>17539</v>
      </c>
      <c r="BZ28" s="2389"/>
      <c r="CA28" s="2389"/>
      <c r="CB28" s="2390"/>
    </row>
    <row r="29" spans="2:80" s="197" customFormat="1" ht="45" customHeight="1">
      <c r="B29" s="2639" t="s">
        <v>10277</v>
      </c>
      <c r="C29" s="2510" t="s">
        <v>9223</v>
      </c>
      <c r="D29" s="2640" t="s">
        <v>4215</v>
      </c>
      <c r="E29" s="2640">
        <v>3</v>
      </c>
      <c r="F29" s="2387">
        <v>0</v>
      </c>
      <c r="G29" s="2387">
        <v>0</v>
      </c>
      <c r="H29" s="2387">
        <v>0</v>
      </c>
      <c r="I29" s="2387">
        <v>0</v>
      </c>
      <c r="J29" s="2387">
        <v>0</v>
      </c>
      <c r="K29" s="2387">
        <v>0</v>
      </c>
      <c r="L29" s="2387">
        <v>0</v>
      </c>
      <c r="M29" s="2387">
        <v>0</v>
      </c>
      <c r="N29" s="2388">
        <f t="shared" ref="N29:N34" si="117">IFERROR(SUM(F29:M29), 0)</f>
        <v>0</v>
      </c>
      <c r="O29" s="2387">
        <v>1.2999999999999999E-2</v>
      </c>
      <c r="P29" s="2387">
        <v>0</v>
      </c>
      <c r="Q29" s="2387">
        <v>0</v>
      </c>
      <c r="R29" s="2387">
        <v>0.21099999999999999</v>
      </c>
      <c r="S29" s="2387">
        <v>0</v>
      </c>
      <c r="T29" s="2387">
        <v>0</v>
      </c>
      <c r="U29" s="2387">
        <v>0</v>
      </c>
      <c r="V29" s="2387">
        <v>0</v>
      </c>
      <c r="W29" s="2388"/>
      <c r="X29" s="2389"/>
      <c r="Y29" s="2389"/>
      <c r="Z29" s="2390"/>
      <c r="AA29" s="997"/>
      <c r="AB29" s="803" t="s">
        <v>10280</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10277</v>
      </c>
      <c r="BG29" s="354" t="s">
        <v>9223</v>
      </c>
      <c r="BH29" s="2387" t="s">
        <v>17522</v>
      </c>
      <c r="BI29" s="2387" t="s">
        <v>17523</v>
      </c>
      <c r="BJ29" s="2387" t="s">
        <v>17524</v>
      </c>
      <c r="BK29" s="2387" t="s">
        <v>17525</v>
      </c>
      <c r="BL29" s="2387" t="s">
        <v>17526</v>
      </c>
      <c r="BM29" s="2387" t="s">
        <v>17527</v>
      </c>
      <c r="BN29" s="2387" t="s">
        <v>17528</v>
      </c>
      <c r="BO29" s="2387" t="s">
        <v>17529</v>
      </c>
      <c r="BP29" s="2388" t="s">
        <v>17530</v>
      </c>
      <c r="BQ29" s="2387" t="s">
        <v>17531</v>
      </c>
      <c r="BR29" s="2387" t="s">
        <v>17532</v>
      </c>
      <c r="BS29" s="2387" t="s">
        <v>17533</v>
      </c>
      <c r="BT29" s="2387" t="s">
        <v>17534</v>
      </c>
      <c r="BU29" s="2387" t="s">
        <v>17535</v>
      </c>
      <c r="BV29" s="2387" t="s">
        <v>17536</v>
      </c>
      <c r="BW29" s="2387" t="s">
        <v>17537</v>
      </c>
      <c r="BX29" s="2387" t="s">
        <v>17538</v>
      </c>
      <c r="BY29" s="2388" t="s">
        <v>17539</v>
      </c>
      <c r="BZ29" s="2389"/>
      <c r="CA29" s="2389"/>
      <c r="CB29" s="2390"/>
    </row>
    <row r="30" spans="2:80" s="197" customFormat="1" ht="45" customHeight="1">
      <c r="B30" s="2639" t="s">
        <v>10277</v>
      </c>
      <c r="C30" s="2510" t="s">
        <v>9231</v>
      </c>
      <c r="D30" s="2640" t="s">
        <v>4215</v>
      </c>
      <c r="E30" s="2640">
        <v>3</v>
      </c>
      <c r="F30" s="2511">
        <f t="shared" ref="F30:M30" si="118">IFERROR(SUM(F28:F29), 0)</f>
        <v>0.16600000000000001</v>
      </c>
      <c r="G30" s="2511">
        <f t="shared" si="118"/>
        <v>6.8000000000000005E-2</v>
      </c>
      <c r="H30" s="2511">
        <f t="shared" si="118"/>
        <v>3.7999999999999999E-2</v>
      </c>
      <c r="I30" s="2511">
        <f t="shared" si="118"/>
        <v>0.221</v>
      </c>
      <c r="J30" s="2511">
        <f t="shared" si="118"/>
        <v>0</v>
      </c>
      <c r="K30" s="2511">
        <f t="shared" si="118"/>
        <v>0</v>
      </c>
      <c r="L30" s="2511">
        <f t="shared" si="118"/>
        <v>0</v>
      </c>
      <c r="M30" s="2511">
        <f t="shared" si="118"/>
        <v>0</v>
      </c>
      <c r="N30" s="2388">
        <f t="shared" si="117"/>
        <v>0.49299999999999999</v>
      </c>
      <c r="O30" s="2511">
        <f t="shared" ref="O30:V30" si="119">IFERROR(SUM(O28:O29), 0)</f>
        <v>1.2999999999999999E-2</v>
      </c>
      <c r="P30" s="2511">
        <f t="shared" si="119"/>
        <v>0</v>
      </c>
      <c r="Q30" s="2511">
        <f t="shared" si="119"/>
        <v>0</v>
      </c>
      <c r="R30" s="2511">
        <f t="shared" si="119"/>
        <v>0.23499999999999999</v>
      </c>
      <c r="S30" s="2511">
        <f t="shared" si="119"/>
        <v>0</v>
      </c>
      <c r="T30" s="2511">
        <f t="shared" si="119"/>
        <v>0</v>
      </c>
      <c r="U30" s="2511">
        <f t="shared" si="119"/>
        <v>0</v>
      </c>
      <c r="V30" s="2511">
        <f t="shared" si="119"/>
        <v>0</v>
      </c>
      <c r="W30" s="2388">
        <f>IFERROR(SUM(O30:V30), 0)</f>
        <v>0.248</v>
      </c>
      <c r="X30" s="2389"/>
      <c r="Y30" s="2389"/>
      <c r="Z30" s="2390"/>
      <c r="AA30" s="997"/>
      <c r="AB30" s="803" t="s">
        <v>10281</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10277</v>
      </c>
      <c r="BG30" s="354" t="s">
        <v>9231</v>
      </c>
      <c r="BH30" s="2511" t="s">
        <v>17522</v>
      </c>
      <c r="BI30" s="2511" t="s">
        <v>17523</v>
      </c>
      <c r="BJ30" s="2511" t="s">
        <v>17524</v>
      </c>
      <c r="BK30" s="2511" t="s">
        <v>17525</v>
      </c>
      <c r="BL30" s="2511" t="s">
        <v>17526</v>
      </c>
      <c r="BM30" s="2511" t="s">
        <v>17527</v>
      </c>
      <c r="BN30" s="2511" t="s">
        <v>17528</v>
      </c>
      <c r="BO30" s="2511" t="s">
        <v>17529</v>
      </c>
      <c r="BP30" s="2388" t="s">
        <v>17530</v>
      </c>
      <c r="BQ30" s="2511" t="s">
        <v>17531</v>
      </c>
      <c r="BR30" s="2511" t="s">
        <v>17532</v>
      </c>
      <c r="BS30" s="2511" t="s">
        <v>17533</v>
      </c>
      <c r="BT30" s="2511" t="s">
        <v>17534</v>
      </c>
      <c r="BU30" s="2511" t="s">
        <v>17535</v>
      </c>
      <c r="BV30" s="2511" t="s">
        <v>17536</v>
      </c>
      <c r="BW30" s="2511" t="s">
        <v>17537</v>
      </c>
      <c r="BX30" s="2511" t="s">
        <v>17538</v>
      </c>
      <c r="BY30" s="2388" t="s">
        <v>17539</v>
      </c>
      <c r="BZ30" s="2389"/>
      <c r="CA30" s="2389"/>
      <c r="CB30" s="2390"/>
    </row>
    <row r="31" spans="2:80" s="197" customFormat="1" ht="45" customHeight="1">
      <c r="B31" s="792" t="s">
        <v>10282</v>
      </c>
      <c r="C31" s="2510" t="s">
        <v>9215</v>
      </c>
      <c r="D31" s="325" t="s">
        <v>4215</v>
      </c>
      <c r="E31" s="325">
        <v>3</v>
      </c>
      <c r="F31" s="2512">
        <v>0</v>
      </c>
      <c r="G31" s="2512">
        <v>0</v>
      </c>
      <c r="H31" s="2512">
        <v>0</v>
      </c>
      <c r="I31" s="2512">
        <v>0</v>
      </c>
      <c r="J31" s="2512">
        <v>0</v>
      </c>
      <c r="K31" s="2512">
        <v>0</v>
      </c>
      <c r="L31" s="2512">
        <v>0</v>
      </c>
      <c r="M31" s="2512">
        <v>0</v>
      </c>
      <c r="N31" s="2388">
        <f t="shared" si="117"/>
        <v>0</v>
      </c>
      <c r="O31" s="2512">
        <v>0</v>
      </c>
      <c r="P31" s="2512">
        <v>0</v>
      </c>
      <c r="Q31" s="2512">
        <v>0</v>
      </c>
      <c r="R31" s="2512">
        <v>0</v>
      </c>
      <c r="S31" s="2512">
        <v>0</v>
      </c>
      <c r="T31" s="2512">
        <v>0</v>
      </c>
      <c r="U31" s="2512">
        <v>0</v>
      </c>
      <c r="V31" s="2512">
        <v>0</v>
      </c>
      <c r="W31" s="2388">
        <f>IFERROR(SUM(O31:V31), 0)</f>
        <v>0</v>
      </c>
      <c r="X31" s="2389"/>
      <c r="Y31" s="2389"/>
      <c r="Z31" s="2390"/>
      <c r="AA31" s="997"/>
      <c r="AB31" s="803" t="s">
        <v>10283</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10282</v>
      </c>
      <c r="BG31" s="354" t="s">
        <v>9215</v>
      </c>
      <c r="BH31" s="2512" t="s">
        <v>17540</v>
      </c>
      <c r="BI31" s="2512" t="s">
        <v>17541</v>
      </c>
      <c r="BJ31" s="2512" t="s">
        <v>17542</v>
      </c>
      <c r="BK31" s="2512" t="s">
        <v>17543</v>
      </c>
      <c r="BL31" s="2512" t="s">
        <v>17544</v>
      </c>
      <c r="BM31" s="2512" t="s">
        <v>17545</v>
      </c>
      <c r="BN31" s="2512" t="s">
        <v>17546</v>
      </c>
      <c r="BO31" s="2512" t="s">
        <v>17547</v>
      </c>
      <c r="BP31" s="2388" t="s">
        <v>17548</v>
      </c>
      <c r="BQ31" s="2512" t="s">
        <v>17549</v>
      </c>
      <c r="BR31" s="2512" t="s">
        <v>17550</v>
      </c>
      <c r="BS31" s="2512" t="s">
        <v>17551</v>
      </c>
      <c r="BT31" s="2512" t="s">
        <v>17552</v>
      </c>
      <c r="BU31" s="2512" t="s">
        <v>17553</v>
      </c>
      <c r="BV31" s="2512" t="s">
        <v>17554</v>
      </c>
      <c r="BW31" s="2512" t="s">
        <v>17555</v>
      </c>
      <c r="BX31" s="2512" t="s">
        <v>17556</v>
      </c>
      <c r="BY31" s="2388" t="s">
        <v>17557</v>
      </c>
      <c r="BZ31" s="2389"/>
      <c r="CA31" s="2389"/>
      <c r="CB31" s="2390"/>
    </row>
    <row r="32" spans="2:80" s="197" customFormat="1" ht="45" customHeight="1">
      <c r="B32" s="792" t="s">
        <v>10282</v>
      </c>
      <c r="C32" s="2510" t="s">
        <v>9223</v>
      </c>
      <c r="D32" s="2640" t="s">
        <v>4215</v>
      </c>
      <c r="E32" s="2640">
        <v>3</v>
      </c>
      <c r="F32" s="2387">
        <v>0</v>
      </c>
      <c r="G32" s="2387">
        <v>0</v>
      </c>
      <c r="H32" s="2387">
        <v>0</v>
      </c>
      <c r="I32" s="2387">
        <v>0</v>
      </c>
      <c r="J32" s="2387">
        <v>0</v>
      </c>
      <c r="K32" s="2387">
        <v>0</v>
      </c>
      <c r="L32" s="2387">
        <v>0</v>
      </c>
      <c r="M32" s="2387">
        <v>0</v>
      </c>
      <c r="N32" s="2388">
        <f t="shared" si="117"/>
        <v>0</v>
      </c>
      <c r="O32" s="2387">
        <v>0</v>
      </c>
      <c r="P32" s="2387">
        <v>0</v>
      </c>
      <c r="Q32" s="2387">
        <v>0</v>
      </c>
      <c r="R32" s="2387">
        <v>0</v>
      </c>
      <c r="S32" s="2387">
        <v>0</v>
      </c>
      <c r="T32" s="2387">
        <v>0</v>
      </c>
      <c r="U32" s="2387">
        <v>0</v>
      </c>
      <c r="V32" s="2387">
        <v>0</v>
      </c>
      <c r="W32" s="2388">
        <f>IFERROR(SUM(O32:V32), 0)</f>
        <v>0</v>
      </c>
      <c r="X32" s="2389"/>
      <c r="Y32" s="2389"/>
      <c r="Z32" s="2390"/>
      <c r="AA32" s="997"/>
      <c r="AB32" s="803" t="s">
        <v>10284</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10282</v>
      </c>
      <c r="BG32" s="354" t="s">
        <v>9223</v>
      </c>
      <c r="BH32" s="2512" t="s">
        <v>17540</v>
      </c>
      <c r="BI32" s="2512" t="s">
        <v>17541</v>
      </c>
      <c r="BJ32" s="2512" t="s">
        <v>17542</v>
      </c>
      <c r="BK32" s="2512" t="s">
        <v>17543</v>
      </c>
      <c r="BL32" s="2512" t="s">
        <v>17544</v>
      </c>
      <c r="BM32" s="2512" t="s">
        <v>17545</v>
      </c>
      <c r="BN32" s="2512" t="s">
        <v>17546</v>
      </c>
      <c r="BO32" s="2512" t="s">
        <v>17547</v>
      </c>
      <c r="BP32" s="2388" t="s">
        <v>17548</v>
      </c>
      <c r="BQ32" s="2387" t="s">
        <v>17549</v>
      </c>
      <c r="BR32" s="2387" t="s">
        <v>17550</v>
      </c>
      <c r="BS32" s="2387" t="s">
        <v>17551</v>
      </c>
      <c r="BT32" s="2387" t="s">
        <v>17552</v>
      </c>
      <c r="BU32" s="2387" t="s">
        <v>17553</v>
      </c>
      <c r="BV32" s="2387" t="s">
        <v>17554</v>
      </c>
      <c r="BW32" s="2387" t="s">
        <v>17555</v>
      </c>
      <c r="BX32" s="2387" t="s">
        <v>17556</v>
      </c>
      <c r="BY32" s="2388" t="s">
        <v>17557</v>
      </c>
      <c r="BZ32" s="2389"/>
      <c r="CA32" s="2389"/>
      <c r="CB32" s="2390"/>
    </row>
    <row r="33" spans="1:80" s="197" customFormat="1" ht="45" customHeight="1">
      <c r="B33" s="792" t="s">
        <v>10282</v>
      </c>
      <c r="C33" s="2510" t="s">
        <v>9231</v>
      </c>
      <c r="D33" s="2640" t="s">
        <v>4215</v>
      </c>
      <c r="E33" s="2640">
        <v>3</v>
      </c>
      <c r="F33" s="2511">
        <f t="shared" ref="F33:M33" si="122">IFERROR(SUM(F31:F32), 0)</f>
        <v>0</v>
      </c>
      <c r="G33" s="2511">
        <f t="shared" si="122"/>
        <v>0</v>
      </c>
      <c r="H33" s="2511">
        <f t="shared" si="122"/>
        <v>0</v>
      </c>
      <c r="I33" s="2511">
        <f t="shared" si="122"/>
        <v>0</v>
      </c>
      <c r="J33" s="2511">
        <f t="shared" si="122"/>
        <v>0</v>
      </c>
      <c r="K33" s="2511">
        <f t="shared" si="122"/>
        <v>0</v>
      </c>
      <c r="L33" s="2511">
        <f t="shared" si="122"/>
        <v>0</v>
      </c>
      <c r="M33" s="2511">
        <f t="shared" si="122"/>
        <v>0</v>
      </c>
      <c r="N33" s="2388">
        <f t="shared" si="117"/>
        <v>0</v>
      </c>
      <c r="O33" s="2511">
        <f t="shared" ref="O33:V33" si="123">IFERROR(SUM(O31:O32), 0)</f>
        <v>0</v>
      </c>
      <c r="P33" s="2511">
        <f t="shared" si="123"/>
        <v>0</v>
      </c>
      <c r="Q33" s="2511">
        <f t="shared" si="123"/>
        <v>0</v>
      </c>
      <c r="R33" s="2511">
        <f t="shared" si="123"/>
        <v>0</v>
      </c>
      <c r="S33" s="2511">
        <f t="shared" si="123"/>
        <v>0</v>
      </c>
      <c r="T33" s="2511">
        <f t="shared" si="123"/>
        <v>0</v>
      </c>
      <c r="U33" s="2511">
        <f t="shared" si="123"/>
        <v>0</v>
      </c>
      <c r="V33" s="2511">
        <f t="shared" si="123"/>
        <v>0</v>
      </c>
      <c r="W33" s="2388">
        <f>IFERROR(SUM(O33:V33), 0)</f>
        <v>0</v>
      </c>
      <c r="X33" s="2389"/>
      <c r="Y33" s="2389"/>
      <c r="Z33" s="2390"/>
      <c r="AA33" s="997"/>
      <c r="AB33" s="803" t="s">
        <v>10285</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10282</v>
      </c>
      <c r="BG33" s="354" t="s">
        <v>9231</v>
      </c>
      <c r="BH33" s="2511" t="s">
        <v>17540</v>
      </c>
      <c r="BI33" s="2511" t="s">
        <v>17541</v>
      </c>
      <c r="BJ33" s="2511" t="s">
        <v>17542</v>
      </c>
      <c r="BK33" s="2511" t="s">
        <v>17543</v>
      </c>
      <c r="BL33" s="2511" t="s">
        <v>17544</v>
      </c>
      <c r="BM33" s="2511" t="s">
        <v>17545</v>
      </c>
      <c r="BN33" s="2511" t="s">
        <v>17546</v>
      </c>
      <c r="BO33" s="2511" t="s">
        <v>17547</v>
      </c>
      <c r="BP33" s="2388" t="s">
        <v>17548</v>
      </c>
      <c r="BQ33" s="2511" t="s">
        <v>17549</v>
      </c>
      <c r="BR33" s="2511" t="s">
        <v>17550</v>
      </c>
      <c r="BS33" s="2511" t="s">
        <v>17551</v>
      </c>
      <c r="BT33" s="2511" t="s">
        <v>17552</v>
      </c>
      <c r="BU33" s="2511" t="s">
        <v>17553</v>
      </c>
      <c r="BV33" s="2511" t="s">
        <v>17554</v>
      </c>
      <c r="BW33" s="2511" t="s">
        <v>17555</v>
      </c>
      <c r="BX33" s="2511" t="s">
        <v>17556</v>
      </c>
      <c r="BY33" s="2388" t="s">
        <v>17557</v>
      </c>
      <c r="BZ33" s="2389"/>
      <c r="CA33" s="2389"/>
      <c r="CB33" s="2390"/>
    </row>
    <row r="34" spans="1:80" s="197" customFormat="1" ht="45" customHeight="1">
      <c r="B34" s="792" t="s">
        <v>10286</v>
      </c>
      <c r="C34" s="2357" t="s">
        <v>9231</v>
      </c>
      <c r="D34" s="325" t="s">
        <v>4215</v>
      </c>
      <c r="E34" s="325">
        <v>3</v>
      </c>
      <c r="F34" s="2388">
        <f t="shared" ref="F34:M34" si="124">IFERROR(SUM(F30,F33), 0)</f>
        <v>0.16600000000000001</v>
      </c>
      <c r="G34" s="2388">
        <f t="shared" si="124"/>
        <v>6.8000000000000005E-2</v>
      </c>
      <c r="H34" s="2388">
        <f t="shared" si="124"/>
        <v>3.7999999999999999E-2</v>
      </c>
      <c r="I34" s="2388">
        <f t="shared" si="124"/>
        <v>0.221</v>
      </c>
      <c r="J34" s="2388">
        <f t="shared" si="124"/>
        <v>0</v>
      </c>
      <c r="K34" s="2388">
        <f t="shared" si="124"/>
        <v>0</v>
      </c>
      <c r="L34" s="2388">
        <f t="shared" si="124"/>
        <v>0</v>
      </c>
      <c r="M34" s="2388">
        <f t="shared" si="124"/>
        <v>0</v>
      </c>
      <c r="N34" s="2388">
        <f t="shared" si="117"/>
        <v>0.49299999999999999</v>
      </c>
      <c r="O34" s="2388">
        <f t="shared" ref="O34:V34" si="125">IFERROR(SUM(O30,O33), 0)</f>
        <v>1.2999999999999999E-2</v>
      </c>
      <c r="P34" s="2388">
        <f t="shared" si="125"/>
        <v>0</v>
      </c>
      <c r="Q34" s="2388">
        <f t="shared" si="125"/>
        <v>0</v>
      </c>
      <c r="R34" s="2388">
        <f t="shared" si="125"/>
        <v>0.23499999999999999</v>
      </c>
      <c r="S34" s="2388">
        <f t="shared" si="125"/>
        <v>0</v>
      </c>
      <c r="T34" s="2388">
        <f t="shared" si="125"/>
        <v>0</v>
      </c>
      <c r="U34" s="2388">
        <f t="shared" si="125"/>
        <v>0</v>
      </c>
      <c r="V34" s="2388">
        <f t="shared" si="125"/>
        <v>0</v>
      </c>
      <c r="W34" s="2388">
        <f>IFERROR(SUM(O34:V34), 0)</f>
        <v>0.248</v>
      </c>
      <c r="X34" s="751">
        <v>4.4859999999999998</v>
      </c>
      <c r="Y34" s="751">
        <v>35.869</v>
      </c>
      <c r="Z34" s="796">
        <v>55.901000000000003</v>
      </c>
      <c r="AA34" s="997"/>
      <c r="AB34" s="803" t="s">
        <v>10287</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10288</v>
      </c>
      <c r="BG34" s="354" t="s">
        <v>9231</v>
      </c>
      <c r="BH34" s="288" t="s">
        <v>10289</v>
      </c>
      <c r="BI34" s="288" t="s">
        <v>10290</v>
      </c>
      <c r="BJ34" s="288" t="s">
        <v>10291</v>
      </c>
      <c r="BK34" s="288" t="s">
        <v>10292</v>
      </c>
      <c r="BL34" s="288" t="s">
        <v>10293</v>
      </c>
      <c r="BM34" s="288" t="s">
        <v>10294</v>
      </c>
      <c r="BN34" s="288" t="s">
        <v>10295</v>
      </c>
      <c r="BO34" s="288" t="s">
        <v>10296</v>
      </c>
      <c r="BP34" s="288" t="s">
        <v>10297</v>
      </c>
      <c r="BQ34" s="288" t="s">
        <v>10298</v>
      </c>
      <c r="BR34" s="288" t="s">
        <v>10299</v>
      </c>
      <c r="BS34" s="288" t="s">
        <v>10300</v>
      </c>
      <c r="BT34" s="288" t="s">
        <v>10301</v>
      </c>
      <c r="BU34" s="288" t="s">
        <v>10302</v>
      </c>
      <c r="BV34" s="288" t="s">
        <v>10303</v>
      </c>
      <c r="BW34" s="288" t="s">
        <v>10304</v>
      </c>
      <c r="BX34" s="288" t="s">
        <v>10305</v>
      </c>
      <c r="BY34" s="288" t="s">
        <v>10306</v>
      </c>
      <c r="BZ34" s="740" t="s">
        <v>10307</v>
      </c>
      <c r="CA34" s="740" t="s">
        <v>10308</v>
      </c>
      <c r="CB34" s="1117" t="s">
        <v>10309</v>
      </c>
    </row>
    <row r="35" spans="1:80" s="197" customFormat="1" ht="15.75" customHeight="1">
      <c r="B35" s="792" t="s">
        <v>10310</v>
      </c>
      <c r="C35" s="2357" t="s">
        <v>9215</v>
      </c>
      <c r="D35" s="325" t="s">
        <v>4215</v>
      </c>
      <c r="E35" s="325">
        <v>3</v>
      </c>
      <c r="F35" s="751">
        <v>0</v>
      </c>
      <c r="G35" s="751">
        <v>0</v>
      </c>
      <c r="H35" s="751">
        <v>0</v>
      </c>
      <c r="I35" s="751">
        <v>0</v>
      </c>
      <c r="J35" s="751">
        <v>0</v>
      </c>
      <c r="K35" s="751">
        <v>0</v>
      </c>
      <c r="L35" s="751">
        <v>0</v>
      </c>
      <c r="M35" s="751">
        <v>0</v>
      </c>
      <c r="N35" s="312">
        <f t="shared" si="7"/>
        <v>0</v>
      </c>
      <c r="O35" s="751">
        <v>0</v>
      </c>
      <c r="P35" s="751">
        <v>0</v>
      </c>
      <c r="Q35" s="751">
        <v>0</v>
      </c>
      <c r="R35" s="751">
        <v>0</v>
      </c>
      <c r="S35" s="751">
        <v>0</v>
      </c>
      <c r="T35" s="751">
        <v>0</v>
      </c>
      <c r="U35" s="751">
        <v>0</v>
      </c>
      <c r="V35" s="751">
        <v>0</v>
      </c>
      <c r="W35" s="312">
        <f t="shared" si="52"/>
        <v>0</v>
      </c>
      <c r="X35" s="2385"/>
      <c r="Y35" s="2385"/>
      <c r="Z35" s="2386"/>
      <c r="AA35" s="997"/>
      <c r="AB35" s="803" t="s">
        <v>10311</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10310</v>
      </c>
      <c r="BG35" s="354" t="s">
        <v>9215</v>
      </c>
      <c r="BH35" s="287" t="s">
        <v>10312</v>
      </c>
      <c r="BI35" s="287" t="s">
        <v>10313</v>
      </c>
      <c r="BJ35" s="287" t="s">
        <v>10314</v>
      </c>
      <c r="BK35" s="287" t="s">
        <v>10315</v>
      </c>
      <c r="BL35" s="287" t="s">
        <v>10316</v>
      </c>
      <c r="BM35" s="287" t="s">
        <v>10317</v>
      </c>
      <c r="BN35" s="287" t="s">
        <v>10318</v>
      </c>
      <c r="BO35" s="287" t="s">
        <v>10319</v>
      </c>
      <c r="BP35" s="288" t="s">
        <v>10320</v>
      </c>
      <c r="BQ35" s="287" t="s">
        <v>10321</v>
      </c>
      <c r="BR35" s="287" t="s">
        <v>10322</v>
      </c>
      <c r="BS35" s="287" t="s">
        <v>10323</v>
      </c>
      <c r="BT35" s="287" t="s">
        <v>10324</v>
      </c>
      <c r="BU35" s="287" t="s">
        <v>10325</v>
      </c>
      <c r="BV35" s="287" t="s">
        <v>10326</v>
      </c>
      <c r="BW35" s="287" t="s">
        <v>10327</v>
      </c>
      <c r="BX35" s="287" t="s">
        <v>10328</v>
      </c>
      <c r="BY35" s="288" t="s">
        <v>10329</v>
      </c>
      <c r="BZ35" s="744"/>
      <c r="CA35" s="744"/>
      <c r="CB35" s="745"/>
    </row>
    <row r="36" spans="1:80" s="200" customFormat="1" ht="15.75" customHeight="1">
      <c r="B36" s="792" t="s">
        <v>10310</v>
      </c>
      <c r="C36" s="2357" t="s">
        <v>9223</v>
      </c>
      <c r="D36" s="325" t="s">
        <v>4215</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5"/>
      <c r="Y36" s="2385"/>
      <c r="Z36" s="2386"/>
      <c r="AA36" s="997"/>
      <c r="AB36" s="803" t="s">
        <v>10330</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10310</v>
      </c>
      <c r="BG36" s="354" t="s">
        <v>9223</v>
      </c>
      <c r="BH36" s="287" t="s">
        <v>10331</v>
      </c>
      <c r="BI36" s="287" t="s">
        <v>10332</v>
      </c>
      <c r="BJ36" s="287" t="s">
        <v>10333</v>
      </c>
      <c r="BK36" s="287" t="s">
        <v>10334</v>
      </c>
      <c r="BL36" s="287" t="s">
        <v>10335</v>
      </c>
      <c r="BM36" s="287" t="s">
        <v>10336</v>
      </c>
      <c r="BN36" s="287" t="s">
        <v>10337</v>
      </c>
      <c r="BO36" s="287" t="s">
        <v>10338</v>
      </c>
      <c r="BP36" s="288" t="s">
        <v>10339</v>
      </c>
      <c r="BQ36" s="287" t="s">
        <v>10340</v>
      </c>
      <c r="BR36" s="287" t="s">
        <v>10341</v>
      </c>
      <c r="BS36" s="287" t="s">
        <v>10342</v>
      </c>
      <c r="BT36" s="287" t="s">
        <v>10343</v>
      </c>
      <c r="BU36" s="287" t="s">
        <v>10344</v>
      </c>
      <c r="BV36" s="287" t="s">
        <v>10345</v>
      </c>
      <c r="BW36" s="287" t="s">
        <v>10346</v>
      </c>
      <c r="BX36" s="287" t="s">
        <v>10347</v>
      </c>
      <c r="BY36" s="288" t="s">
        <v>10348</v>
      </c>
      <c r="BZ36" s="744"/>
      <c r="CA36" s="744"/>
      <c r="CB36" s="745"/>
    </row>
    <row r="37" spans="1:80" s="200" customFormat="1" ht="15.75" customHeight="1">
      <c r="B37" s="792" t="s">
        <v>10310</v>
      </c>
      <c r="C37" s="2357" t="s">
        <v>9231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v>
      </c>
      <c r="Y37" s="751">
        <v>0</v>
      </c>
      <c r="Z37" s="796">
        <v>0</v>
      </c>
      <c r="AA37" s="997"/>
      <c r="AB37" s="803" t="s">
        <v>10349</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10310</v>
      </c>
      <c r="BG37" s="354" t="s">
        <v>9231</v>
      </c>
      <c r="BH37" s="288" t="s">
        <v>10350</v>
      </c>
      <c r="BI37" s="288" t="s">
        <v>10351</v>
      </c>
      <c r="BJ37" s="288" t="s">
        <v>10352</v>
      </c>
      <c r="BK37" s="288" t="s">
        <v>10353</v>
      </c>
      <c r="BL37" s="288" t="s">
        <v>10354</v>
      </c>
      <c r="BM37" s="288" t="s">
        <v>10355</v>
      </c>
      <c r="BN37" s="288" t="s">
        <v>10356</v>
      </c>
      <c r="BO37" s="288" t="s">
        <v>10357</v>
      </c>
      <c r="BP37" s="288" t="s">
        <v>10358</v>
      </c>
      <c r="BQ37" s="288" t="s">
        <v>10359</v>
      </c>
      <c r="BR37" s="288" t="s">
        <v>10360</v>
      </c>
      <c r="BS37" s="288" t="s">
        <v>10361</v>
      </c>
      <c r="BT37" s="288" t="s">
        <v>10362</v>
      </c>
      <c r="BU37" s="288" t="s">
        <v>10363</v>
      </c>
      <c r="BV37" s="288" t="s">
        <v>10364</v>
      </c>
      <c r="BW37" s="288" t="s">
        <v>10365</v>
      </c>
      <c r="BX37" s="288" t="s">
        <v>10366</v>
      </c>
      <c r="BY37" s="288" t="s">
        <v>10367</v>
      </c>
      <c r="BZ37" s="740" t="s">
        <v>10368</v>
      </c>
      <c r="CA37" s="740" t="s">
        <v>10369</v>
      </c>
      <c r="CB37" s="1117" t="s">
        <v>10370</v>
      </c>
    </row>
    <row r="38" spans="1:80" s="200" customFormat="1" ht="33" customHeight="1">
      <c r="B38" s="792" t="s">
        <v>10371</v>
      </c>
      <c r="C38" s="2357" t="s">
        <v>9215</v>
      </c>
      <c r="D38" s="325" t="s">
        <v>4215</v>
      </c>
      <c r="E38" s="325">
        <v>3</v>
      </c>
      <c r="F38" s="751">
        <v>0</v>
      </c>
      <c r="G38" s="751">
        <v>0</v>
      </c>
      <c r="H38" s="751">
        <v>0</v>
      </c>
      <c r="I38" s="751">
        <v>0.106</v>
      </c>
      <c r="J38" s="751">
        <v>0</v>
      </c>
      <c r="K38" s="751">
        <v>0</v>
      </c>
      <c r="L38" s="751">
        <v>0</v>
      </c>
      <c r="M38" s="751">
        <v>0</v>
      </c>
      <c r="N38" s="312">
        <f t="shared" si="7"/>
        <v>0.106</v>
      </c>
      <c r="O38" s="2384"/>
      <c r="P38" s="2384"/>
      <c r="Q38" s="2384"/>
      <c r="R38" s="2384"/>
      <c r="S38" s="2384"/>
      <c r="T38" s="2384"/>
      <c r="U38" s="2384"/>
      <c r="V38" s="2384"/>
      <c r="W38" s="2384"/>
      <c r="X38" s="2385"/>
      <c r="Y38" s="2385"/>
      <c r="Z38" s="2386"/>
      <c r="AA38" s="997"/>
      <c r="AB38" s="803" t="s">
        <v>10372</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10371</v>
      </c>
      <c r="BG38" s="354" t="s">
        <v>9215</v>
      </c>
      <c r="BH38" s="287" t="s">
        <v>10373</v>
      </c>
      <c r="BI38" s="287" t="s">
        <v>10374</v>
      </c>
      <c r="BJ38" s="287" t="s">
        <v>10375</v>
      </c>
      <c r="BK38" s="287" t="s">
        <v>10376</v>
      </c>
      <c r="BL38" s="287" t="s">
        <v>10377</v>
      </c>
      <c r="BM38" s="287" t="s">
        <v>10378</v>
      </c>
      <c r="BN38" s="287" t="s">
        <v>10379</v>
      </c>
      <c r="BO38" s="287" t="s">
        <v>10380</v>
      </c>
      <c r="BP38" s="288" t="s">
        <v>10381</v>
      </c>
      <c r="BQ38" s="399"/>
      <c r="BR38" s="399"/>
      <c r="BS38" s="399"/>
      <c r="BT38" s="399"/>
      <c r="BU38" s="399"/>
      <c r="BV38" s="399"/>
      <c r="BW38" s="399"/>
      <c r="BX38" s="399"/>
      <c r="BY38" s="399"/>
      <c r="BZ38" s="744"/>
      <c r="CA38" s="744"/>
      <c r="CB38" s="745"/>
    </row>
    <row r="39" spans="1:80" s="197" customFormat="1" ht="33" customHeight="1">
      <c r="B39" s="792" t="s">
        <v>10371</v>
      </c>
      <c r="C39" s="2357" t="s">
        <v>9223</v>
      </c>
      <c r="D39" s="325" t="s">
        <v>4215</v>
      </c>
      <c r="E39" s="325">
        <v>3</v>
      </c>
      <c r="F39" s="751">
        <v>0</v>
      </c>
      <c r="G39" s="751">
        <v>0</v>
      </c>
      <c r="H39" s="751">
        <v>0</v>
      </c>
      <c r="I39" s="751">
        <v>0</v>
      </c>
      <c r="J39" s="751">
        <v>0</v>
      </c>
      <c r="K39" s="751">
        <v>0</v>
      </c>
      <c r="L39" s="751">
        <v>0</v>
      </c>
      <c r="M39" s="751">
        <v>0</v>
      </c>
      <c r="N39" s="312">
        <f t="shared" si="7"/>
        <v>0</v>
      </c>
      <c r="O39" s="2384"/>
      <c r="P39" s="2384"/>
      <c r="Q39" s="2384"/>
      <c r="R39" s="2384"/>
      <c r="S39" s="2384"/>
      <c r="T39" s="2384"/>
      <c r="U39" s="2384"/>
      <c r="V39" s="2384"/>
      <c r="W39" s="2384"/>
      <c r="X39" s="2385"/>
      <c r="Y39" s="2385"/>
      <c r="Z39" s="2386"/>
      <c r="AA39" s="997"/>
      <c r="AB39" s="803" t="s">
        <v>10382</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10371</v>
      </c>
      <c r="BG39" s="354" t="s">
        <v>9223</v>
      </c>
      <c r="BH39" s="287" t="s">
        <v>10383</v>
      </c>
      <c r="BI39" s="287" t="s">
        <v>10384</v>
      </c>
      <c r="BJ39" s="287" t="s">
        <v>10385</v>
      </c>
      <c r="BK39" s="287" t="s">
        <v>10386</v>
      </c>
      <c r="BL39" s="287" t="s">
        <v>10387</v>
      </c>
      <c r="BM39" s="287" t="s">
        <v>10388</v>
      </c>
      <c r="BN39" s="287" t="s">
        <v>10389</v>
      </c>
      <c r="BO39" s="287" t="s">
        <v>10390</v>
      </c>
      <c r="BP39" s="288" t="s">
        <v>10391</v>
      </c>
      <c r="BQ39" s="399"/>
      <c r="BR39" s="399"/>
      <c r="BS39" s="399"/>
      <c r="BT39" s="399"/>
      <c r="BU39" s="399"/>
      <c r="BV39" s="399"/>
      <c r="BW39" s="399"/>
      <c r="BX39" s="399"/>
      <c r="BY39" s="399"/>
      <c r="BZ39" s="744"/>
      <c r="CA39" s="744"/>
      <c r="CB39" s="745"/>
    </row>
    <row r="40" spans="1:80" s="197" customFormat="1" ht="33" customHeight="1">
      <c r="B40" s="792" t="s">
        <v>10371</v>
      </c>
      <c r="C40" s="2357" t="s">
        <v>9231</v>
      </c>
      <c r="D40" s="325" t="s">
        <v>4215</v>
      </c>
      <c r="E40" s="325">
        <v>3</v>
      </c>
      <c r="F40" s="312">
        <f>IFERROR(SUM(F38:F39), 0)</f>
        <v>0</v>
      </c>
      <c r="G40" s="312">
        <f t="shared" ref="G40:M40" si="158">IFERROR(SUM(G38:G39), 0)</f>
        <v>0</v>
      </c>
      <c r="H40" s="312">
        <f t="shared" si="158"/>
        <v>0</v>
      </c>
      <c r="I40" s="312">
        <f t="shared" si="158"/>
        <v>0.106</v>
      </c>
      <c r="J40" s="312">
        <f t="shared" si="158"/>
        <v>0</v>
      </c>
      <c r="K40" s="312">
        <f t="shared" si="158"/>
        <v>0</v>
      </c>
      <c r="L40" s="312">
        <f t="shared" si="158"/>
        <v>0</v>
      </c>
      <c r="M40" s="312">
        <f t="shared" si="158"/>
        <v>0</v>
      </c>
      <c r="N40" s="312">
        <f t="shared" si="7"/>
        <v>0.106</v>
      </c>
      <c r="O40" s="2384"/>
      <c r="P40" s="2384"/>
      <c r="Q40" s="2384"/>
      <c r="R40" s="2384"/>
      <c r="S40" s="2384"/>
      <c r="T40" s="2384"/>
      <c r="U40" s="2384"/>
      <c r="V40" s="2384"/>
      <c r="W40" s="2384"/>
      <c r="X40" s="751">
        <v>1.4379999999999999</v>
      </c>
      <c r="Y40" s="751">
        <v>1.4430000000000001</v>
      </c>
      <c r="Z40" s="796">
        <v>2.2490000000000001</v>
      </c>
      <c r="AA40" s="997"/>
      <c r="AB40" s="803" t="s">
        <v>10392</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10371</v>
      </c>
      <c r="BG40" s="354" t="s">
        <v>9231</v>
      </c>
      <c r="BH40" s="288" t="s">
        <v>10393</v>
      </c>
      <c r="BI40" s="288" t="s">
        <v>10394</v>
      </c>
      <c r="BJ40" s="288" t="s">
        <v>10395</v>
      </c>
      <c r="BK40" s="288" t="s">
        <v>10396</v>
      </c>
      <c r="BL40" s="288" t="s">
        <v>10397</v>
      </c>
      <c r="BM40" s="288" t="s">
        <v>10398</v>
      </c>
      <c r="BN40" s="288" t="s">
        <v>10399</v>
      </c>
      <c r="BO40" s="288" t="s">
        <v>10400</v>
      </c>
      <c r="BP40" s="288" t="s">
        <v>10401</v>
      </c>
      <c r="BQ40" s="399"/>
      <c r="BR40" s="399"/>
      <c r="BS40" s="399"/>
      <c r="BT40" s="399"/>
      <c r="BU40" s="399"/>
      <c r="BV40" s="399"/>
      <c r="BW40" s="399"/>
      <c r="BX40" s="399"/>
      <c r="BY40" s="399"/>
      <c r="BZ40" s="740" t="s">
        <v>10402</v>
      </c>
      <c r="CA40" s="740" t="s">
        <v>10403</v>
      </c>
      <c r="CB40" s="1117" t="s">
        <v>10404</v>
      </c>
    </row>
    <row r="41" spans="1:80" ht="15.75" customHeight="1">
      <c r="A41" s="197"/>
      <c r="B41" s="792" t="s">
        <v>10405</v>
      </c>
      <c r="C41" s="2357" t="s">
        <v>9215</v>
      </c>
      <c r="D41" s="325" t="s">
        <v>4215</v>
      </c>
      <c r="E41" s="325">
        <v>3</v>
      </c>
      <c r="F41" s="751">
        <v>0</v>
      </c>
      <c r="G41" s="751">
        <v>0</v>
      </c>
      <c r="H41" s="751">
        <v>0</v>
      </c>
      <c r="I41" s="751">
        <v>0</v>
      </c>
      <c r="J41" s="751">
        <v>0</v>
      </c>
      <c r="K41" s="751">
        <v>0</v>
      </c>
      <c r="L41" s="751">
        <v>0</v>
      </c>
      <c r="M41" s="751">
        <v>0</v>
      </c>
      <c r="N41" s="312">
        <f t="shared" si="7"/>
        <v>0</v>
      </c>
      <c r="O41" s="2384"/>
      <c r="P41" s="2384"/>
      <c r="Q41" s="2384"/>
      <c r="R41" s="2384"/>
      <c r="S41" s="2384"/>
      <c r="T41" s="2384"/>
      <c r="U41" s="2384"/>
      <c r="V41" s="2384"/>
      <c r="W41" s="2384"/>
      <c r="X41" s="2385"/>
      <c r="Y41" s="2385"/>
      <c r="Z41" s="2386"/>
      <c r="AA41" s="997"/>
      <c r="AB41" s="803" t="s">
        <v>10406</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10405</v>
      </c>
      <c r="BG41" s="354" t="s">
        <v>9215</v>
      </c>
      <c r="BH41" s="287" t="s">
        <v>10407</v>
      </c>
      <c r="BI41" s="287" t="s">
        <v>10408</v>
      </c>
      <c r="BJ41" s="287" t="s">
        <v>10409</v>
      </c>
      <c r="BK41" s="287" t="s">
        <v>10410</v>
      </c>
      <c r="BL41" s="287" t="s">
        <v>10411</v>
      </c>
      <c r="BM41" s="287" t="s">
        <v>10412</v>
      </c>
      <c r="BN41" s="287" t="s">
        <v>10413</v>
      </c>
      <c r="BO41" s="287" t="s">
        <v>10414</v>
      </c>
      <c r="BP41" s="288" t="s">
        <v>10415</v>
      </c>
      <c r="BQ41" s="399"/>
      <c r="BR41" s="399"/>
      <c r="BS41" s="399"/>
      <c r="BT41" s="399"/>
      <c r="BU41" s="399"/>
      <c r="BV41" s="399"/>
      <c r="BW41" s="399"/>
      <c r="BX41" s="399"/>
      <c r="BY41" s="399"/>
      <c r="BZ41" s="744"/>
      <c r="CA41" s="744"/>
      <c r="CB41" s="745"/>
    </row>
    <row r="42" spans="1:80" s="197" customFormat="1" ht="15.75" customHeight="1">
      <c r="B42" s="792" t="s">
        <v>10405</v>
      </c>
      <c r="C42" s="2357" t="s">
        <v>9223</v>
      </c>
      <c r="D42" s="325" t="s">
        <v>4215</v>
      </c>
      <c r="E42" s="325">
        <v>3</v>
      </c>
      <c r="F42" s="751">
        <v>0</v>
      </c>
      <c r="G42" s="751">
        <v>0</v>
      </c>
      <c r="H42" s="751">
        <v>0</v>
      </c>
      <c r="I42" s="751">
        <v>0</v>
      </c>
      <c r="J42" s="751">
        <v>0</v>
      </c>
      <c r="K42" s="751">
        <v>0</v>
      </c>
      <c r="L42" s="751">
        <v>0</v>
      </c>
      <c r="M42" s="751">
        <v>0</v>
      </c>
      <c r="N42" s="312">
        <f t="shared" si="7"/>
        <v>0</v>
      </c>
      <c r="O42" s="2384"/>
      <c r="P42" s="2384"/>
      <c r="Q42" s="2384"/>
      <c r="R42" s="2384"/>
      <c r="S42" s="2384"/>
      <c r="T42" s="2384"/>
      <c r="U42" s="2384"/>
      <c r="V42" s="2384"/>
      <c r="W42" s="2384"/>
      <c r="X42" s="2385"/>
      <c r="Y42" s="2385"/>
      <c r="Z42" s="2386"/>
      <c r="AA42" s="997"/>
      <c r="AB42" s="803" t="s">
        <v>10416</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10405</v>
      </c>
      <c r="BG42" s="354" t="s">
        <v>9223</v>
      </c>
      <c r="BH42" s="287" t="s">
        <v>10417</v>
      </c>
      <c r="BI42" s="287" t="s">
        <v>10418</v>
      </c>
      <c r="BJ42" s="287" t="s">
        <v>10419</v>
      </c>
      <c r="BK42" s="287" t="s">
        <v>10420</v>
      </c>
      <c r="BL42" s="287" t="s">
        <v>10421</v>
      </c>
      <c r="BM42" s="287" t="s">
        <v>10422</v>
      </c>
      <c r="BN42" s="287" t="s">
        <v>10423</v>
      </c>
      <c r="BO42" s="287" t="s">
        <v>10424</v>
      </c>
      <c r="BP42" s="288" t="s">
        <v>10425</v>
      </c>
      <c r="BQ42" s="399"/>
      <c r="BR42" s="399"/>
      <c r="BS42" s="399"/>
      <c r="BT42" s="399"/>
      <c r="BU42" s="399"/>
      <c r="BV42" s="399"/>
      <c r="BW42" s="399"/>
      <c r="BX42" s="399"/>
      <c r="BY42" s="399"/>
      <c r="BZ42" s="744"/>
      <c r="CA42" s="744"/>
      <c r="CB42" s="745"/>
    </row>
    <row r="43" spans="1:80" ht="15.75" customHeight="1">
      <c r="A43" s="197"/>
      <c r="B43" s="792" t="s">
        <v>10405</v>
      </c>
      <c r="C43" s="2357" t="s">
        <v>9231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4"/>
      <c r="P43" s="2384"/>
      <c r="Q43" s="2384"/>
      <c r="R43" s="2384"/>
      <c r="S43" s="2384"/>
      <c r="T43" s="2384"/>
      <c r="U43" s="2384"/>
      <c r="V43" s="2384"/>
      <c r="W43" s="2384"/>
      <c r="X43" s="751">
        <v>0</v>
      </c>
      <c r="Y43" s="751">
        <v>0</v>
      </c>
      <c r="Z43" s="796">
        <v>0</v>
      </c>
      <c r="AA43" s="997"/>
      <c r="AB43" s="803" t="s">
        <v>10426</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10405</v>
      </c>
      <c r="BG43" s="354" t="s">
        <v>9231</v>
      </c>
      <c r="BH43" s="288" t="s">
        <v>10427</v>
      </c>
      <c r="BI43" s="288" t="s">
        <v>10428</v>
      </c>
      <c r="BJ43" s="288" t="s">
        <v>10429</v>
      </c>
      <c r="BK43" s="288" t="s">
        <v>10430</v>
      </c>
      <c r="BL43" s="288" t="s">
        <v>10431</v>
      </c>
      <c r="BM43" s="288" t="s">
        <v>10432</v>
      </c>
      <c r="BN43" s="288" t="s">
        <v>10433</v>
      </c>
      <c r="BO43" s="288" t="s">
        <v>10434</v>
      </c>
      <c r="BP43" s="288" t="s">
        <v>10435</v>
      </c>
      <c r="BQ43" s="399"/>
      <c r="BR43" s="399"/>
      <c r="BS43" s="399"/>
      <c r="BT43" s="399"/>
      <c r="BU43" s="399"/>
      <c r="BV43" s="399"/>
      <c r="BW43" s="399"/>
      <c r="BX43" s="399"/>
      <c r="BY43" s="399"/>
      <c r="BZ43" s="740" t="s">
        <v>10436</v>
      </c>
      <c r="CA43" s="740" t="s">
        <v>10437</v>
      </c>
      <c r="CB43" s="1117" t="s">
        <v>10438</v>
      </c>
    </row>
    <row r="44" spans="1:80" ht="15.75" customHeight="1">
      <c r="A44" s="197"/>
      <c r="B44" s="792" t="s">
        <v>10439</v>
      </c>
      <c r="C44" s="2357" t="s">
        <v>9215</v>
      </c>
      <c r="D44" s="325" t="s">
        <v>4215</v>
      </c>
      <c r="E44" s="325">
        <v>3</v>
      </c>
      <c r="F44" s="751">
        <v>3.5000000000000003E-2</v>
      </c>
      <c r="G44" s="751">
        <v>1.4999999999999999E-2</v>
      </c>
      <c r="H44" s="751">
        <v>8.0000000000000002E-3</v>
      </c>
      <c r="I44" s="751">
        <v>22.968</v>
      </c>
      <c r="J44" s="751">
        <v>0</v>
      </c>
      <c r="K44" s="751">
        <v>0</v>
      </c>
      <c r="L44" s="751">
        <v>0</v>
      </c>
      <c r="M44" s="751">
        <v>0</v>
      </c>
      <c r="N44" s="312">
        <f t="shared" si="7"/>
        <v>23.026</v>
      </c>
      <c r="O44" s="751">
        <v>0</v>
      </c>
      <c r="P44" s="751">
        <v>0</v>
      </c>
      <c r="Q44" s="751">
        <v>0</v>
      </c>
      <c r="R44" s="751">
        <v>7.9770000000000003</v>
      </c>
      <c r="S44" s="751">
        <v>0</v>
      </c>
      <c r="T44" s="751">
        <v>0</v>
      </c>
      <c r="U44" s="751">
        <v>0</v>
      </c>
      <c r="V44" s="751">
        <v>0</v>
      </c>
      <c r="W44" s="312">
        <f>IFERROR(SUM(O44:V44), 0)</f>
        <v>7.9770000000000003</v>
      </c>
      <c r="X44" s="2385"/>
      <c r="Y44" s="2385"/>
      <c r="Z44" s="2386"/>
      <c r="AA44" s="997"/>
      <c r="AB44" s="803" t="s">
        <v>10440</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10439</v>
      </c>
      <c r="BG44" s="354" t="s">
        <v>9215</v>
      </c>
      <c r="BH44" s="287" t="s">
        <v>10441</v>
      </c>
      <c r="BI44" s="287" t="s">
        <v>10442</v>
      </c>
      <c r="BJ44" s="287" t="s">
        <v>10443</v>
      </c>
      <c r="BK44" s="287" t="s">
        <v>10444</v>
      </c>
      <c r="BL44" s="287" t="s">
        <v>10445</v>
      </c>
      <c r="BM44" s="287" t="s">
        <v>10446</v>
      </c>
      <c r="BN44" s="287" t="s">
        <v>10447</v>
      </c>
      <c r="BO44" s="287" t="s">
        <v>10448</v>
      </c>
      <c r="BP44" s="288" t="s">
        <v>10449</v>
      </c>
      <c r="BQ44" s="287" t="s">
        <v>10450</v>
      </c>
      <c r="BR44" s="287" t="s">
        <v>10451</v>
      </c>
      <c r="BS44" s="287" t="s">
        <v>10452</v>
      </c>
      <c r="BT44" s="287" t="s">
        <v>10453</v>
      </c>
      <c r="BU44" s="287" t="s">
        <v>10454</v>
      </c>
      <c r="BV44" s="287" t="s">
        <v>10455</v>
      </c>
      <c r="BW44" s="287" t="s">
        <v>10456</v>
      </c>
      <c r="BX44" s="287" t="s">
        <v>10457</v>
      </c>
      <c r="BY44" s="288" t="s">
        <v>10458</v>
      </c>
      <c r="BZ44" s="744"/>
      <c r="CA44" s="744"/>
      <c r="CB44" s="745"/>
    </row>
    <row r="45" spans="1:80" ht="15.75" customHeight="1">
      <c r="A45" s="197"/>
      <c r="B45" s="792" t="s">
        <v>10439</v>
      </c>
      <c r="C45" s="2357" t="s">
        <v>9223</v>
      </c>
      <c r="D45" s="325" t="s">
        <v>4215</v>
      </c>
      <c r="E45" s="325">
        <v>3</v>
      </c>
      <c r="F45" s="751">
        <v>0</v>
      </c>
      <c r="G45" s="751">
        <v>0</v>
      </c>
      <c r="H45" s="751">
        <v>0</v>
      </c>
      <c r="I45" s="751">
        <v>0.92100000000000004</v>
      </c>
      <c r="J45" s="751">
        <v>0</v>
      </c>
      <c r="K45" s="751">
        <v>0</v>
      </c>
      <c r="L45" s="751">
        <v>0</v>
      </c>
      <c r="M45" s="751">
        <v>0</v>
      </c>
      <c r="N45" s="312">
        <f t="shared" si="7"/>
        <v>0.92100000000000004</v>
      </c>
      <c r="O45" s="751">
        <v>0</v>
      </c>
      <c r="P45" s="751">
        <v>0</v>
      </c>
      <c r="Q45" s="751">
        <v>0</v>
      </c>
      <c r="R45" s="751">
        <v>2.3620000000000001</v>
      </c>
      <c r="S45" s="751">
        <v>0</v>
      </c>
      <c r="T45" s="751">
        <v>0</v>
      </c>
      <c r="U45" s="751">
        <v>0</v>
      </c>
      <c r="V45" s="751">
        <v>0</v>
      </c>
      <c r="W45" s="312">
        <f t="shared" ref="W45:W51" si="188">IFERROR(SUM(O45:V45), 0)</f>
        <v>2.3620000000000001</v>
      </c>
      <c r="X45" s="2385"/>
      <c r="Y45" s="2385"/>
      <c r="Z45" s="2386"/>
      <c r="AA45" s="997"/>
      <c r="AB45" s="803" t="s">
        <v>10459</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10439</v>
      </c>
      <c r="BG45" s="354" t="s">
        <v>9223</v>
      </c>
      <c r="BH45" s="287" t="s">
        <v>10460</v>
      </c>
      <c r="BI45" s="287" t="s">
        <v>10461</v>
      </c>
      <c r="BJ45" s="287" t="s">
        <v>10462</v>
      </c>
      <c r="BK45" s="287" t="s">
        <v>10463</v>
      </c>
      <c r="BL45" s="287" t="s">
        <v>10464</v>
      </c>
      <c r="BM45" s="287" t="s">
        <v>10465</v>
      </c>
      <c r="BN45" s="287" t="s">
        <v>10466</v>
      </c>
      <c r="BO45" s="287" t="s">
        <v>10467</v>
      </c>
      <c r="BP45" s="288" t="s">
        <v>10468</v>
      </c>
      <c r="BQ45" s="287" t="s">
        <v>10469</v>
      </c>
      <c r="BR45" s="287" t="s">
        <v>10470</v>
      </c>
      <c r="BS45" s="287" t="s">
        <v>10471</v>
      </c>
      <c r="BT45" s="287" t="s">
        <v>10472</v>
      </c>
      <c r="BU45" s="287" t="s">
        <v>10473</v>
      </c>
      <c r="BV45" s="287" t="s">
        <v>10474</v>
      </c>
      <c r="BW45" s="287" t="s">
        <v>10475</v>
      </c>
      <c r="BX45" s="287" t="s">
        <v>10476</v>
      </c>
      <c r="BY45" s="288" t="s">
        <v>10477</v>
      </c>
      <c r="BZ45" s="744"/>
      <c r="CA45" s="744"/>
      <c r="CB45" s="745"/>
    </row>
    <row r="46" spans="1:80" ht="15.75" customHeight="1">
      <c r="A46" s="197"/>
      <c r="B46" s="792" t="s">
        <v>10439</v>
      </c>
      <c r="C46" s="2357" t="s">
        <v>9231</v>
      </c>
      <c r="D46" s="325" t="s">
        <v>4215</v>
      </c>
      <c r="E46" s="325">
        <v>3</v>
      </c>
      <c r="F46" s="312">
        <f>IFERROR(SUM(F44:F45), 0)</f>
        <v>3.5000000000000003E-2</v>
      </c>
      <c r="G46" s="312">
        <f t="shared" ref="G46:M46" si="191">IFERROR(SUM(G44:G45), 0)</f>
        <v>1.4999999999999999E-2</v>
      </c>
      <c r="H46" s="312">
        <f t="shared" si="191"/>
        <v>8.0000000000000002E-3</v>
      </c>
      <c r="I46" s="312">
        <f t="shared" si="191"/>
        <v>23.888999999999999</v>
      </c>
      <c r="J46" s="312">
        <f t="shared" si="191"/>
        <v>0</v>
      </c>
      <c r="K46" s="312">
        <f t="shared" si="191"/>
        <v>0</v>
      </c>
      <c r="L46" s="312">
        <f t="shared" si="191"/>
        <v>0</v>
      </c>
      <c r="M46" s="312">
        <f t="shared" si="191"/>
        <v>0</v>
      </c>
      <c r="N46" s="312">
        <f t="shared" si="7"/>
        <v>23.946999999999999</v>
      </c>
      <c r="O46" s="312">
        <f>IFERROR(SUM(O44:O45), 0)</f>
        <v>0</v>
      </c>
      <c r="P46" s="312">
        <f t="shared" ref="P46:V46" si="192">IFERROR(SUM(P44:P45), 0)</f>
        <v>0</v>
      </c>
      <c r="Q46" s="312">
        <f t="shared" si="192"/>
        <v>0</v>
      </c>
      <c r="R46" s="312">
        <f>IFERROR(SUM(R44:R45), 0)</f>
        <v>10.339</v>
      </c>
      <c r="S46" s="312">
        <f t="shared" si="192"/>
        <v>0</v>
      </c>
      <c r="T46" s="312">
        <f t="shared" si="192"/>
        <v>0</v>
      </c>
      <c r="U46" s="312">
        <f t="shared" si="192"/>
        <v>0</v>
      </c>
      <c r="V46" s="312">
        <f t="shared" si="192"/>
        <v>0</v>
      </c>
      <c r="W46" s="312">
        <f t="shared" si="188"/>
        <v>10.339</v>
      </c>
      <c r="X46" s="751">
        <v>47.610999999999997</v>
      </c>
      <c r="Y46" s="751">
        <v>55.600999999999999</v>
      </c>
      <c r="Z46" s="796">
        <v>86.694000000000003</v>
      </c>
      <c r="AA46" s="997"/>
      <c r="AB46" s="803" t="s">
        <v>10478</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10439</v>
      </c>
      <c r="BG46" s="354" t="s">
        <v>9231</v>
      </c>
      <c r="BH46" s="288" t="s">
        <v>10479</v>
      </c>
      <c r="BI46" s="288" t="s">
        <v>10480</v>
      </c>
      <c r="BJ46" s="288" t="s">
        <v>10481</v>
      </c>
      <c r="BK46" s="288" t="s">
        <v>10482</v>
      </c>
      <c r="BL46" s="288" t="s">
        <v>10483</v>
      </c>
      <c r="BM46" s="288" t="s">
        <v>10484</v>
      </c>
      <c r="BN46" s="288" t="s">
        <v>10485</v>
      </c>
      <c r="BO46" s="288" t="s">
        <v>10486</v>
      </c>
      <c r="BP46" s="288" t="s">
        <v>10487</v>
      </c>
      <c r="BQ46" s="288" t="s">
        <v>10488</v>
      </c>
      <c r="BR46" s="288" t="s">
        <v>10489</v>
      </c>
      <c r="BS46" s="288" t="s">
        <v>10490</v>
      </c>
      <c r="BT46" s="288" t="s">
        <v>10491</v>
      </c>
      <c r="BU46" s="288" t="s">
        <v>10492</v>
      </c>
      <c r="BV46" s="288" t="s">
        <v>10493</v>
      </c>
      <c r="BW46" s="288" t="s">
        <v>10494</v>
      </c>
      <c r="BX46" s="288" t="s">
        <v>10495</v>
      </c>
      <c r="BY46" s="288" t="s">
        <v>10496</v>
      </c>
      <c r="BZ46" s="740" t="s">
        <v>10497</v>
      </c>
      <c r="CA46" s="740" t="s">
        <v>10498</v>
      </c>
      <c r="CB46" s="1117" t="s">
        <v>10499</v>
      </c>
    </row>
    <row r="47" spans="1:80" ht="15.75" customHeight="1">
      <c r="A47" s="197"/>
      <c r="B47" s="792" t="s">
        <v>10500</v>
      </c>
      <c r="C47" s="2357" t="s">
        <v>9215</v>
      </c>
      <c r="D47" s="325" t="s">
        <v>4215</v>
      </c>
      <c r="E47" s="325">
        <v>3</v>
      </c>
      <c r="F47" s="751">
        <v>0</v>
      </c>
      <c r="G47" s="751">
        <v>0</v>
      </c>
      <c r="H47" s="751">
        <v>0</v>
      </c>
      <c r="I47" s="751">
        <v>3.298</v>
      </c>
      <c r="J47" s="751">
        <v>0</v>
      </c>
      <c r="K47" s="751">
        <v>0</v>
      </c>
      <c r="L47" s="751">
        <v>0</v>
      </c>
      <c r="M47" s="751">
        <v>0</v>
      </c>
      <c r="N47" s="312">
        <f t="shared" si="7"/>
        <v>3.298</v>
      </c>
      <c r="O47" s="751">
        <v>0</v>
      </c>
      <c r="P47" s="751">
        <v>0</v>
      </c>
      <c r="Q47" s="751">
        <v>0</v>
      </c>
      <c r="R47" s="751">
        <v>0</v>
      </c>
      <c r="S47" s="751">
        <v>0</v>
      </c>
      <c r="T47" s="751">
        <v>0</v>
      </c>
      <c r="U47" s="751">
        <v>0</v>
      </c>
      <c r="V47" s="751">
        <v>0</v>
      </c>
      <c r="W47" s="312">
        <f t="shared" si="188"/>
        <v>0</v>
      </c>
      <c r="X47" s="2385"/>
      <c r="Y47" s="2385"/>
      <c r="Z47" s="2386"/>
      <c r="AA47" s="997"/>
      <c r="AB47" s="803" t="s">
        <v>10501</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10500</v>
      </c>
      <c r="BG47" s="354" t="s">
        <v>9215</v>
      </c>
      <c r="BH47" s="287" t="s">
        <v>10502</v>
      </c>
      <c r="BI47" s="287" t="s">
        <v>10503</v>
      </c>
      <c r="BJ47" s="287" t="s">
        <v>10504</v>
      </c>
      <c r="BK47" s="287" t="s">
        <v>10505</v>
      </c>
      <c r="BL47" s="287" t="s">
        <v>10506</v>
      </c>
      <c r="BM47" s="287" t="s">
        <v>10507</v>
      </c>
      <c r="BN47" s="287" t="s">
        <v>10508</v>
      </c>
      <c r="BO47" s="287" t="s">
        <v>10509</v>
      </c>
      <c r="BP47" s="288" t="s">
        <v>10510</v>
      </c>
      <c r="BQ47" s="287" t="s">
        <v>10511</v>
      </c>
      <c r="BR47" s="287" t="s">
        <v>10512</v>
      </c>
      <c r="BS47" s="287" t="s">
        <v>10513</v>
      </c>
      <c r="BT47" s="287" t="s">
        <v>10514</v>
      </c>
      <c r="BU47" s="287" t="s">
        <v>10515</v>
      </c>
      <c r="BV47" s="287" t="s">
        <v>10516</v>
      </c>
      <c r="BW47" s="287" t="s">
        <v>10517</v>
      </c>
      <c r="BX47" s="287" t="s">
        <v>10518</v>
      </c>
      <c r="BY47" s="288" t="s">
        <v>10519</v>
      </c>
      <c r="BZ47" s="744"/>
      <c r="CA47" s="744"/>
      <c r="CB47" s="745"/>
    </row>
    <row r="48" spans="1:80" s="267" customFormat="1" ht="15.75" customHeight="1">
      <c r="A48" s="272"/>
      <c r="B48" s="792" t="s">
        <v>10500</v>
      </c>
      <c r="C48" s="2357" t="s">
        <v>9223</v>
      </c>
      <c r="D48" s="325" t="s">
        <v>4215</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5"/>
      <c r="Y48" s="2385"/>
      <c r="Z48" s="2386"/>
      <c r="AA48" s="349"/>
      <c r="AB48" s="803" t="s">
        <v>10520</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10500</v>
      </c>
      <c r="BG48" s="354" t="s">
        <v>9223</v>
      </c>
      <c r="BH48" s="287" t="s">
        <v>10521</v>
      </c>
      <c r="BI48" s="287" t="s">
        <v>10522</v>
      </c>
      <c r="BJ48" s="287" t="s">
        <v>10523</v>
      </c>
      <c r="BK48" s="287" t="s">
        <v>10524</v>
      </c>
      <c r="BL48" s="287" t="s">
        <v>10525</v>
      </c>
      <c r="BM48" s="287" t="s">
        <v>10526</v>
      </c>
      <c r="BN48" s="287" t="s">
        <v>10527</v>
      </c>
      <c r="BO48" s="287" t="s">
        <v>10528</v>
      </c>
      <c r="BP48" s="288" t="s">
        <v>10529</v>
      </c>
      <c r="BQ48" s="287" t="s">
        <v>10530</v>
      </c>
      <c r="BR48" s="287" t="s">
        <v>10531</v>
      </c>
      <c r="BS48" s="287" t="s">
        <v>10532</v>
      </c>
      <c r="BT48" s="287" t="s">
        <v>10533</v>
      </c>
      <c r="BU48" s="287" t="s">
        <v>10534</v>
      </c>
      <c r="BV48" s="287" t="s">
        <v>10535</v>
      </c>
      <c r="BW48" s="287" t="s">
        <v>10536</v>
      </c>
      <c r="BX48" s="287" t="s">
        <v>10537</v>
      </c>
      <c r="BY48" s="288" t="s">
        <v>10538</v>
      </c>
      <c r="BZ48" s="744"/>
      <c r="CA48" s="744"/>
      <c r="CB48" s="745"/>
    </row>
    <row r="49" spans="1:80" s="267" customFormat="1" ht="15.75" customHeight="1">
      <c r="A49" s="272"/>
      <c r="B49" s="792" t="s">
        <v>10500</v>
      </c>
      <c r="C49" s="2357" t="s">
        <v>9231</v>
      </c>
      <c r="D49" s="325" t="s">
        <v>4215</v>
      </c>
      <c r="E49" s="325">
        <v>3</v>
      </c>
      <c r="F49" s="312">
        <f>IFERROR(SUM(F47:F48), 0)</f>
        <v>0</v>
      </c>
      <c r="G49" s="312">
        <f t="shared" ref="G49:M49" si="212">IFERROR(SUM(G47:G48), 0)</f>
        <v>0</v>
      </c>
      <c r="H49" s="312">
        <f t="shared" si="212"/>
        <v>0</v>
      </c>
      <c r="I49" s="312">
        <f t="shared" si="212"/>
        <v>3.298</v>
      </c>
      <c r="J49" s="312">
        <f t="shared" si="212"/>
        <v>0</v>
      </c>
      <c r="K49" s="312">
        <f t="shared" si="212"/>
        <v>0</v>
      </c>
      <c r="L49" s="312">
        <f t="shared" si="212"/>
        <v>0</v>
      </c>
      <c r="M49" s="312">
        <f t="shared" si="212"/>
        <v>0</v>
      </c>
      <c r="N49" s="312">
        <f t="shared" si="7"/>
        <v>3.298</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6.0629999999999997</v>
      </c>
      <c r="Y49" s="751">
        <v>9.8420000000000005</v>
      </c>
      <c r="Z49" s="796">
        <v>15.337999999999999</v>
      </c>
      <c r="AA49" s="349"/>
      <c r="AB49" s="803" t="s">
        <v>10539</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10500</v>
      </c>
      <c r="BG49" s="354" t="s">
        <v>9231</v>
      </c>
      <c r="BH49" s="288" t="s">
        <v>10540</v>
      </c>
      <c r="BI49" s="288" t="s">
        <v>10541</v>
      </c>
      <c r="BJ49" s="288" t="s">
        <v>10542</v>
      </c>
      <c r="BK49" s="288" t="s">
        <v>10543</v>
      </c>
      <c r="BL49" s="288" t="s">
        <v>10544</v>
      </c>
      <c r="BM49" s="288" t="s">
        <v>10545</v>
      </c>
      <c r="BN49" s="288" t="s">
        <v>10546</v>
      </c>
      <c r="BO49" s="288" t="s">
        <v>10547</v>
      </c>
      <c r="BP49" s="288" t="s">
        <v>10548</v>
      </c>
      <c r="BQ49" s="288" t="s">
        <v>10549</v>
      </c>
      <c r="BR49" s="288" t="s">
        <v>10550</v>
      </c>
      <c r="BS49" s="288" t="s">
        <v>10551</v>
      </c>
      <c r="BT49" s="288" t="s">
        <v>10552</v>
      </c>
      <c r="BU49" s="288" t="s">
        <v>10553</v>
      </c>
      <c r="BV49" s="288" t="s">
        <v>10554</v>
      </c>
      <c r="BW49" s="288" t="s">
        <v>10555</v>
      </c>
      <c r="BX49" s="288" t="s">
        <v>10556</v>
      </c>
      <c r="BY49" s="288" t="s">
        <v>10557</v>
      </c>
      <c r="BZ49" s="740" t="s">
        <v>10558</v>
      </c>
      <c r="CA49" s="740" t="s">
        <v>10559</v>
      </c>
      <c r="CB49" s="1117" t="s">
        <v>10560</v>
      </c>
    </row>
    <row r="50" spans="1:80" s="267" customFormat="1" ht="15.75" customHeight="1">
      <c r="A50" s="272"/>
      <c r="B50" s="792" t="s">
        <v>10561</v>
      </c>
      <c r="C50" s="2357" t="s">
        <v>9215</v>
      </c>
      <c r="D50" s="325" t="s">
        <v>4215</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5"/>
      <c r="Y50" s="2385"/>
      <c r="Z50" s="2386"/>
      <c r="AA50" s="349"/>
      <c r="AB50" s="803" t="s">
        <v>10562</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10561</v>
      </c>
      <c r="BG50" s="354" t="s">
        <v>9215</v>
      </c>
      <c r="BH50" s="287" t="s">
        <v>10563</v>
      </c>
      <c r="BI50" s="287" t="s">
        <v>10564</v>
      </c>
      <c r="BJ50" s="287" t="s">
        <v>10565</v>
      </c>
      <c r="BK50" s="287" t="s">
        <v>10566</v>
      </c>
      <c r="BL50" s="287" t="s">
        <v>10567</v>
      </c>
      <c r="BM50" s="287" t="s">
        <v>10568</v>
      </c>
      <c r="BN50" s="287" t="s">
        <v>10569</v>
      </c>
      <c r="BO50" s="287" t="s">
        <v>10570</v>
      </c>
      <c r="BP50" s="288" t="s">
        <v>10571</v>
      </c>
      <c r="BQ50" s="287" t="s">
        <v>10572</v>
      </c>
      <c r="BR50" s="287" t="s">
        <v>10573</v>
      </c>
      <c r="BS50" s="287" t="s">
        <v>10574</v>
      </c>
      <c r="BT50" s="287" t="s">
        <v>10575</v>
      </c>
      <c r="BU50" s="287" t="s">
        <v>10576</v>
      </c>
      <c r="BV50" s="287" t="s">
        <v>10577</v>
      </c>
      <c r="BW50" s="287" t="s">
        <v>10578</v>
      </c>
      <c r="BX50" s="287" t="s">
        <v>10579</v>
      </c>
      <c r="BY50" s="288" t="s">
        <v>10580</v>
      </c>
      <c r="BZ50" s="744"/>
      <c r="CA50" s="744"/>
      <c r="CB50" s="745"/>
    </row>
    <row r="51" spans="1:80" s="267" customFormat="1" ht="15.75" customHeight="1">
      <c r="A51" s="272"/>
      <c r="B51" s="792" t="s">
        <v>10561</v>
      </c>
      <c r="C51" s="2357" t="s">
        <v>9223</v>
      </c>
      <c r="D51" s="325" t="s">
        <v>4215</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5"/>
      <c r="Y51" s="2385"/>
      <c r="Z51" s="2386"/>
      <c r="AA51" s="349"/>
      <c r="AB51" s="803" t="s">
        <v>10581</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10561</v>
      </c>
      <c r="BG51" s="354" t="s">
        <v>9223</v>
      </c>
      <c r="BH51" s="287" t="s">
        <v>10582</v>
      </c>
      <c r="BI51" s="287" t="s">
        <v>10583</v>
      </c>
      <c r="BJ51" s="287" t="s">
        <v>10584</v>
      </c>
      <c r="BK51" s="287" t="s">
        <v>10585</v>
      </c>
      <c r="BL51" s="287" t="s">
        <v>10586</v>
      </c>
      <c r="BM51" s="287" t="s">
        <v>10587</v>
      </c>
      <c r="BN51" s="287" t="s">
        <v>10588</v>
      </c>
      <c r="BO51" s="287" t="s">
        <v>10589</v>
      </c>
      <c r="BP51" s="288" t="s">
        <v>10590</v>
      </c>
      <c r="BQ51" s="287" t="s">
        <v>10591</v>
      </c>
      <c r="BR51" s="287" t="s">
        <v>10592</v>
      </c>
      <c r="BS51" s="287" t="s">
        <v>10593</v>
      </c>
      <c r="BT51" s="287" t="s">
        <v>10594</v>
      </c>
      <c r="BU51" s="287" t="s">
        <v>10595</v>
      </c>
      <c r="BV51" s="287" t="s">
        <v>10596</v>
      </c>
      <c r="BW51" s="287" t="s">
        <v>10597</v>
      </c>
      <c r="BX51" s="287" t="s">
        <v>10598</v>
      </c>
      <c r="BY51" s="288" t="s">
        <v>10599</v>
      </c>
      <c r="BZ51" s="744"/>
      <c r="CA51" s="744"/>
      <c r="CB51" s="745"/>
    </row>
    <row r="52" spans="1:80" s="267" customFormat="1" ht="15.75" customHeight="1">
      <c r="A52" s="272"/>
      <c r="B52" s="792" t="s">
        <v>10561</v>
      </c>
      <c r="C52" s="2357" t="s">
        <v>9231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10600</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10561</v>
      </c>
      <c r="BG52" s="354" t="s">
        <v>9231</v>
      </c>
      <c r="BH52" s="288" t="s">
        <v>10601</v>
      </c>
      <c r="BI52" s="288" t="s">
        <v>10602</v>
      </c>
      <c r="BJ52" s="288" t="s">
        <v>10603</v>
      </c>
      <c r="BK52" s="288" t="s">
        <v>10604</v>
      </c>
      <c r="BL52" s="288" t="s">
        <v>10605</v>
      </c>
      <c r="BM52" s="288" t="s">
        <v>10606</v>
      </c>
      <c r="BN52" s="288" t="s">
        <v>10607</v>
      </c>
      <c r="BO52" s="288" t="s">
        <v>10608</v>
      </c>
      <c r="BP52" s="288" t="s">
        <v>10609</v>
      </c>
      <c r="BQ52" s="288" t="s">
        <v>10610</v>
      </c>
      <c r="BR52" s="288" t="s">
        <v>10611</v>
      </c>
      <c r="BS52" s="288" t="s">
        <v>10612</v>
      </c>
      <c r="BT52" s="288" t="s">
        <v>10613</v>
      </c>
      <c r="BU52" s="288" t="s">
        <v>10614</v>
      </c>
      <c r="BV52" s="288" t="s">
        <v>10615</v>
      </c>
      <c r="BW52" s="288" t="s">
        <v>10616</v>
      </c>
      <c r="BX52" s="288" t="s">
        <v>10617</v>
      </c>
      <c r="BY52" s="288" t="s">
        <v>10618</v>
      </c>
      <c r="BZ52" s="740" t="s">
        <v>10619</v>
      </c>
      <c r="CA52" s="740" t="s">
        <v>10620</v>
      </c>
      <c r="CB52" s="1117" t="s">
        <v>10621</v>
      </c>
    </row>
    <row r="53" spans="1:80" s="267" customFormat="1" ht="15.75" customHeight="1">
      <c r="A53" s="272"/>
      <c r="B53" s="792" t="s">
        <v>9343</v>
      </c>
      <c r="C53" s="2357" t="s">
        <v>9215</v>
      </c>
      <c r="D53" s="325" t="s">
        <v>4215</v>
      </c>
      <c r="E53" s="325">
        <v>3</v>
      </c>
      <c r="F53" s="751">
        <v>2.2559999999999998</v>
      </c>
      <c r="G53" s="751">
        <v>0.92500000000000004</v>
      </c>
      <c r="H53" s="751">
        <v>0.51800000000000002</v>
      </c>
      <c r="I53" s="751">
        <v>0.36799999999999999</v>
      </c>
      <c r="J53" s="751">
        <v>0</v>
      </c>
      <c r="K53" s="751">
        <v>0</v>
      </c>
      <c r="L53" s="751">
        <v>0</v>
      </c>
      <c r="M53" s="751">
        <v>0</v>
      </c>
      <c r="N53" s="312">
        <f t="shared" si="7"/>
        <v>4.0670000000000002</v>
      </c>
      <c r="O53" s="2384"/>
      <c r="P53" s="2384"/>
      <c r="Q53" s="2384"/>
      <c r="R53" s="2384"/>
      <c r="S53" s="2384"/>
      <c r="T53" s="2384"/>
      <c r="U53" s="2384"/>
      <c r="V53" s="2384"/>
      <c r="W53" s="2384"/>
      <c r="X53" s="2385"/>
      <c r="Y53" s="2385"/>
      <c r="Z53" s="2386"/>
      <c r="AA53" s="349"/>
      <c r="AB53" s="803" t="s">
        <v>10622</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9343</v>
      </c>
      <c r="BG53" s="354" t="s">
        <v>9215</v>
      </c>
      <c r="BH53" s="287" t="s">
        <v>10623</v>
      </c>
      <c r="BI53" s="287" t="s">
        <v>10624</v>
      </c>
      <c r="BJ53" s="287" t="s">
        <v>10625</v>
      </c>
      <c r="BK53" s="287" t="s">
        <v>10626</v>
      </c>
      <c r="BL53" s="287" t="s">
        <v>10627</v>
      </c>
      <c r="BM53" s="287" t="s">
        <v>10628</v>
      </c>
      <c r="BN53" s="287" t="s">
        <v>10629</v>
      </c>
      <c r="BO53" s="287" t="s">
        <v>10630</v>
      </c>
      <c r="BP53" s="288" t="s">
        <v>10631</v>
      </c>
      <c r="BQ53" s="399"/>
      <c r="BR53" s="399"/>
      <c r="BS53" s="399"/>
      <c r="BT53" s="399"/>
      <c r="BU53" s="399"/>
      <c r="BV53" s="399"/>
      <c r="BW53" s="399"/>
      <c r="BX53" s="399"/>
      <c r="BY53" s="399"/>
      <c r="BZ53" s="744"/>
      <c r="CA53" s="744"/>
      <c r="CB53" s="745"/>
    </row>
    <row r="54" spans="1:80" s="267" customFormat="1" ht="15.75" customHeight="1">
      <c r="A54" s="272"/>
      <c r="B54" s="792" t="s">
        <v>9343</v>
      </c>
      <c r="C54" s="2357" t="s">
        <v>9223</v>
      </c>
      <c r="D54" s="325" t="s">
        <v>4215</v>
      </c>
      <c r="E54" s="325">
        <v>3</v>
      </c>
      <c r="F54" s="751">
        <v>0</v>
      </c>
      <c r="G54" s="751">
        <v>0</v>
      </c>
      <c r="H54" s="751">
        <v>0</v>
      </c>
      <c r="I54" s="751">
        <v>0</v>
      </c>
      <c r="J54" s="751">
        <v>0</v>
      </c>
      <c r="K54" s="751">
        <v>0</v>
      </c>
      <c r="L54" s="751">
        <v>0</v>
      </c>
      <c r="M54" s="751">
        <v>0</v>
      </c>
      <c r="N54" s="312">
        <f t="shared" si="7"/>
        <v>0</v>
      </c>
      <c r="O54" s="2384"/>
      <c r="P54" s="2384"/>
      <c r="Q54" s="2384"/>
      <c r="R54" s="2384"/>
      <c r="S54" s="2384"/>
      <c r="T54" s="2384"/>
      <c r="U54" s="2384"/>
      <c r="V54" s="2384"/>
      <c r="W54" s="2384"/>
      <c r="X54" s="2385"/>
      <c r="Y54" s="2385"/>
      <c r="Z54" s="2386"/>
      <c r="AA54" s="349"/>
      <c r="AB54" s="803" t="s">
        <v>10632</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9343</v>
      </c>
      <c r="BG54" s="354" t="s">
        <v>9223</v>
      </c>
      <c r="BH54" s="287" t="s">
        <v>10633</v>
      </c>
      <c r="BI54" s="287" t="s">
        <v>10634</v>
      </c>
      <c r="BJ54" s="287" t="s">
        <v>10635</v>
      </c>
      <c r="BK54" s="287" t="s">
        <v>10636</v>
      </c>
      <c r="BL54" s="287" t="s">
        <v>10637</v>
      </c>
      <c r="BM54" s="287" t="s">
        <v>10638</v>
      </c>
      <c r="BN54" s="287" t="s">
        <v>10639</v>
      </c>
      <c r="BO54" s="287" t="s">
        <v>10640</v>
      </c>
      <c r="BP54" s="288" t="s">
        <v>10641</v>
      </c>
      <c r="BQ54" s="399"/>
      <c r="BR54" s="399"/>
      <c r="BS54" s="399"/>
      <c r="BT54" s="399"/>
      <c r="BU54" s="399"/>
      <c r="BV54" s="399"/>
      <c r="BW54" s="399"/>
      <c r="BX54" s="399"/>
      <c r="BY54" s="399"/>
      <c r="BZ54" s="744"/>
      <c r="CA54" s="744"/>
      <c r="CB54" s="745"/>
    </row>
    <row r="55" spans="1:80" s="267" customFormat="1" ht="15.75" customHeight="1">
      <c r="A55" s="272"/>
      <c r="B55" s="792" t="s">
        <v>9343</v>
      </c>
      <c r="C55" s="2357" t="s">
        <v>9231</v>
      </c>
      <c r="D55" s="325" t="s">
        <v>4215</v>
      </c>
      <c r="E55" s="325">
        <v>3</v>
      </c>
      <c r="F55" s="312">
        <f>IFERROR(SUM(F53:F54), 0)</f>
        <v>2.2559999999999998</v>
      </c>
      <c r="G55" s="312">
        <f t="shared" ref="G55:M55" si="246">IFERROR(SUM(G53:G54), 0)</f>
        <v>0.92500000000000004</v>
      </c>
      <c r="H55" s="312">
        <f t="shared" si="246"/>
        <v>0.51800000000000002</v>
      </c>
      <c r="I55" s="312">
        <f t="shared" si="246"/>
        <v>0.36799999999999999</v>
      </c>
      <c r="J55" s="312">
        <f t="shared" si="246"/>
        <v>0</v>
      </c>
      <c r="K55" s="312">
        <f t="shared" si="246"/>
        <v>0</v>
      </c>
      <c r="L55" s="312">
        <f t="shared" si="246"/>
        <v>0</v>
      </c>
      <c r="M55" s="312">
        <f t="shared" si="246"/>
        <v>0</v>
      </c>
      <c r="N55" s="312">
        <f t="shared" si="7"/>
        <v>4.0670000000000002</v>
      </c>
      <c r="O55" s="2384"/>
      <c r="P55" s="2384"/>
      <c r="Q55" s="2384"/>
      <c r="R55" s="2384"/>
      <c r="S55" s="2384"/>
      <c r="T55" s="2384"/>
      <c r="U55" s="2384"/>
      <c r="V55" s="2384"/>
      <c r="W55" s="2384"/>
      <c r="X55" s="751">
        <v>11.077</v>
      </c>
      <c r="Y55" s="751">
        <v>4.54</v>
      </c>
      <c r="Z55" s="796">
        <v>7.0759999999999996</v>
      </c>
      <c r="AA55" s="349"/>
      <c r="AB55" s="803" t="s">
        <v>10642</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9343</v>
      </c>
      <c r="BG55" s="354" t="s">
        <v>9231</v>
      </c>
      <c r="BH55" s="288" t="s">
        <v>10643</v>
      </c>
      <c r="BI55" s="288" t="s">
        <v>10644</v>
      </c>
      <c r="BJ55" s="288" t="s">
        <v>10645</v>
      </c>
      <c r="BK55" s="288" t="s">
        <v>10646</v>
      </c>
      <c r="BL55" s="288" t="s">
        <v>10647</v>
      </c>
      <c r="BM55" s="288" t="s">
        <v>10648</v>
      </c>
      <c r="BN55" s="288" t="s">
        <v>10649</v>
      </c>
      <c r="BO55" s="288" t="s">
        <v>10650</v>
      </c>
      <c r="BP55" s="288" t="s">
        <v>10651</v>
      </c>
      <c r="BQ55" s="399"/>
      <c r="BR55" s="399"/>
      <c r="BS55" s="399"/>
      <c r="BT55" s="399"/>
      <c r="BU55" s="399"/>
      <c r="BV55" s="399"/>
      <c r="BW55" s="399"/>
      <c r="BX55" s="399"/>
      <c r="BY55" s="399"/>
      <c r="BZ55" s="740" t="s">
        <v>10652</v>
      </c>
      <c r="CA55" s="740" t="s">
        <v>10653</v>
      </c>
      <c r="CB55" s="1117" t="s">
        <v>10654</v>
      </c>
    </row>
    <row r="56" spans="1:80" s="267" customFormat="1" ht="30.6" thickBot="1">
      <c r="A56" s="272"/>
      <c r="B56" s="453" t="s">
        <v>9368</v>
      </c>
      <c r="C56" s="2355" t="s">
        <v>9231</v>
      </c>
      <c r="D56" s="332" t="s">
        <v>4215</v>
      </c>
      <c r="E56" s="332">
        <v>3</v>
      </c>
      <c r="F56" s="314">
        <f t="shared" ref="F56:M56" si="250">IFERROR(SUM(F12,F15,F18,F21,F24,F27,F34,F37,F40,F43,F46,F49,F52,F55), 0)</f>
        <v>5.1790000000000003</v>
      </c>
      <c r="G56" s="314">
        <f t="shared" si="250"/>
        <v>2.1239999999999997</v>
      </c>
      <c r="H56" s="314">
        <f t="shared" si="250"/>
        <v>1.1890000000000001</v>
      </c>
      <c r="I56" s="314">
        <f t="shared" si="250"/>
        <v>36.596000000000004</v>
      </c>
      <c r="J56" s="314">
        <f t="shared" si="250"/>
        <v>0</v>
      </c>
      <c r="K56" s="314">
        <f t="shared" si="250"/>
        <v>0</v>
      </c>
      <c r="L56" s="314">
        <f t="shared" si="250"/>
        <v>0</v>
      </c>
      <c r="M56" s="314">
        <f t="shared" si="250"/>
        <v>0</v>
      </c>
      <c r="N56" s="314">
        <f>IFERROR(SUM(F56:M56), 0)</f>
        <v>45.088000000000008</v>
      </c>
      <c r="O56" s="2391"/>
      <c r="P56" s="2391"/>
      <c r="Q56" s="2391"/>
      <c r="R56" s="2391"/>
      <c r="S56" s="2391"/>
      <c r="T56" s="2391"/>
      <c r="U56" s="2391"/>
      <c r="V56" s="2391"/>
      <c r="W56" s="2391"/>
      <c r="X56" s="314">
        <f>IFERROR(SUM(X12,X15,X18,X21,X24,X34,X37,X40,X43,X46,X49,X52,X55), 0)</f>
        <v>100.49300000000001</v>
      </c>
      <c r="Y56" s="314">
        <f>IFERROR(SUM(Y12,Y15,Y18,Y21,Y24,Y34,Y37,Y40,Y43,Y46,Y49,Y52,Y55), 0)</f>
        <v>148.334</v>
      </c>
      <c r="Z56" s="315">
        <f>IFERROR(SUM(Z12,Z15,Z18,Z21,Z24,Z34,Z37,Z40,Z43,Z46,Z49,Z52,Z55), 0)</f>
        <v>231.21699999999998</v>
      </c>
      <c r="AA56" s="349"/>
      <c r="AB56" s="813" t="s">
        <v>10655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9368</v>
      </c>
      <c r="BG56" s="1081" t="s">
        <v>9231</v>
      </c>
      <c r="BH56" s="298" t="s">
        <v>10656</v>
      </c>
      <c r="BI56" s="298" t="s">
        <v>10657</v>
      </c>
      <c r="BJ56" s="298" t="s">
        <v>10658</v>
      </c>
      <c r="BK56" s="298" t="s">
        <v>10659</v>
      </c>
      <c r="BL56" s="298" t="s">
        <v>10660</v>
      </c>
      <c r="BM56" s="298" t="s">
        <v>10661</v>
      </c>
      <c r="BN56" s="298" t="s">
        <v>10662</v>
      </c>
      <c r="BO56" s="298" t="s">
        <v>10663</v>
      </c>
      <c r="BP56" s="298" t="s">
        <v>10664</v>
      </c>
      <c r="BQ56" s="408"/>
      <c r="BR56" s="408"/>
      <c r="BS56" s="408"/>
      <c r="BT56" s="408"/>
      <c r="BU56" s="408"/>
      <c r="BV56" s="408"/>
      <c r="BW56" s="408"/>
      <c r="BX56" s="408"/>
      <c r="BY56" s="408"/>
      <c r="BZ56" s="298" t="s">
        <v>10665</v>
      </c>
      <c r="CA56" s="298" t="s">
        <v>10666</v>
      </c>
      <c r="CB56" s="299" t="s">
        <v>10667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9627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9627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10668</v>
      </c>
      <c r="C59" s="2356" t="s">
        <v>9215</v>
      </c>
      <c r="D59" s="318" t="s">
        <v>4215</v>
      </c>
      <c r="E59" s="318">
        <v>3</v>
      </c>
      <c r="F59" s="748">
        <v>0</v>
      </c>
      <c r="G59" s="748">
        <v>0</v>
      </c>
      <c r="H59" s="748">
        <v>0</v>
      </c>
      <c r="I59" s="748">
        <v>5.09</v>
      </c>
      <c r="J59" s="748">
        <v>0</v>
      </c>
      <c r="K59" s="748">
        <v>0</v>
      </c>
      <c r="L59" s="748">
        <v>0</v>
      </c>
      <c r="M59" s="748">
        <v>0</v>
      </c>
      <c r="N59" s="2380">
        <f>IFERROR(SUM(F59:M59), 0)</f>
        <v>5.09</v>
      </c>
      <c r="O59" s="748">
        <v>0</v>
      </c>
      <c r="P59" s="748">
        <v>0</v>
      </c>
      <c r="Q59" s="748">
        <v>0</v>
      </c>
      <c r="R59" s="748">
        <v>3.9039999999999999</v>
      </c>
      <c r="S59" s="748">
        <v>0</v>
      </c>
      <c r="T59" s="748">
        <v>0</v>
      </c>
      <c r="U59" s="748">
        <v>0</v>
      </c>
      <c r="V59" s="748">
        <v>0</v>
      </c>
      <c r="W59" s="2380">
        <f t="shared" ref="W59:W66" si="251">IFERROR(SUM(O59:V59), 0)</f>
        <v>3.9039999999999999</v>
      </c>
      <c r="X59" s="2382"/>
      <c r="Y59" s="2382"/>
      <c r="Z59" s="2383"/>
      <c r="AA59" s="859"/>
      <c r="AB59" s="791" t="s">
        <v>10669</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10668</v>
      </c>
      <c r="BG59" s="1063" t="s">
        <v>9215</v>
      </c>
      <c r="BH59" s="278" t="s">
        <v>10670</v>
      </c>
      <c r="BI59" s="278" t="s">
        <v>10671</v>
      </c>
      <c r="BJ59" s="278" t="s">
        <v>10672</v>
      </c>
      <c r="BK59" s="278" t="s">
        <v>10673</v>
      </c>
      <c r="BL59" s="278" t="s">
        <v>10674</v>
      </c>
      <c r="BM59" s="278" t="s">
        <v>10675</v>
      </c>
      <c r="BN59" s="278" t="s">
        <v>10676</v>
      </c>
      <c r="BO59" s="278" t="s">
        <v>10677</v>
      </c>
      <c r="BP59" s="279" t="s">
        <v>10678</v>
      </c>
      <c r="BQ59" s="278" t="s">
        <v>10679</v>
      </c>
      <c r="BR59" s="278" t="s">
        <v>10680</v>
      </c>
      <c r="BS59" s="278" t="s">
        <v>10681</v>
      </c>
      <c r="BT59" s="278" t="s">
        <v>10682</v>
      </c>
      <c r="BU59" s="278" t="s">
        <v>10683</v>
      </c>
      <c r="BV59" s="278" t="s">
        <v>10684</v>
      </c>
      <c r="BW59" s="278" t="s">
        <v>10685</v>
      </c>
      <c r="BX59" s="278" t="s">
        <v>10686</v>
      </c>
      <c r="BY59" s="279" t="s">
        <v>10687</v>
      </c>
      <c r="BZ59" s="667"/>
      <c r="CA59" s="667"/>
      <c r="CB59" s="743"/>
    </row>
    <row r="60" spans="1:80" ht="33" customHeight="1">
      <c r="A60" s="197"/>
      <c r="B60" s="792" t="s">
        <v>10668</v>
      </c>
      <c r="C60" s="2357" t="s">
        <v>9223</v>
      </c>
      <c r="D60" s="325" t="s">
        <v>4215</v>
      </c>
      <c r="E60" s="325">
        <v>3</v>
      </c>
      <c r="F60" s="751">
        <v>0</v>
      </c>
      <c r="G60" s="751">
        <v>0</v>
      </c>
      <c r="H60" s="751">
        <v>0</v>
      </c>
      <c r="I60" s="751">
        <v>1.7000000000000001E-2</v>
      </c>
      <c r="J60" s="751">
        <v>0</v>
      </c>
      <c r="K60" s="751">
        <v>0</v>
      </c>
      <c r="L60" s="751">
        <v>0</v>
      </c>
      <c r="M60" s="751">
        <v>0</v>
      </c>
      <c r="N60" s="312">
        <f t="shared" ref="N60:N96" si="267">IFERROR(SUM(F60:M60), 0)</f>
        <v>1.7000000000000001E-2</v>
      </c>
      <c r="O60" s="751">
        <v>0</v>
      </c>
      <c r="P60" s="751">
        <v>0</v>
      </c>
      <c r="Q60" s="751">
        <v>0</v>
      </c>
      <c r="R60" s="751">
        <v>0.30599999999999999</v>
      </c>
      <c r="S60" s="751">
        <v>0</v>
      </c>
      <c r="T60" s="751">
        <v>0</v>
      </c>
      <c r="U60" s="751">
        <v>0</v>
      </c>
      <c r="V60" s="751">
        <v>0</v>
      </c>
      <c r="W60" s="312">
        <f t="shared" si="251"/>
        <v>0.30599999999999999</v>
      </c>
      <c r="X60" s="2385"/>
      <c r="Y60" s="2385"/>
      <c r="Z60" s="2386"/>
      <c r="AA60" s="859"/>
      <c r="AB60" s="795" t="s">
        <v>10688</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10668</v>
      </c>
      <c r="BG60" s="354" t="s">
        <v>9223</v>
      </c>
      <c r="BH60" s="287" t="s">
        <v>10689</v>
      </c>
      <c r="BI60" s="287" t="s">
        <v>10690</v>
      </c>
      <c r="BJ60" s="287" t="s">
        <v>10691</v>
      </c>
      <c r="BK60" s="287" t="s">
        <v>10692</v>
      </c>
      <c r="BL60" s="287" t="s">
        <v>10693</v>
      </c>
      <c r="BM60" s="287" t="s">
        <v>10694</v>
      </c>
      <c r="BN60" s="287" t="s">
        <v>10695</v>
      </c>
      <c r="BO60" s="287" t="s">
        <v>10696</v>
      </c>
      <c r="BP60" s="288" t="s">
        <v>10697</v>
      </c>
      <c r="BQ60" s="287" t="s">
        <v>10698</v>
      </c>
      <c r="BR60" s="287" t="s">
        <v>10699</v>
      </c>
      <c r="BS60" s="287" t="s">
        <v>10700</v>
      </c>
      <c r="BT60" s="287" t="s">
        <v>10701</v>
      </c>
      <c r="BU60" s="287" t="s">
        <v>10702</v>
      </c>
      <c r="BV60" s="287" t="s">
        <v>10703</v>
      </c>
      <c r="BW60" s="287" t="s">
        <v>10704</v>
      </c>
      <c r="BX60" s="287" t="s">
        <v>10705</v>
      </c>
      <c r="BY60" s="288" t="s">
        <v>10706</v>
      </c>
      <c r="BZ60" s="744"/>
      <c r="CA60" s="744"/>
      <c r="CB60" s="745"/>
    </row>
    <row r="61" spans="1:80" ht="33" customHeight="1">
      <c r="A61" s="197"/>
      <c r="B61" s="792" t="s">
        <v>10668</v>
      </c>
      <c r="C61" s="2357" t="s">
        <v>9231</v>
      </c>
      <c r="D61" s="325" t="s">
        <v>4215</v>
      </c>
      <c r="E61" s="325">
        <v>3</v>
      </c>
      <c r="F61" s="312">
        <f>IFERROR(SUM(F59:F60), 0)</f>
        <v>0</v>
      </c>
      <c r="G61" s="312">
        <f t="shared" ref="G61:M61" si="270">IFERROR(SUM(G59:G60), 0)</f>
        <v>0</v>
      </c>
      <c r="H61" s="312">
        <f t="shared" si="270"/>
        <v>0</v>
      </c>
      <c r="I61" s="312">
        <f t="shared" si="270"/>
        <v>5.1070000000000002</v>
      </c>
      <c r="J61" s="312">
        <f t="shared" si="270"/>
        <v>0</v>
      </c>
      <c r="K61" s="312">
        <f t="shared" si="270"/>
        <v>0</v>
      </c>
      <c r="L61" s="312">
        <f t="shared" si="270"/>
        <v>0</v>
      </c>
      <c r="M61" s="312">
        <f t="shared" si="270"/>
        <v>0</v>
      </c>
      <c r="N61" s="312">
        <f>IFERROR(SUM(F61:M61), 0)</f>
        <v>5.1070000000000002</v>
      </c>
      <c r="O61" s="312">
        <f>IFERROR(SUM(O59:O60), 0)</f>
        <v>0</v>
      </c>
      <c r="P61" s="312">
        <f t="shared" ref="P61:V61" si="271">IFERROR(SUM(P59:P60), 0)</f>
        <v>0</v>
      </c>
      <c r="Q61" s="312">
        <f t="shared" si="271"/>
        <v>0</v>
      </c>
      <c r="R61" s="312">
        <f t="shared" si="271"/>
        <v>4.21</v>
      </c>
      <c r="S61" s="312">
        <f t="shared" si="271"/>
        <v>0</v>
      </c>
      <c r="T61" s="312">
        <f t="shared" si="271"/>
        <v>0</v>
      </c>
      <c r="U61" s="312">
        <f t="shared" si="271"/>
        <v>0</v>
      </c>
      <c r="V61" s="312">
        <f t="shared" si="271"/>
        <v>0</v>
      </c>
      <c r="W61" s="312">
        <f t="shared" si="251"/>
        <v>4.21</v>
      </c>
      <c r="X61" s="2385"/>
      <c r="Y61" s="2385"/>
      <c r="Z61" s="2386"/>
      <c r="AA61" s="349"/>
      <c r="AB61" s="795" t="s">
        <v>10707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10668</v>
      </c>
      <c r="BG61" s="354" t="s">
        <v>9231</v>
      </c>
      <c r="BH61" s="288" t="s">
        <v>10708</v>
      </c>
      <c r="BI61" s="288" t="s">
        <v>10709</v>
      </c>
      <c r="BJ61" s="288" t="s">
        <v>10710</v>
      </c>
      <c r="BK61" s="288" t="s">
        <v>10711</v>
      </c>
      <c r="BL61" s="288" t="s">
        <v>10712</v>
      </c>
      <c r="BM61" s="288" t="s">
        <v>10713</v>
      </c>
      <c r="BN61" s="288" t="s">
        <v>10714</v>
      </c>
      <c r="BO61" s="288" t="s">
        <v>10715</v>
      </c>
      <c r="BP61" s="288" t="s">
        <v>10716</v>
      </c>
      <c r="BQ61" s="288" t="s">
        <v>10717</v>
      </c>
      <c r="BR61" s="288" t="s">
        <v>10718</v>
      </c>
      <c r="BS61" s="288" t="s">
        <v>10719</v>
      </c>
      <c r="BT61" s="288" t="s">
        <v>10720</v>
      </c>
      <c r="BU61" s="288" t="s">
        <v>10721</v>
      </c>
      <c r="BV61" s="288" t="s">
        <v>10722</v>
      </c>
      <c r="BW61" s="288" t="s">
        <v>10723</v>
      </c>
      <c r="BX61" s="288" t="s">
        <v>10724</v>
      </c>
      <c r="BY61" s="288" t="s">
        <v>10725</v>
      </c>
      <c r="BZ61" s="744"/>
      <c r="CA61" s="744"/>
      <c r="CB61" s="745"/>
    </row>
    <row r="62" spans="1:80" ht="15.75" customHeight="1">
      <c r="A62" s="197"/>
      <c r="B62" s="792" t="s">
        <v>10726</v>
      </c>
      <c r="C62" s="2357" t="s">
        <v>9215</v>
      </c>
      <c r="D62" s="325" t="s">
        <v>4215</v>
      </c>
      <c r="E62" s="325">
        <v>3</v>
      </c>
      <c r="F62" s="751">
        <v>4.2489999999999997</v>
      </c>
      <c r="G62" s="751">
        <v>1.7410000000000001</v>
      </c>
      <c r="H62" s="751">
        <v>0.97499999999999998</v>
      </c>
      <c r="I62" s="751">
        <v>0</v>
      </c>
      <c r="J62" s="751">
        <v>0</v>
      </c>
      <c r="K62" s="751">
        <v>0</v>
      </c>
      <c r="L62" s="751">
        <v>0</v>
      </c>
      <c r="M62" s="751">
        <v>0</v>
      </c>
      <c r="N62" s="312">
        <f t="shared" si="267"/>
        <v>6.9649999999999999</v>
      </c>
      <c r="O62" s="751">
        <v>7.798</v>
      </c>
      <c r="P62" s="751">
        <v>3.1960000000000002</v>
      </c>
      <c r="Q62" s="751">
        <v>1.79</v>
      </c>
      <c r="R62" s="751">
        <v>0</v>
      </c>
      <c r="S62" s="751">
        <v>0</v>
      </c>
      <c r="T62" s="751">
        <v>0</v>
      </c>
      <c r="U62" s="751">
        <v>0</v>
      </c>
      <c r="V62" s="751">
        <v>0</v>
      </c>
      <c r="W62" s="312">
        <f t="shared" si="251"/>
        <v>12.783999999999999</v>
      </c>
      <c r="X62" s="2385"/>
      <c r="Y62" s="2385"/>
      <c r="Z62" s="2386"/>
      <c r="AA62" s="349"/>
      <c r="AB62" s="795" t="s">
        <v>10727</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10726</v>
      </c>
      <c r="BG62" s="354" t="s">
        <v>9215</v>
      </c>
      <c r="BH62" s="287" t="s">
        <v>10728</v>
      </c>
      <c r="BI62" s="287" t="s">
        <v>10729</v>
      </c>
      <c r="BJ62" s="287" t="s">
        <v>10730</v>
      </c>
      <c r="BK62" s="287" t="s">
        <v>10731</v>
      </c>
      <c r="BL62" s="287" t="s">
        <v>10732</v>
      </c>
      <c r="BM62" s="287" t="s">
        <v>10733</v>
      </c>
      <c r="BN62" s="287" t="s">
        <v>10734</v>
      </c>
      <c r="BO62" s="287" t="s">
        <v>10735</v>
      </c>
      <c r="BP62" s="288" t="s">
        <v>10736</v>
      </c>
      <c r="BQ62" s="287" t="s">
        <v>10737</v>
      </c>
      <c r="BR62" s="287" t="s">
        <v>10738</v>
      </c>
      <c r="BS62" s="287" t="s">
        <v>10739</v>
      </c>
      <c r="BT62" s="287" t="s">
        <v>10740</v>
      </c>
      <c r="BU62" s="287" t="s">
        <v>10741</v>
      </c>
      <c r="BV62" s="287" t="s">
        <v>10742</v>
      </c>
      <c r="BW62" s="287" t="s">
        <v>10743</v>
      </c>
      <c r="BX62" s="287" t="s">
        <v>10744</v>
      </c>
      <c r="BY62" s="288" t="s">
        <v>10745</v>
      </c>
      <c r="BZ62" s="744"/>
      <c r="CA62" s="744"/>
      <c r="CB62" s="745"/>
    </row>
    <row r="63" spans="1:80" ht="15.75" customHeight="1">
      <c r="A63" s="197"/>
      <c r="B63" s="792" t="s">
        <v>10726</v>
      </c>
      <c r="C63" s="2357" t="s">
        <v>9223</v>
      </c>
      <c r="D63" s="325" t="s">
        <v>4215</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5"/>
      <c r="Y63" s="2385"/>
      <c r="Z63" s="2386"/>
      <c r="AA63" s="349"/>
      <c r="AB63" s="795" t="s">
        <v>10746</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10726</v>
      </c>
      <c r="BG63" s="354" t="s">
        <v>9223</v>
      </c>
      <c r="BH63" s="287" t="s">
        <v>10747</v>
      </c>
      <c r="BI63" s="287" t="s">
        <v>10748</v>
      </c>
      <c r="BJ63" s="287" t="s">
        <v>10749</v>
      </c>
      <c r="BK63" s="287" t="s">
        <v>10750</v>
      </c>
      <c r="BL63" s="287" t="s">
        <v>10751</v>
      </c>
      <c r="BM63" s="287" t="s">
        <v>10752</v>
      </c>
      <c r="BN63" s="287" t="s">
        <v>10753</v>
      </c>
      <c r="BO63" s="287" t="s">
        <v>10754</v>
      </c>
      <c r="BP63" s="288" t="s">
        <v>10755</v>
      </c>
      <c r="BQ63" s="287" t="s">
        <v>10756</v>
      </c>
      <c r="BR63" s="287" t="s">
        <v>10757</v>
      </c>
      <c r="BS63" s="287" t="s">
        <v>10758</v>
      </c>
      <c r="BT63" s="287" t="s">
        <v>10759</v>
      </c>
      <c r="BU63" s="287" t="s">
        <v>10760</v>
      </c>
      <c r="BV63" s="287" t="s">
        <v>10761</v>
      </c>
      <c r="BW63" s="287" t="s">
        <v>10762</v>
      </c>
      <c r="BX63" s="287" t="s">
        <v>10763</v>
      </c>
      <c r="BY63" s="288" t="s">
        <v>10764</v>
      </c>
      <c r="BZ63" s="744"/>
      <c r="CA63" s="744"/>
      <c r="CB63" s="745"/>
    </row>
    <row r="64" spans="1:80" ht="15.75" customHeight="1">
      <c r="A64" s="197"/>
      <c r="B64" s="792" t="s">
        <v>10726</v>
      </c>
      <c r="C64" s="2357" t="s">
        <v>9231</v>
      </c>
      <c r="D64" s="325" t="s">
        <v>4215</v>
      </c>
      <c r="E64" s="325">
        <v>3</v>
      </c>
      <c r="F64" s="312">
        <f>IFERROR(SUM(F62:F63), 0)</f>
        <v>4.2489999999999997</v>
      </c>
      <c r="G64" s="312">
        <f t="shared" ref="G64:M64" si="289">IFERROR(SUM(G62:G63), 0)</f>
        <v>1.7410000000000001</v>
      </c>
      <c r="H64" s="312">
        <f t="shared" si="289"/>
        <v>0.97499999999999998</v>
      </c>
      <c r="I64" s="312">
        <f t="shared" si="289"/>
        <v>0</v>
      </c>
      <c r="J64" s="312">
        <f t="shared" si="289"/>
        <v>0</v>
      </c>
      <c r="K64" s="312">
        <f t="shared" si="289"/>
        <v>0</v>
      </c>
      <c r="L64" s="312">
        <f t="shared" si="289"/>
        <v>0</v>
      </c>
      <c r="M64" s="312">
        <f t="shared" si="289"/>
        <v>0</v>
      </c>
      <c r="N64" s="312">
        <f t="shared" si="267"/>
        <v>6.9649999999999999</v>
      </c>
      <c r="O64" s="312">
        <f>IFERROR(SUM(O62:O63), 0)</f>
        <v>7.798</v>
      </c>
      <c r="P64" s="312">
        <f t="shared" ref="P64:V64" si="290">IFERROR(SUM(P62:P63), 0)</f>
        <v>3.1960000000000002</v>
      </c>
      <c r="Q64" s="312">
        <f t="shared" si="290"/>
        <v>1.79</v>
      </c>
      <c r="R64" s="312">
        <f t="shared" si="290"/>
        <v>0</v>
      </c>
      <c r="S64" s="312">
        <f t="shared" si="290"/>
        <v>0</v>
      </c>
      <c r="T64" s="312">
        <f t="shared" si="290"/>
        <v>0</v>
      </c>
      <c r="U64" s="312">
        <f t="shared" si="290"/>
        <v>0</v>
      </c>
      <c r="V64" s="312">
        <f t="shared" si="290"/>
        <v>0</v>
      </c>
      <c r="W64" s="312">
        <f t="shared" si="251"/>
        <v>12.783999999999999</v>
      </c>
      <c r="X64" s="2385"/>
      <c r="Y64" s="2385"/>
      <c r="Z64" s="2386"/>
      <c r="AA64" s="349"/>
      <c r="AB64" s="795" t="s">
        <v>10765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10726</v>
      </c>
      <c r="BG64" s="354" t="s">
        <v>9231</v>
      </c>
      <c r="BH64" s="288" t="s">
        <v>10766</v>
      </c>
      <c r="BI64" s="288" t="s">
        <v>10767</v>
      </c>
      <c r="BJ64" s="288" t="s">
        <v>10768</v>
      </c>
      <c r="BK64" s="288" t="s">
        <v>10769</v>
      </c>
      <c r="BL64" s="288" t="s">
        <v>10770</v>
      </c>
      <c r="BM64" s="288" t="s">
        <v>10771</v>
      </c>
      <c r="BN64" s="288" t="s">
        <v>10772</v>
      </c>
      <c r="BO64" s="288" t="s">
        <v>10773</v>
      </c>
      <c r="BP64" s="288" t="s">
        <v>10774</v>
      </c>
      <c r="BQ64" s="288" t="s">
        <v>10775</v>
      </c>
      <c r="BR64" s="288" t="s">
        <v>10776</v>
      </c>
      <c r="BS64" s="288" t="s">
        <v>10777</v>
      </c>
      <c r="BT64" s="288" t="s">
        <v>10778</v>
      </c>
      <c r="BU64" s="288" t="s">
        <v>10779</v>
      </c>
      <c r="BV64" s="288" t="s">
        <v>10780</v>
      </c>
      <c r="BW64" s="288" t="s">
        <v>10781</v>
      </c>
      <c r="BX64" s="288" t="s">
        <v>10782</v>
      </c>
      <c r="BY64" s="288" t="s">
        <v>10783</v>
      </c>
      <c r="BZ64" s="744"/>
      <c r="CA64" s="744"/>
      <c r="CB64" s="745"/>
    </row>
    <row r="65" spans="1:80" ht="15.75" customHeight="1">
      <c r="A65" s="197"/>
      <c r="B65" s="792" t="s">
        <v>10784</v>
      </c>
      <c r="C65" s="2357" t="s">
        <v>9215</v>
      </c>
      <c r="D65" s="325" t="s">
        <v>4215</v>
      </c>
      <c r="E65" s="325">
        <v>3</v>
      </c>
      <c r="F65" s="751">
        <v>0.92100000000000004</v>
      </c>
      <c r="G65" s="751">
        <v>0.378</v>
      </c>
      <c r="H65" s="751">
        <v>0.21099999999999999</v>
      </c>
      <c r="I65" s="751">
        <v>0</v>
      </c>
      <c r="J65" s="751">
        <v>0</v>
      </c>
      <c r="K65" s="751">
        <v>0</v>
      </c>
      <c r="L65" s="751">
        <v>0</v>
      </c>
      <c r="M65" s="751">
        <v>0</v>
      </c>
      <c r="N65" s="312">
        <f t="shared" si="267"/>
        <v>1.51</v>
      </c>
      <c r="O65" s="751">
        <v>1.1910000000000001</v>
      </c>
      <c r="P65" s="751">
        <v>0.48799999999999999</v>
      </c>
      <c r="Q65" s="751">
        <v>0.27300000000000002</v>
      </c>
      <c r="R65" s="751">
        <v>0</v>
      </c>
      <c r="S65" s="751">
        <v>0</v>
      </c>
      <c r="T65" s="751">
        <v>0</v>
      </c>
      <c r="U65" s="751">
        <v>0</v>
      </c>
      <c r="V65" s="751">
        <v>0</v>
      </c>
      <c r="W65" s="312">
        <f t="shared" si="251"/>
        <v>1.952</v>
      </c>
      <c r="X65" s="2385"/>
      <c r="Y65" s="2385"/>
      <c r="Z65" s="2386"/>
      <c r="AA65" s="349"/>
      <c r="AB65" s="795" t="s">
        <v>10785</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10784</v>
      </c>
      <c r="BG65" s="354" t="s">
        <v>9215</v>
      </c>
      <c r="BH65" s="287" t="s">
        <v>10786</v>
      </c>
      <c r="BI65" s="287" t="s">
        <v>10787</v>
      </c>
      <c r="BJ65" s="287" t="s">
        <v>10788</v>
      </c>
      <c r="BK65" s="287" t="s">
        <v>10789</v>
      </c>
      <c r="BL65" s="287" t="s">
        <v>10790</v>
      </c>
      <c r="BM65" s="287" t="s">
        <v>10791</v>
      </c>
      <c r="BN65" s="287" t="s">
        <v>10792</v>
      </c>
      <c r="BO65" s="287" t="s">
        <v>10793</v>
      </c>
      <c r="BP65" s="288" t="s">
        <v>10794</v>
      </c>
      <c r="BQ65" s="287" t="s">
        <v>10795</v>
      </c>
      <c r="BR65" s="287" t="s">
        <v>10796</v>
      </c>
      <c r="BS65" s="287" t="s">
        <v>10797</v>
      </c>
      <c r="BT65" s="287" t="s">
        <v>10798</v>
      </c>
      <c r="BU65" s="287" t="s">
        <v>10799</v>
      </c>
      <c r="BV65" s="287" t="s">
        <v>10800</v>
      </c>
      <c r="BW65" s="287" t="s">
        <v>10801</v>
      </c>
      <c r="BX65" s="287" t="s">
        <v>10802</v>
      </c>
      <c r="BY65" s="288" t="s">
        <v>10803</v>
      </c>
      <c r="BZ65" s="744"/>
      <c r="CA65" s="744"/>
      <c r="CB65" s="745"/>
    </row>
    <row r="66" spans="1:80" ht="15.75" customHeight="1">
      <c r="A66" s="197"/>
      <c r="B66" s="792" t="s">
        <v>10784</v>
      </c>
      <c r="C66" s="2357" t="s">
        <v>9223</v>
      </c>
      <c r="D66" s="325" t="s">
        <v>4215</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5"/>
      <c r="Y66" s="2385"/>
      <c r="Z66" s="2386"/>
      <c r="AA66" s="349"/>
      <c r="AB66" s="795" t="s">
        <v>10804</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10784</v>
      </c>
      <c r="BG66" s="354" t="s">
        <v>9223</v>
      </c>
      <c r="BH66" s="287" t="s">
        <v>10805</v>
      </c>
      <c r="BI66" s="287" t="s">
        <v>10806</v>
      </c>
      <c r="BJ66" s="287" t="s">
        <v>10807</v>
      </c>
      <c r="BK66" s="287" t="s">
        <v>10808</v>
      </c>
      <c r="BL66" s="287" t="s">
        <v>10809</v>
      </c>
      <c r="BM66" s="287" t="s">
        <v>10810</v>
      </c>
      <c r="BN66" s="287" t="s">
        <v>10811</v>
      </c>
      <c r="BO66" s="287" t="s">
        <v>10812</v>
      </c>
      <c r="BP66" s="288" t="s">
        <v>10813</v>
      </c>
      <c r="BQ66" s="287" t="s">
        <v>10814</v>
      </c>
      <c r="BR66" s="287" t="s">
        <v>10815</v>
      </c>
      <c r="BS66" s="287" t="s">
        <v>10816</v>
      </c>
      <c r="BT66" s="287" t="s">
        <v>10817</v>
      </c>
      <c r="BU66" s="287" t="s">
        <v>10818</v>
      </c>
      <c r="BV66" s="287" t="s">
        <v>10819</v>
      </c>
      <c r="BW66" s="287" t="s">
        <v>10820</v>
      </c>
      <c r="BX66" s="287" t="s">
        <v>10821</v>
      </c>
      <c r="BY66" s="288" t="s">
        <v>10822</v>
      </c>
      <c r="BZ66" s="744"/>
      <c r="CA66" s="744"/>
      <c r="CB66" s="745"/>
    </row>
    <row r="67" spans="1:80" ht="15.75" customHeight="1">
      <c r="A67" s="197"/>
      <c r="B67" s="792" t="s">
        <v>10784</v>
      </c>
      <c r="C67" s="2357" t="s">
        <v>9231</v>
      </c>
      <c r="D67" s="325" t="s">
        <v>4215</v>
      </c>
      <c r="E67" s="325">
        <v>3</v>
      </c>
      <c r="F67" s="312">
        <f>IFERROR(SUM(F65:F66), 0)</f>
        <v>0.92100000000000004</v>
      </c>
      <c r="G67" s="312">
        <f t="shared" ref="G67:M67" si="308">IFERROR(SUM(G65:G66), 0)</f>
        <v>0.378</v>
      </c>
      <c r="H67" s="312">
        <f t="shared" si="308"/>
        <v>0.21099999999999999</v>
      </c>
      <c r="I67" s="312">
        <f t="shared" si="308"/>
        <v>0</v>
      </c>
      <c r="J67" s="312">
        <f t="shared" si="308"/>
        <v>0</v>
      </c>
      <c r="K67" s="312">
        <f t="shared" si="308"/>
        <v>0</v>
      </c>
      <c r="L67" s="312">
        <f t="shared" si="308"/>
        <v>0</v>
      </c>
      <c r="M67" s="312">
        <f t="shared" si="308"/>
        <v>0</v>
      </c>
      <c r="N67" s="312">
        <f t="shared" si="267"/>
        <v>1.51</v>
      </c>
      <c r="O67" s="312">
        <f>IFERROR(SUM(O65:O66), 0)</f>
        <v>1.1910000000000001</v>
      </c>
      <c r="P67" s="312">
        <f t="shared" ref="P67:V67" si="309">IFERROR(SUM(P65:P66), 0)</f>
        <v>0.48799999999999999</v>
      </c>
      <c r="Q67" s="312">
        <f t="shared" si="309"/>
        <v>0.27300000000000002</v>
      </c>
      <c r="R67" s="312">
        <f t="shared" si="309"/>
        <v>0</v>
      </c>
      <c r="S67" s="312">
        <f t="shared" si="309"/>
        <v>0</v>
      </c>
      <c r="T67" s="312">
        <f t="shared" si="309"/>
        <v>0</v>
      </c>
      <c r="U67" s="312">
        <f t="shared" si="309"/>
        <v>0</v>
      </c>
      <c r="V67" s="312">
        <f t="shared" si="309"/>
        <v>0</v>
      </c>
      <c r="W67" s="312">
        <f>IFERROR(SUM(O67:V67), 0)</f>
        <v>1.952</v>
      </c>
      <c r="X67" s="751">
        <v>3.0529999999999999</v>
      </c>
      <c r="Y67" s="751">
        <v>3.34</v>
      </c>
      <c r="Z67" s="796">
        <v>5.2050000000000001</v>
      </c>
      <c r="AA67" s="349"/>
      <c r="AB67" s="795" t="s">
        <v>10823</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10784</v>
      </c>
      <c r="BG67" s="354" t="s">
        <v>9231</v>
      </c>
      <c r="BH67" s="288" t="s">
        <v>10824</v>
      </c>
      <c r="BI67" s="288" t="s">
        <v>10825</v>
      </c>
      <c r="BJ67" s="288" t="s">
        <v>10826</v>
      </c>
      <c r="BK67" s="288" t="s">
        <v>10827</v>
      </c>
      <c r="BL67" s="288" t="s">
        <v>10828</v>
      </c>
      <c r="BM67" s="288" t="s">
        <v>10829</v>
      </c>
      <c r="BN67" s="288" t="s">
        <v>10830</v>
      </c>
      <c r="BO67" s="288" t="s">
        <v>10831</v>
      </c>
      <c r="BP67" s="288" t="s">
        <v>10832</v>
      </c>
      <c r="BQ67" s="288" t="s">
        <v>10833</v>
      </c>
      <c r="BR67" s="288" t="s">
        <v>10834</v>
      </c>
      <c r="BS67" s="288" t="s">
        <v>10835</v>
      </c>
      <c r="BT67" s="288" t="s">
        <v>10836</v>
      </c>
      <c r="BU67" s="288" t="s">
        <v>10837</v>
      </c>
      <c r="BV67" s="288" t="s">
        <v>10838</v>
      </c>
      <c r="BW67" s="288" t="s">
        <v>10839</v>
      </c>
      <c r="BX67" s="288" t="s">
        <v>10840</v>
      </c>
      <c r="BY67" s="288" t="s">
        <v>10841</v>
      </c>
      <c r="BZ67" s="740" t="s">
        <v>10842</v>
      </c>
      <c r="CA67" s="740" t="s">
        <v>10843</v>
      </c>
      <c r="CB67" s="1117" t="s">
        <v>10844</v>
      </c>
    </row>
    <row r="68" spans="1:80" ht="15.75" customHeight="1">
      <c r="A68" s="197"/>
      <c r="B68" s="792" t="s">
        <v>10845</v>
      </c>
      <c r="C68" s="2357" t="s">
        <v>9215</v>
      </c>
      <c r="D68" s="325" t="s">
        <v>4215</v>
      </c>
      <c r="E68" s="325">
        <v>3</v>
      </c>
      <c r="F68" s="751">
        <v>0</v>
      </c>
      <c r="G68" s="751">
        <v>0</v>
      </c>
      <c r="H68" s="751">
        <v>0</v>
      </c>
      <c r="I68" s="751">
        <v>0</v>
      </c>
      <c r="J68" s="751">
        <v>0</v>
      </c>
      <c r="K68" s="751">
        <v>0</v>
      </c>
      <c r="L68" s="751">
        <v>3.3980000000000001</v>
      </c>
      <c r="M68" s="751">
        <v>0</v>
      </c>
      <c r="N68" s="312">
        <f t="shared" si="267"/>
        <v>3.3980000000000001</v>
      </c>
      <c r="O68" s="2384"/>
      <c r="P68" s="2384"/>
      <c r="Q68" s="2384"/>
      <c r="R68" s="2384"/>
      <c r="S68" s="2384"/>
      <c r="T68" s="2384"/>
      <c r="U68" s="2384"/>
      <c r="V68" s="2384"/>
      <c r="W68" s="2384"/>
      <c r="X68" s="2385"/>
      <c r="Y68" s="2385"/>
      <c r="Z68" s="2386"/>
      <c r="AA68" s="349"/>
      <c r="AB68" s="795" t="s">
        <v>10846</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10845</v>
      </c>
      <c r="BG68" s="354" t="s">
        <v>9215</v>
      </c>
      <c r="BH68" s="287" t="s">
        <v>10847</v>
      </c>
      <c r="BI68" s="287" t="s">
        <v>10848</v>
      </c>
      <c r="BJ68" s="287" t="s">
        <v>10849</v>
      </c>
      <c r="BK68" s="287" t="s">
        <v>10850</v>
      </c>
      <c r="BL68" s="287" t="s">
        <v>10851</v>
      </c>
      <c r="BM68" s="287" t="s">
        <v>10852</v>
      </c>
      <c r="BN68" s="287" t="s">
        <v>10853</v>
      </c>
      <c r="BO68" s="287" t="s">
        <v>10854</v>
      </c>
      <c r="BP68" s="288" t="s">
        <v>10855</v>
      </c>
      <c r="BQ68" s="399"/>
      <c r="BR68" s="399"/>
      <c r="BS68" s="399"/>
      <c r="BT68" s="399"/>
      <c r="BU68" s="399"/>
      <c r="BV68" s="399"/>
      <c r="BW68" s="399"/>
      <c r="BX68" s="399"/>
      <c r="BY68" s="399"/>
      <c r="BZ68" s="744"/>
      <c r="CA68" s="744"/>
      <c r="CB68" s="745"/>
    </row>
    <row r="69" spans="1:80" ht="15.75" customHeight="1">
      <c r="A69" s="197"/>
      <c r="B69" s="792" t="s">
        <v>10845</v>
      </c>
      <c r="C69" s="2357" t="s">
        <v>9223</v>
      </c>
      <c r="D69" s="325" t="s">
        <v>4215</v>
      </c>
      <c r="E69" s="325">
        <v>3</v>
      </c>
      <c r="F69" s="751">
        <v>0</v>
      </c>
      <c r="G69" s="751">
        <v>0</v>
      </c>
      <c r="H69" s="751">
        <v>0</v>
      </c>
      <c r="I69" s="751">
        <v>0</v>
      </c>
      <c r="J69" s="751">
        <v>0</v>
      </c>
      <c r="K69" s="751">
        <v>0</v>
      </c>
      <c r="L69" s="751">
        <v>0</v>
      </c>
      <c r="M69" s="751">
        <v>0</v>
      </c>
      <c r="N69" s="312">
        <f t="shared" si="267"/>
        <v>0</v>
      </c>
      <c r="O69" s="2384"/>
      <c r="P69" s="2384"/>
      <c r="Q69" s="2384"/>
      <c r="R69" s="2384"/>
      <c r="S69" s="2384"/>
      <c r="T69" s="2384"/>
      <c r="U69" s="2384"/>
      <c r="V69" s="2384"/>
      <c r="W69" s="2384"/>
      <c r="X69" s="2385"/>
      <c r="Y69" s="2385"/>
      <c r="Z69" s="2386"/>
      <c r="AA69" s="349"/>
      <c r="AB69" s="795" t="s">
        <v>10856</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10845</v>
      </c>
      <c r="BG69" s="354" t="s">
        <v>9223</v>
      </c>
      <c r="BH69" s="287" t="s">
        <v>10857</v>
      </c>
      <c r="BI69" s="287" t="s">
        <v>10858</v>
      </c>
      <c r="BJ69" s="287" t="s">
        <v>10859</v>
      </c>
      <c r="BK69" s="287" t="s">
        <v>10860</v>
      </c>
      <c r="BL69" s="287" t="s">
        <v>10861</v>
      </c>
      <c r="BM69" s="287" t="s">
        <v>10862</v>
      </c>
      <c r="BN69" s="287" t="s">
        <v>10863</v>
      </c>
      <c r="BO69" s="287" t="s">
        <v>10864</v>
      </c>
      <c r="BP69" s="288" t="s">
        <v>10865</v>
      </c>
      <c r="BQ69" s="399"/>
      <c r="BR69" s="399"/>
      <c r="BS69" s="399"/>
      <c r="BT69" s="399"/>
      <c r="BU69" s="399"/>
      <c r="BV69" s="399"/>
      <c r="BW69" s="399"/>
      <c r="BX69" s="399"/>
      <c r="BY69" s="399"/>
      <c r="BZ69" s="744"/>
      <c r="CA69" s="744"/>
      <c r="CB69" s="745"/>
    </row>
    <row r="70" spans="1:80" ht="15.75" customHeight="1">
      <c r="A70" s="197"/>
      <c r="B70" s="792" t="s">
        <v>10845</v>
      </c>
      <c r="C70" s="2357" t="s">
        <v>9231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3.3980000000000001</v>
      </c>
      <c r="M70" s="312">
        <f t="shared" si="321"/>
        <v>0</v>
      </c>
      <c r="N70" s="312">
        <f t="shared" si="267"/>
        <v>3.3980000000000001</v>
      </c>
      <c r="O70" s="2384"/>
      <c r="P70" s="2384"/>
      <c r="Q70" s="2384"/>
      <c r="R70" s="2384"/>
      <c r="S70" s="2384"/>
      <c r="T70" s="2384"/>
      <c r="U70" s="2384"/>
      <c r="V70" s="2384"/>
      <c r="W70" s="2384"/>
      <c r="X70" s="751">
        <v>3.7370000000000001</v>
      </c>
      <c r="Y70" s="751">
        <v>3.9889999999999999</v>
      </c>
      <c r="Z70" s="796">
        <v>6.7869999999999999</v>
      </c>
      <c r="AA70" s="349"/>
      <c r="AB70" s="795" t="s">
        <v>10866</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10845</v>
      </c>
      <c r="BG70" s="354" t="s">
        <v>9231</v>
      </c>
      <c r="BH70" s="288" t="s">
        <v>10867</v>
      </c>
      <c r="BI70" s="288" t="s">
        <v>10868</v>
      </c>
      <c r="BJ70" s="288" t="s">
        <v>10869</v>
      </c>
      <c r="BK70" s="288" t="s">
        <v>10870</v>
      </c>
      <c r="BL70" s="288" t="s">
        <v>10871</v>
      </c>
      <c r="BM70" s="288" t="s">
        <v>10872</v>
      </c>
      <c r="BN70" s="288" t="s">
        <v>10873</v>
      </c>
      <c r="BO70" s="288" t="s">
        <v>10874</v>
      </c>
      <c r="BP70" s="288" t="s">
        <v>10875</v>
      </c>
      <c r="BQ70" s="399"/>
      <c r="BR70" s="399"/>
      <c r="BS70" s="399"/>
      <c r="BT70" s="399"/>
      <c r="BU70" s="399"/>
      <c r="BV70" s="399"/>
      <c r="BW70" s="399"/>
      <c r="BX70" s="399"/>
      <c r="BY70" s="399"/>
      <c r="BZ70" s="740" t="s">
        <v>10876</v>
      </c>
      <c r="CA70" s="740" t="s">
        <v>10877</v>
      </c>
      <c r="CB70" s="1117" t="s">
        <v>10878</v>
      </c>
    </row>
    <row r="71" spans="1:80" ht="15.75" customHeight="1">
      <c r="A71" s="197"/>
      <c r="B71" s="792" t="s">
        <v>10879</v>
      </c>
      <c r="C71" s="2357" t="s">
        <v>9215</v>
      </c>
      <c r="D71" s="325" t="s">
        <v>4215</v>
      </c>
      <c r="E71" s="325">
        <v>3</v>
      </c>
      <c r="F71" s="751">
        <v>0</v>
      </c>
      <c r="G71" s="751">
        <v>0</v>
      </c>
      <c r="H71" s="751">
        <v>0</v>
      </c>
      <c r="I71" s="751">
        <v>0</v>
      </c>
      <c r="J71" s="751">
        <v>0</v>
      </c>
      <c r="K71" s="751">
        <v>0</v>
      </c>
      <c r="L71" s="751">
        <v>3.7999999999999999E-2</v>
      </c>
      <c r="M71" s="751">
        <v>0</v>
      </c>
      <c r="N71" s="312">
        <f t="shared" si="267"/>
        <v>3.7999999999999999E-2</v>
      </c>
      <c r="O71" s="2384"/>
      <c r="P71" s="2384"/>
      <c r="Q71" s="2384"/>
      <c r="R71" s="2384"/>
      <c r="S71" s="2384"/>
      <c r="T71" s="2384"/>
      <c r="U71" s="2384"/>
      <c r="V71" s="2384"/>
      <c r="W71" s="2384"/>
      <c r="X71" s="2385"/>
      <c r="Y71" s="2385"/>
      <c r="Z71" s="2386"/>
      <c r="AA71" s="349"/>
      <c r="AB71" s="795" t="s">
        <v>10880</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10879</v>
      </c>
      <c r="BG71" s="354" t="s">
        <v>9215</v>
      </c>
      <c r="BH71" s="287" t="s">
        <v>10881</v>
      </c>
      <c r="BI71" s="287" t="s">
        <v>10882</v>
      </c>
      <c r="BJ71" s="287" t="s">
        <v>10883</v>
      </c>
      <c r="BK71" s="287" t="s">
        <v>10884</v>
      </c>
      <c r="BL71" s="287" t="s">
        <v>10885</v>
      </c>
      <c r="BM71" s="287" t="s">
        <v>10886</v>
      </c>
      <c r="BN71" s="287" t="s">
        <v>10887</v>
      </c>
      <c r="BO71" s="287" t="s">
        <v>10888</v>
      </c>
      <c r="BP71" s="288" t="s">
        <v>10889</v>
      </c>
      <c r="BQ71" s="399"/>
      <c r="BR71" s="399"/>
      <c r="BS71" s="399"/>
      <c r="BT71" s="399"/>
      <c r="BU71" s="399"/>
      <c r="BV71" s="399"/>
      <c r="BW71" s="399"/>
      <c r="BX71" s="399"/>
      <c r="BY71" s="399"/>
      <c r="BZ71" s="744"/>
      <c r="CA71" s="744"/>
      <c r="CB71" s="745"/>
    </row>
    <row r="72" spans="1:80" ht="15.75" customHeight="1">
      <c r="A72" s="197"/>
      <c r="B72" s="792" t="s">
        <v>10879</v>
      </c>
      <c r="C72" s="2357" t="s">
        <v>9223</v>
      </c>
      <c r="D72" s="325" t="s">
        <v>4215</v>
      </c>
      <c r="E72" s="325">
        <v>3</v>
      </c>
      <c r="F72" s="751">
        <v>0</v>
      </c>
      <c r="G72" s="751">
        <v>0</v>
      </c>
      <c r="H72" s="751">
        <v>0</v>
      </c>
      <c r="I72" s="751">
        <v>0</v>
      </c>
      <c r="J72" s="751">
        <v>0</v>
      </c>
      <c r="K72" s="751">
        <v>0</v>
      </c>
      <c r="L72" s="751">
        <v>0</v>
      </c>
      <c r="M72" s="751">
        <v>0</v>
      </c>
      <c r="N72" s="312">
        <f t="shared" si="267"/>
        <v>0</v>
      </c>
      <c r="O72" s="2384"/>
      <c r="P72" s="2384"/>
      <c r="Q72" s="2384"/>
      <c r="R72" s="2384"/>
      <c r="S72" s="2384"/>
      <c r="T72" s="2384"/>
      <c r="U72" s="2384"/>
      <c r="V72" s="2384"/>
      <c r="W72" s="2384"/>
      <c r="X72" s="2385"/>
      <c r="Y72" s="2385"/>
      <c r="Z72" s="2386"/>
      <c r="AA72" s="349"/>
      <c r="AB72" s="795" t="s">
        <v>10890</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10879</v>
      </c>
      <c r="BG72" s="354" t="s">
        <v>9223</v>
      </c>
      <c r="BH72" s="287" t="s">
        <v>10891</v>
      </c>
      <c r="BI72" s="287" t="s">
        <v>10892</v>
      </c>
      <c r="BJ72" s="287" t="s">
        <v>10893</v>
      </c>
      <c r="BK72" s="287" t="s">
        <v>10894</v>
      </c>
      <c r="BL72" s="287" t="s">
        <v>10895</v>
      </c>
      <c r="BM72" s="287" t="s">
        <v>10896</v>
      </c>
      <c r="BN72" s="287" t="s">
        <v>10897</v>
      </c>
      <c r="BO72" s="287" t="s">
        <v>10898</v>
      </c>
      <c r="BP72" s="288" t="s">
        <v>10899</v>
      </c>
      <c r="BQ72" s="399"/>
      <c r="BR72" s="399"/>
      <c r="BS72" s="399"/>
      <c r="BT72" s="399"/>
      <c r="BU72" s="399"/>
      <c r="BV72" s="399"/>
      <c r="BW72" s="399"/>
      <c r="BX72" s="399"/>
      <c r="BY72" s="399"/>
      <c r="BZ72" s="744"/>
      <c r="CA72" s="744"/>
      <c r="CB72" s="745"/>
    </row>
    <row r="73" spans="1:80" ht="15.75" customHeight="1">
      <c r="A73" s="197"/>
      <c r="B73" s="792" t="s">
        <v>10879</v>
      </c>
      <c r="C73" s="2357" t="s">
        <v>9231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3.7999999999999999E-2</v>
      </c>
      <c r="M73" s="312">
        <f t="shared" si="333"/>
        <v>0</v>
      </c>
      <c r="N73" s="312">
        <f t="shared" si="267"/>
        <v>3.7999999999999999E-2</v>
      </c>
      <c r="O73" s="2384"/>
      <c r="P73" s="2384"/>
      <c r="Q73" s="2384"/>
      <c r="R73" s="2384"/>
      <c r="S73" s="2384"/>
      <c r="T73" s="2384"/>
      <c r="U73" s="2384"/>
      <c r="V73" s="2384"/>
      <c r="W73" s="2384"/>
      <c r="X73" s="751">
        <v>3.2749999999999999</v>
      </c>
      <c r="Y73" s="751">
        <v>0</v>
      </c>
      <c r="Z73" s="796">
        <v>0</v>
      </c>
      <c r="AA73" s="349"/>
      <c r="AB73" s="795" t="s">
        <v>10900</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10879</v>
      </c>
      <c r="BG73" s="354" t="s">
        <v>9231</v>
      </c>
      <c r="BH73" s="288" t="s">
        <v>10901</v>
      </c>
      <c r="BI73" s="288" t="s">
        <v>10902</v>
      </c>
      <c r="BJ73" s="288" t="s">
        <v>10903</v>
      </c>
      <c r="BK73" s="288" t="s">
        <v>10904</v>
      </c>
      <c r="BL73" s="288" t="s">
        <v>10905</v>
      </c>
      <c r="BM73" s="288" t="s">
        <v>10906</v>
      </c>
      <c r="BN73" s="288" t="s">
        <v>10907</v>
      </c>
      <c r="BO73" s="288" t="s">
        <v>10908</v>
      </c>
      <c r="BP73" s="288" t="s">
        <v>10909</v>
      </c>
      <c r="BQ73" s="399"/>
      <c r="BR73" s="399"/>
      <c r="BS73" s="399"/>
      <c r="BT73" s="399"/>
      <c r="BU73" s="399"/>
      <c r="BV73" s="399"/>
      <c r="BW73" s="399"/>
      <c r="BX73" s="399"/>
      <c r="BY73" s="399"/>
      <c r="BZ73" s="740" t="s">
        <v>10910</v>
      </c>
      <c r="CA73" s="740" t="s">
        <v>10911</v>
      </c>
      <c r="CB73" s="1117" t="s">
        <v>10912</v>
      </c>
    </row>
    <row r="74" spans="1:80" ht="15.75" customHeight="1">
      <c r="A74" s="197"/>
      <c r="B74" s="792" t="s">
        <v>10913</v>
      </c>
      <c r="C74" s="2357" t="s">
        <v>9215</v>
      </c>
      <c r="D74" s="325" t="s">
        <v>4215</v>
      </c>
      <c r="E74" s="325">
        <v>3</v>
      </c>
      <c r="F74" s="751">
        <v>0</v>
      </c>
      <c r="G74" s="751">
        <v>0</v>
      </c>
      <c r="H74" s="751">
        <v>0</v>
      </c>
      <c r="I74" s="751">
        <v>0.26</v>
      </c>
      <c r="J74" s="751">
        <v>0</v>
      </c>
      <c r="K74" s="751">
        <v>0</v>
      </c>
      <c r="L74" s="751">
        <v>0</v>
      </c>
      <c r="M74" s="751">
        <v>0</v>
      </c>
      <c r="N74" s="312">
        <f t="shared" si="267"/>
        <v>0.26</v>
      </c>
      <c r="O74" s="2384"/>
      <c r="P74" s="2384"/>
      <c r="Q74" s="2384"/>
      <c r="R74" s="2384"/>
      <c r="S74" s="2384"/>
      <c r="T74" s="2384"/>
      <c r="U74" s="2384"/>
      <c r="V74" s="2384"/>
      <c r="W74" s="2384"/>
      <c r="X74" s="2385"/>
      <c r="Y74" s="2385"/>
      <c r="Z74" s="2386"/>
      <c r="AA74" s="349"/>
      <c r="AB74" s="795" t="s">
        <v>10914</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10913</v>
      </c>
      <c r="BG74" s="354" t="s">
        <v>9215</v>
      </c>
      <c r="BH74" s="287" t="s">
        <v>10915</v>
      </c>
      <c r="BI74" s="287" t="s">
        <v>10916</v>
      </c>
      <c r="BJ74" s="287" t="s">
        <v>10917</v>
      </c>
      <c r="BK74" s="287" t="s">
        <v>10918</v>
      </c>
      <c r="BL74" s="287" t="s">
        <v>10919</v>
      </c>
      <c r="BM74" s="287" t="s">
        <v>10920</v>
      </c>
      <c r="BN74" s="287" t="s">
        <v>10921</v>
      </c>
      <c r="BO74" s="287" t="s">
        <v>10922</v>
      </c>
      <c r="BP74" s="288" t="s">
        <v>10923</v>
      </c>
      <c r="BQ74" s="399"/>
      <c r="BR74" s="399"/>
      <c r="BS74" s="399"/>
      <c r="BT74" s="399"/>
      <c r="BU74" s="399"/>
      <c r="BV74" s="399"/>
      <c r="BW74" s="399"/>
      <c r="BX74" s="399"/>
      <c r="BY74" s="399"/>
      <c r="BZ74" s="744"/>
      <c r="CA74" s="744"/>
      <c r="CB74" s="745"/>
    </row>
    <row r="75" spans="1:80" ht="15.75" customHeight="1">
      <c r="A75" s="197"/>
      <c r="B75" s="792" t="s">
        <v>10913</v>
      </c>
      <c r="C75" s="2357" t="s">
        <v>9223</v>
      </c>
      <c r="D75" s="325" t="s">
        <v>4215</v>
      </c>
      <c r="E75" s="325">
        <v>3</v>
      </c>
      <c r="F75" s="751">
        <v>0</v>
      </c>
      <c r="G75" s="751">
        <v>0</v>
      </c>
      <c r="H75" s="751">
        <v>0</v>
      </c>
      <c r="I75" s="751">
        <v>0</v>
      </c>
      <c r="J75" s="751">
        <v>0</v>
      </c>
      <c r="K75" s="751">
        <v>0</v>
      </c>
      <c r="L75" s="751">
        <v>0</v>
      </c>
      <c r="M75" s="751">
        <v>0</v>
      </c>
      <c r="N75" s="312">
        <f t="shared" si="267"/>
        <v>0</v>
      </c>
      <c r="O75" s="2384"/>
      <c r="P75" s="2384"/>
      <c r="Q75" s="2384"/>
      <c r="R75" s="2384"/>
      <c r="S75" s="2384"/>
      <c r="T75" s="2384"/>
      <c r="U75" s="2384"/>
      <c r="V75" s="2384"/>
      <c r="W75" s="2384"/>
      <c r="X75" s="2385"/>
      <c r="Y75" s="2385"/>
      <c r="Z75" s="2386"/>
      <c r="AA75" s="349"/>
      <c r="AB75" s="795" t="s">
        <v>10924</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10913</v>
      </c>
      <c r="BG75" s="354" t="s">
        <v>9223</v>
      </c>
      <c r="BH75" s="287" t="s">
        <v>10925</v>
      </c>
      <c r="BI75" s="287" t="s">
        <v>10926</v>
      </c>
      <c r="BJ75" s="287" t="s">
        <v>10927</v>
      </c>
      <c r="BK75" s="287" t="s">
        <v>10928</v>
      </c>
      <c r="BL75" s="287" t="s">
        <v>10929</v>
      </c>
      <c r="BM75" s="287" t="s">
        <v>10930</v>
      </c>
      <c r="BN75" s="287" t="s">
        <v>10931</v>
      </c>
      <c r="BO75" s="287" t="s">
        <v>10932</v>
      </c>
      <c r="BP75" s="288" t="s">
        <v>10933</v>
      </c>
      <c r="BQ75" s="399"/>
      <c r="BR75" s="399"/>
      <c r="BS75" s="399"/>
      <c r="BT75" s="399"/>
      <c r="BU75" s="399"/>
      <c r="BV75" s="399"/>
      <c r="BW75" s="399"/>
      <c r="BX75" s="399"/>
      <c r="BY75" s="399"/>
      <c r="BZ75" s="744"/>
      <c r="CA75" s="744"/>
      <c r="CB75" s="745"/>
    </row>
    <row r="76" spans="1:80" ht="15.75" customHeight="1">
      <c r="A76" s="197"/>
      <c r="B76" s="792" t="s">
        <v>10913</v>
      </c>
      <c r="C76" s="2357" t="s">
        <v>9231</v>
      </c>
      <c r="D76" s="325" t="s">
        <v>4215</v>
      </c>
      <c r="E76" s="325">
        <v>3</v>
      </c>
      <c r="F76" s="312">
        <f>IFERROR(SUM(F74:F75), 0)</f>
        <v>0</v>
      </c>
      <c r="G76" s="312">
        <f t="shared" ref="G76:M76" si="345">IFERROR(SUM(G74:G75), 0)</f>
        <v>0</v>
      </c>
      <c r="H76" s="312">
        <f t="shared" si="345"/>
        <v>0</v>
      </c>
      <c r="I76" s="312">
        <f t="shared" si="345"/>
        <v>0.26</v>
      </c>
      <c r="J76" s="312">
        <f t="shared" si="345"/>
        <v>0</v>
      </c>
      <c r="K76" s="312">
        <f t="shared" si="345"/>
        <v>0</v>
      </c>
      <c r="L76" s="312">
        <f t="shared" si="345"/>
        <v>0</v>
      </c>
      <c r="M76" s="312">
        <f t="shared" si="345"/>
        <v>0</v>
      </c>
      <c r="N76" s="312">
        <f t="shared" si="267"/>
        <v>0.26</v>
      </c>
      <c r="O76" s="2384"/>
      <c r="P76" s="2384"/>
      <c r="Q76" s="2384"/>
      <c r="R76" s="2384"/>
      <c r="S76" s="2384"/>
      <c r="T76" s="2384"/>
      <c r="U76" s="2384"/>
      <c r="V76" s="2384"/>
      <c r="W76" s="2384"/>
      <c r="X76" s="751">
        <v>2.8250000000000002</v>
      </c>
      <c r="Y76" s="751">
        <v>2.278</v>
      </c>
      <c r="Z76" s="796">
        <v>3.6139999999999999</v>
      </c>
      <c r="AA76" s="349"/>
      <c r="AB76" s="795" t="s">
        <v>10934</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10913</v>
      </c>
      <c r="BG76" s="354" t="s">
        <v>9231</v>
      </c>
      <c r="BH76" s="288" t="s">
        <v>10935</v>
      </c>
      <c r="BI76" s="288" t="s">
        <v>10936</v>
      </c>
      <c r="BJ76" s="288" t="s">
        <v>10937</v>
      </c>
      <c r="BK76" s="288" t="s">
        <v>10938</v>
      </c>
      <c r="BL76" s="288" t="s">
        <v>10939</v>
      </c>
      <c r="BM76" s="288" t="s">
        <v>10940</v>
      </c>
      <c r="BN76" s="288" t="s">
        <v>10941</v>
      </c>
      <c r="BO76" s="288" t="s">
        <v>10942</v>
      </c>
      <c r="BP76" s="288" t="s">
        <v>10943</v>
      </c>
      <c r="BQ76" s="399"/>
      <c r="BR76" s="399"/>
      <c r="BS76" s="399"/>
      <c r="BT76" s="399"/>
      <c r="BU76" s="399"/>
      <c r="BV76" s="399"/>
      <c r="BW76" s="399"/>
      <c r="BX76" s="399"/>
      <c r="BY76" s="399"/>
      <c r="BZ76" s="740" t="s">
        <v>10944</v>
      </c>
      <c r="CA76" s="740" t="s">
        <v>10945</v>
      </c>
      <c r="CB76" s="1117" t="s">
        <v>10946</v>
      </c>
    </row>
    <row r="77" spans="1:80" ht="33" customHeight="1">
      <c r="A77" s="197"/>
      <c r="B77" s="792" t="s">
        <v>9749</v>
      </c>
      <c r="C77" s="2357" t="s">
        <v>9215</v>
      </c>
      <c r="D77" s="325" t="s">
        <v>4215</v>
      </c>
      <c r="E77" s="325">
        <v>3</v>
      </c>
      <c r="F77" s="751">
        <v>0.10199999999999999</v>
      </c>
      <c r="G77" s="751">
        <v>4.2000000000000003E-2</v>
      </c>
      <c r="H77" s="751">
        <v>2.3E-2</v>
      </c>
      <c r="I77" s="751">
        <v>0</v>
      </c>
      <c r="J77" s="751">
        <v>0</v>
      </c>
      <c r="K77" s="751">
        <v>0</v>
      </c>
      <c r="L77" s="751">
        <v>0</v>
      </c>
      <c r="M77" s="751">
        <v>0</v>
      </c>
      <c r="N77" s="312">
        <f t="shared" si="267"/>
        <v>0.16699999999999998</v>
      </c>
      <c r="O77" s="751">
        <v>0</v>
      </c>
      <c r="P77" s="751">
        <v>0</v>
      </c>
      <c r="Q77" s="751">
        <v>0</v>
      </c>
      <c r="R77" s="751">
        <v>0</v>
      </c>
      <c r="S77" s="751">
        <v>0</v>
      </c>
      <c r="T77" s="751">
        <v>0</v>
      </c>
      <c r="U77" s="751">
        <v>0</v>
      </c>
      <c r="V77" s="751">
        <v>0</v>
      </c>
      <c r="W77" s="312">
        <f t="shared" ref="W77:W84" si="349">IFERROR(SUM(O77:V77), 0)</f>
        <v>0</v>
      </c>
      <c r="X77" s="2385"/>
      <c r="Y77" s="2385"/>
      <c r="Z77" s="2386"/>
      <c r="AA77" s="349"/>
      <c r="AB77" s="795" t="s">
        <v>10947</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9749</v>
      </c>
      <c r="BG77" s="354" t="s">
        <v>9215</v>
      </c>
      <c r="BH77" s="287" t="s">
        <v>10948</v>
      </c>
      <c r="BI77" s="287" t="s">
        <v>10949</v>
      </c>
      <c r="BJ77" s="287" t="s">
        <v>10950</v>
      </c>
      <c r="BK77" s="287" t="s">
        <v>10951</v>
      </c>
      <c r="BL77" s="287" t="s">
        <v>10952</v>
      </c>
      <c r="BM77" s="287" t="s">
        <v>10953</v>
      </c>
      <c r="BN77" s="287" t="s">
        <v>10954</v>
      </c>
      <c r="BO77" s="287" t="s">
        <v>10955</v>
      </c>
      <c r="BP77" s="288" t="s">
        <v>10956</v>
      </c>
      <c r="BQ77" s="287" t="s">
        <v>10957</v>
      </c>
      <c r="BR77" s="287" t="s">
        <v>10958</v>
      </c>
      <c r="BS77" s="287" t="s">
        <v>10959</v>
      </c>
      <c r="BT77" s="287" t="s">
        <v>10960</v>
      </c>
      <c r="BU77" s="287" t="s">
        <v>10961</v>
      </c>
      <c r="BV77" s="287" t="s">
        <v>10962</v>
      </c>
      <c r="BW77" s="287" t="s">
        <v>10963</v>
      </c>
      <c r="BX77" s="287" t="s">
        <v>10964</v>
      </c>
      <c r="BY77" s="288" t="s">
        <v>10965</v>
      </c>
      <c r="BZ77" s="744"/>
      <c r="CA77" s="744"/>
      <c r="CB77" s="745"/>
    </row>
    <row r="78" spans="1:80" ht="33" customHeight="1">
      <c r="A78" s="197"/>
      <c r="B78" s="792" t="s">
        <v>9749</v>
      </c>
      <c r="C78" s="2357" t="s">
        <v>9223</v>
      </c>
      <c r="D78" s="325" t="s">
        <v>4215</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5"/>
      <c r="Y78" s="2385"/>
      <c r="Z78" s="2386"/>
      <c r="AA78" s="349"/>
      <c r="AB78" s="795" t="s">
        <v>10966</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9749</v>
      </c>
      <c r="BG78" s="354" t="s">
        <v>9223</v>
      </c>
      <c r="BH78" s="287" t="s">
        <v>10967</v>
      </c>
      <c r="BI78" s="287" t="s">
        <v>10968</v>
      </c>
      <c r="BJ78" s="287" t="s">
        <v>10969</v>
      </c>
      <c r="BK78" s="287" t="s">
        <v>10970</v>
      </c>
      <c r="BL78" s="287" t="s">
        <v>10971</v>
      </c>
      <c r="BM78" s="287" t="s">
        <v>10972</v>
      </c>
      <c r="BN78" s="287" t="s">
        <v>10973</v>
      </c>
      <c r="BO78" s="287" t="s">
        <v>10974</v>
      </c>
      <c r="BP78" s="288" t="s">
        <v>10975</v>
      </c>
      <c r="BQ78" s="287" t="s">
        <v>10976</v>
      </c>
      <c r="BR78" s="287" t="s">
        <v>10977</v>
      </c>
      <c r="BS78" s="287" t="s">
        <v>10978</v>
      </c>
      <c r="BT78" s="287" t="s">
        <v>10979</v>
      </c>
      <c r="BU78" s="287" t="s">
        <v>10980</v>
      </c>
      <c r="BV78" s="287" t="s">
        <v>10981</v>
      </c>
      <c r="BW78" s="287" t="s">
        <v>10982</v>
      </c>
      <c r="BX78" s="287" t="s">
        <v>10983</v>
      </c>
      <c r="BY78" s="288" t="s">
        <v>10984</v>
      </c>
      <c r="BZ78" s="744"/>
      <c r="CA78" s="744"/>
      <c r="CB78" s="745"/>
    </row>
    <row r="79" spans="1:80" ht="33" customHeight="1">
      <c r="A79" s="197"/>
      <c r="B79" s="792" t="s">
        <v>9749</v>
      </c>
      <c r="C79" s="2357" t="s">
        <v>9231</v>
      </c>
      <c r="D79" s="325" t="s">
        <v>4215</v>
      </c>
      <c r="E79" s="325">
        <v>3</v>
      </c>
      <c r="F79" s="312">
        <f>IFERROR(SUM(F77:F78), 0)</f>
        <v>0.10199999999999999</v>
      </c>
      <c r="G79" s="312">
        <f t="shared" ref="G79:M79" si="366">IFERROR(SUM(G77:G78), 0)</f>
        <v>4.2000000000000003E-2</v>
      </c>
      <c r="H79" s="312">
        <f t="shared" si="366"/>
        <v>2.3E-2</v>
      </c>
      <c r="I79" s="312">
        <f t="shared" si="366"/>
        <v>0</v>
      </c>
      <c r="J79" s="312">
        <f t="shared" si="366"/>
        <v>0</v>
      </c>
      <c r="K79" s="312">
        <f t="shared" si="366"/>
        <v>0</v>
      </c>
      <c r="L79" s="312">
        <f t="shared" si="366"/>
        <v>0</v>
      </c>
      <c r="M79" s="312">
        <f t="shared" si="366"/>
        <v>0</v>
      </c>
      <c r="N79" s="312">
        <f t="shared" si="267"/>
        <v>0.16699999999999998</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v>0.13700000000000001</v>
      </c>
      <c r="Y79" s="751">
        <v>2.9889999999999999</v>
      </c>
      <c r="Z79" s="796">
        <v>4.6580000000000004</v>
      </c>
      <c r="AA79" s="349"/>
      <c r="AB79" s="795" t="s">
        <v>10985</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9749</v>
      </c>
      <c r="BG79" s="354" t="s">
        <v>9231</v>
      </c>
      <c r="BH79" s="288" t="s">
        <v>10986</v>
      </c>
      <c r="BI79" s="288" t="s">
        <v>10987</v>
      </c>
      <c r="BJ79" s="288" t="s">
        <v>10988</v>
      </c>
      <c r="BK79" s="288" t="s">
        <v>10989</v>
      </c>
      <c r="BL79" s="288" t="s">
        <v>10990</v>
      </c>
      <c r="BM79" s="288" t="s">
        <v>10991</v>
      </c>
      <c r="BN79" s="288" t="s">
        <v>10992</v>
      </c>
      <c r="BO79" s="288" t="s">
        <v>10993</v>
      </c>
      <c r="BP79" s="288" t="s">
        <v>10994</v>
      </c>
      <c r="BQ79" s="288" t="s">
        <v>10995</v>
      </c>
      <c r="BR79" s="288" t="s">
        <v>10996</v>
      </c>
      <c r="BS79" s="288" t="s">
        <v>10997</v>
      </c>
      <c r="BT79" s="288" t="s">
        <v>10998</v>
      </c>
      <c r="BU79" s="288" t="s">
        <v>10999</v>
      </c>
      <c r="BV79" s="288" t="s">
        <v>11000</v>
      </c>
      <c r="BW79" s="288" t="s">
        <v>11001</v>
      </c>
      <c r="BX79" s="288" t="s">
        <v>11002</v>
      </c>
      <c r="BY79" s="288" t="s">
        <v>11003</v>
      </c>
      <c r="BZ79" s="740" t="s">
        <v>11004</v>
      </c>
      <c r="CA79" s="740" t="s">
        <v>11005</v>
      </c>
      <c r="CB79" s="1117" t="s">
        <v>11006</v>
      </c>
    </row>
    <row r="80" spans="1:80" ht="15.75" customHeight="1">
      <c r="A80" s="197"/>
      <c r="B80" s="792" t="s">
        <v>9865</v>
      </c>
      <c r="C80" s="2357" t="s">
        <v>9215</v>
      </c>
      <c r="D80" s="325" t="s">
        <v>4215</v>
      </c>
      <c r="E80" s="325">
        <v>3</v>
      </c>
      <c r="F80" s="751">
        <v>0.01</v>
      </c>
      <c r="G80" s="751">
        <v>4.0000000000000001E-3</v>
      </c>
      <c r="H80" s="751">
        <v>2E-3</v>
      </c>
      <c r="I80" s="751">
        <v>0.38900000000000001</v>
      </c>
      <c r="J80" s="751">
        <v>0</v>
      </c>
      <c r="K80" s="751">
        <v>0</v>
      </c>
      <c r="L80" s="751">
        <v>0</v>
      </c>
      <c r="M80" s="751">
        <v>0</v>
      </c>
      <c r="N80" s="312">
        <f t="shared" si="267"/>
        <v>0.40500000000000003</v>
      </c>
      <c r="O80" s="751">
        <v>0.01</v>
      </c>
      <c r="P80" s="751">
        <v>4.0000000000000001E-3</v>
      </c>
      <c r="Q80" s="751">
        <v>2E-3</v>
      </c>
      <c r="R80" s="751">
        <v>0.38700000000000001</v>
      </c>
      <c r="S80" s="751">
        <v>0</v>
      </c>
      <c r="T80" s="751">
        <v>0</v>
      </c>
      <c r="U80" s="751">
        <v>0</v>
      </c>
      <c r="V80" s="751">
        <v>0</v>
      </c>
      <c r="W80" s="312">
        <f t="shared" si="349"/>
        <v>0.40300000000000002</v>
      </c>
      <c r="X80" s="2385"/>
      <c r="Y80" s="2385"/>
      <c r="Z80" s="2386"/>
      <c r="AA80" s="349"/>
      <c r="AB80" s="795" t="s">
        <v>11007</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9865</v>
      </c>
      <c r="BG80" s="354" t="s">
        <v>9215</v>
      </c>
      <c r="BH80" s="287" t="s">
        <v>11008</v>
      </c>
      <c r="BI80" s="287" t="s">
        <v>11009</v>
      </c>
      <c r="BJ80" s="287" t="s">
        <v>11010</v>
      </c>
      <c r="BK80" s="287" t="s">
        <v>11011</v>
      </c>
      <c r="BL80" s="287" t="s">
        <v>11012</v>
      </c>
      <c r="BM80" s="287" t="s">
        <v>11013</v>
      </c>
      <c r="BN80" s="287" t="s">
        <v>11014</v>
      </c>
      <c r="BO80" s="287" t="s">
        <v>11015</v>
      </c>
      <c r="BP80" s="288" t="s">
        <v>11016</v>
      </c>
      <c r="BQ80" s="287" t="s">
        <v>11017</v>
      </c>
      <c r="BR80" s="287" t="s">
        <v>11018</v>
      </c>
      <c r="BS80" s="287" t="s">
        <v>11019</v>
      </c>
      <c r="BT80" s="287" t="s">
        <v>11020</v>
      </c>
      <c r="BU80" s="287" t="s">
        <v>11021</v>
      </c>
      <c r="BV80" s="287" t="s">
        <v>11022</v>
      </c>
      <c r="BW80" s="287" t="s">
        <v>11023</v>
      </c>
      <c r="BX80" s="287" t="s">
        <v>11024</v>
      </c>
      <c r="BY80" s="288" t="s">
        <v>11025</v>
      </c>
      <c r="BZ80" s="744"/>
      <c r="CA80" s="744"/>
      <c r="CB80" s="745"/>
    </row>
    <row r="81" spans="1:80" ht="15.75" customHeight="1">
      <c r="A81" s="197"/>
      <c r="B81" s="792" t="s">
        <v>9865</v>
      </c>
      <c r="C81" s="2357" t="s">
        <v>9223</v>
      </c>
      <c r="D81" s="325" t="s">
        <v>4215</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5"/>
      <c r="Y81" s="2385"/>
      <c r="Z81" s="2386"/>
      <c r="AA81" s="349"/>
      <c r="AB81" s="795" t="s">
        <v>11026</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9865</v>
      </c>
      <c r="BG81" s="354" t="s">
        <v>9223</v>
      </c>
      <c r="BH81" s="287" t="s">
        <v>11027</v>
      </c>
      <c r="BI81" s="287" t="s">
        <v>11028</v>
      </c>
      <c r="BJ81" s="287" t="s">
        <v>11029</v>
      </c>
      <c r="BK81" s="287" t="s">
        <v>11030</v>
      </c>
      <c r="BL81" s="287" t="s">
        <v>11031</v>
      </c>
      <c r="BM81" s="287" t="s">
        <v>11032</v>
      </c>
      <c r="BN81" s="287" t="s">
        <v>11033</v>
      </c>
      <c r="BO81" s="287" t="s">
        <v>11034</v>
      </c>
      <c r="BP81" s="288" t="s">
        <v>11035</v>
      </c>
      <c r="BQ81" s="287" t="s">
        <v>11036</v>
      </c>
      <c r="BR81" s="287" t="s">
        <v>11037</v>
      </c>
      <c r="BS81" s="287" t="s">
        <v>11038</v>
      </c>
      <c r="BT81" s="287" t="s">
        <v>11039</v>
      </c>
      <c r="BU81" s="287" t="s">
        <v>11040</v>
      </c>
      <c r="BV81" s="287" t="s">
        <v>11041</v>
      </c>
      <c r="BW81" s="287" t="s">
        <v>11042</v>
      </c>
      <c r="BX81" s="287" t="s">
        <v>11043</v>
      </c>
      <c r="BY81" s="288" t="s">
        <v>11044</v>
      </c>
      <c r="BZ81" s="744"/>
      <c r="CA81" s="744"/>
      <c r="CB81" s="745"/>
    </row>
    <row r="82" spans="1:80" ht="15.75" customHeight="1">
      <c r="A82" s="197"/>
      <c r="B82" s="792" t="s">
        <v>9865</v>
      </c>
      <c r="C82" s="2357" t="s">
        <v>9231</v>
      </c>
      <c r="D82" s="325" t="s">
        <v>4215</v>
      </c>
      <c r="E82" s="325">
        <v>3</v>
      </c>
      <c r="F82" s="312">
        <f>IFERROR(SUM(F80:F81), 0)</f>
        <v>0.01</v>
      </c>
      <c r="G82" s="312">
        <f t="shared" ref="G82:M82" si="387">IFERROR(SUM(G80:G81), 0)</f>
        <v>4.0000000000000001E-3</v>
      </c>
      <c r="H82" s="312">
        <f t="shared" si="387"/>
        <v>2E-3</v>
      </c>
      <c r="I82" s="312">
        <f t="shared" si="387"/>
        <v>0.38900000000000001</v>
      </c>
      <c r="J82" s="312">
        <f t="shared" si="387"/>
        <v>0</v>
      </c>
      <c r="K82" s="312">
        <f t="shared" si="387"/>
        <v>0</v>
      </c>
      <c r="L82" s="312">
        <f t="shared" si="387"/>
        <v>0</v>
      </c>
      <c r="M82" s="312">
        <f t="shared" si="387"/>
        <v>0</v>
      </c>
      <c r="N82" s="312">
        <f t="shared" si="267"/>
        <v>0.40500000000000003</v>
      </c>
      <c r="O82" s="312">
        <f>IFERROR(SUM(O80:O81), 0)</f>
        <v>0.01</v>
      </c>
      <c r="P82" s="312">
        <f t="shared" ref="P82:V82" si="388">IFERROR(SUM(P80:P81), 0)</f>
        <v>4.0000000000000001E-3</v>
      </c>
      <c r="Q82" s="312">
        <f t="shared" si="388"/>
        <v>2E-3</v>
      </c>
      <c r="R82" s="312">
        <f t="shared" si="388"/>
        <v>0.38700000000000001</v>
      </c>
      <c r="S82" s="312">
        <f t="shared" si="388"/>
        <v>0</v>
      </c>
      <c r="T82" s="312">
        <f t="shared" si="388"/>
        <v>0</v>
      </c>
      <c r="U82" s="312">
        <f t="shared" si="388"/>
        <v>0</v>
      </c>
      <c r="V82" s="312">
        <f t="shared" si="388"/>
        <v>0</v>
      </c>
      <c r="W82" s="312">
        <f t="shared" si="349"/>
        <v>0.40300000000000002</v>
      </c>
      <c r="X82" s="751">
        <v>1.0780000000000001</v>
      </c>
      <c r="Y82" s="751">
        <v>0.49199999999999999</v>
      </c>
      <c r="Z82" s="796">
        <v>0.78</v>
      </c>
      <c r="AA82" s="349"/>
      <c r="AB82" s="795" t="s">
        <v>11045</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9865</v>
      </c>
      <c r="BG82" s="354" t="s">
        <v>9231</v>
      </c>
      <c r="BH82" s="288" t="s">
        <v>11046</v>
      </c>
      <c r="BI82" s="288" t="s">
        <v>11047</v>
      </c>
      <c r="BJ82" s="288" t="s">
        <v>11048</v>
      </c>
      <c r="BK82" s="288" t="s">
        <v>11049</v>
      </c>
      <c r="BL82" s="288" t="s">
        <v>11050</v>
      </c>
      <c r="BM82" s="288" t="s">
        <v>11051</v>
      </c>
      <c r="BN82" s="288" t="s">
        <v>11052</v>
      </c>
      <c r="BO82" s="288" t="s">
        <v>11053</v>
      </c>
      <c r="BP82" s="288" t="s">
        <v>11054</v>
      </c>
      <c r="BQ82" s="288" t="s">
        <v>11055</v>
      </c>
      <c r="BR82" s="288" t="s">
        <v>11056</v>
      </c>
      <c r="BS82" s="288" t="s">
        <v>11057</v>
      </c>
      <c r="BT82" s="288" t="s">
        <v>11058</v>
      </c>
      <c r="BU82" s="288" t="s">
        <v>11059</v>
      </c>
      <c r="BV82" s="288" t="s">
        <v>11060</v>
      </c>
      <c r="BW82" s="288" t="s">
        <v>11061</v>
      </c>
      <c r="BX82" s="288" t="s">
        <v>11062</v>
      </c>
      <c r="BY82" s="288" t="s">
        <v>11063</v>
      </c>
      <c r="BZ82" s="740" t="s">
        <v>11064</v>
      </c>
      <c r="CA82" s="740" t="s">
        <v>11065</v>
      </c>
      <c r="CB82" s="1117" t="s">
        <v>11066</v>
      </c>
    </row>
    <row r="83" spans="1:80" ht="15.75" customHeight="1">
      <c r="A83" s="197"/>
      <c r="B83" s="792" t="s">
        <v>9890</v>
      </c>
      <c r="C83" s="2357" t="s">
        <v>9215</v>
      </c>
      <c r="D83" s="325" t="s">
        <v>4215</v>
      </c>
      <c r="E83" s="325">
        <v>3</v>
      </c>
      <c r="F83" s="751">
        <v>9.0999999999999998E-2</v>
      </c>
      <c r="G83" s="751">
        <v>3.4999999999999996E-2</v>
      </c>
      <c r="H83" s="751">
        <v>2.3E-2</v>
      </c>
      <c r="I83" s="751">
        <v>0.11</v>
      </c>
      <c r="J83" s="751">
        <v>3.0000000000000001E-3</v>
      </c>
      <c r="K83" s="751">
        <v>1.6E-2</v>
      </c>
      <c r="L83" s="751">
        <v>4.1999999999999996E-2</v>
      </c>
      <c r="M83" s="751">
        <v>0.01</v>
      </c>
      <c r="N83" s="312">
        <f t="shared" si="267"/>
        <v>0.33</v>
      </c>
      <c r="O83" s="751">
        <v>0</v>
      </c>
      <c r="P83" s="751">
        <v>0</v>
      </c>
      <c r="Q83" s="751">
        <v>0</v>
      </c>
      <c r="R83" s="751">
        <v>0</v>
      </c>
      <c r="S83" s="751">
        <v>0</v>
      </c>
      <c r="T83" s="751">
        <v>0</v>
      </c>
      <c r="U83" s="751">
        <v>0</v>
      </c>
      <c r="V83" s="751">
        <v>0</v>
      </c>
      <c r="W83" s="312">
        <f t="shared" si="349"/>
        <v>0</v>
      </c>
      <c r="X83" s="2385"/>
      <c r="Y83" s="2385"/>
      <c r="Z83" s="2386"/>
      <c r="AA83" s="349"/>
      <c r="AB83" s="795" t="s">
        <v>11067</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9890</v>
      </c>
      <c r="BG83" s="354" t="s">
        <v>9215</v>
      </c>
      <c r="BH83" s="287" t="s">
        <v>11068</v>
      </c>
      <c r="BI83" s="287" t="s">
        <v>11069</v>
      </c>
      <c r="BJ83" s="287" t="s">
        <v>11070</v>
      </c>
      <c r="BK83" s="287" t="s">
        <v>11071</v>
      </c>
      <c r="BL83" s="287" t="s">
        <v>11072</v>
      </c>
      <c r="BM83" s="287" t="s">
        <v>11073</v>
      </c>
      <c r="BN83" s="287" t="s">
        <v>11074</v>
      </c>
      <c r="BO83" s="287" t="s">
        <v>11075</v>
      </c>
      <c r="BP83" s="288" t="s">
        <v>11076</v>
      </c>
      <c r="BQ83" s="287" t="s">
        <v>11077</v>
      </c>
      <c r="BR83" s="287" t="s">
        <v>11078</v>
      </c>
      <c r="BS83" s="287" t="s">
        <v>11079</v>
      </c>
      <c r="BT83" s="287" t="s">
        <v>11080</v>
      </c>
      <c r="BU83" s="287" t="s">
        <v>11081</v>
      </c>
      <c r="BV83" s="287" t="s">
        <v>11082</v>
      </c>
      <c r="BW83" s="287" t="s">
        <v>11083</v>
      </c>
      <c r="BX83" s="287" t="s">
        <v>11084</v>
      </c>
      <c r="BY83" s="288" t="s">
        <v>11085</v>
      </c>
      <c r="BZ83" s="744"/>
      <c r="CA83" s="744"/>
      <c r="CB83" s="745"/>
    </row>
    <row r="84" spans="1:80" ht="15.75" customHeight="1">
      <c r="A84" s="197"/>
      <c r="B84" s="792" t="s">
        <v>9890</v>
      </c>
      <c r="C84" s="2357" t="s">
        <v>9223</v>
      </c>
      <c r="D84" s="325" t="s">
        <v>4215</v>
      </c>
      <c r="E84" s="325">
        <v>3</v>
      </c>
      <c r="F84" s="751">
        <v>0</v>
      </c>
      <c r="G84" s="751">
        <v>0</v>
      </c>
      <c r="H84" s="751">
        <v>0</v>
      </c>
      <c r="I84" s="751">
        <v>0</v>
      </c>
      <c r="J84" s="751">
        <v>0</v>
      </c>
      <c r="K84" s="751">
        <v>0</v>
      </c>
      <c r="L84" s="751">
        <v>0</v>
      </c>
      <c r="M84" s="751">
        <v>0</v>
      </c>
      <c r="N84" s="312">
        <f t="shared" si="267"/>
        <v>0</v>
      </c>
      <c r="O84" s="751">
        <v>0</v>
      </c>
      <c r="P84" s="751">
        <v>0</v>
      </c>
      <c r="Q84" s="751">
        <v>0</v>
      </c>
      <c r="R84" s="751">
        <v>0</v>
      </c>
      <c r="S84" s="751">
        <v>0</v>
      </c>
      <c r="T84" s="751">
        <v>0</v>
      </c>
      <c r="U84" s="751">
        <v>0</v>
      </c>
      <c r="V84" s="751">
        <v>0</v>
      </c>
      <c r="W84" s="312">
        <f t="shared" si="349"/>
        <v>0</v>
      </c>
      <c r="X84" s="2385"/>
      <c r="Y84" s="2385"/>
      <c r="Z84" s="2386"/>
      <c r="AA84" s="349"/>
      <c r="AB84" s="795" t="s">
        <v>11086</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9890</v>
      </c>
      <c r="BG84" s="354" t="s">
        <v>9223</v>
      </c>
      <c r="BH84" s="287" t="s">
        <v>11087</v>
      </c>
      <c r="BI84" s="287" t="s">
        <v>11088</v>
      </c>
      <c r="BJ84" s="287" t="s">
        <v>11089</v>
      </c>
      <c r="BK84" s="287" t="s">
        <v>11090</v>
      </c>
      <c r="BL84" s="287" t="s">
        <v>11091</v>
      </c>
      <c r="BM84" s="287" t="s">
        <v>11092</v>
      </c>
      <c r="BN84" s="287" t="s">
        <v>11093</v>
      </c>
      <c r="BO84" s="287" t="s">
        <v>11094</v>
      </c>
      <c r="BP84" s="288" t="s">
        <v>11095</v>
      </c>
      <c r="BQ84" s="287" t="s">
        <v>11096</v>
      </c>
      <c r="BR84" s="287" t="s">
        <v>11097</v>
      </c>
      <c r="BS84" s="287" t="s">
        <v>11098</v>
      </c>
      <c r="BT84" s="287" t="s">
        <v>11099</v>
      </c>
      <c r="BU84" s="287" t="s">
        <v>11100</v>
      </c>
      <c r="BV84" s="287" t="s">
        <v>11101</v>
      </c>
      <c r="BW84" s="287" t="s">
        <v>11102</v>
      </c>
      <c r="BX84" s="287" t="s">
        <v>11103</v>
      </c>
      <c r="BY84" s="288" t="s">
        <v>11104</v>
      </c>
      <c r="BZ84" s="744"/>
      <c r="CA84" s="744"/>
      <c r="CB84" s="745"/>
    </row>
    <row r="85" spans="1:80" ht="15.75" customHeight="1">
      <c r="A85" s="197"/>
      <c r="B85" s="792" t="s">
        <v>9890</v>
      </c>
      <c r="C85" s="2357" t="s">
        <v>9231</v>
      </c>
      <c r="D85" s="325" t="s">
        <v>4215</v>
      </c>
      <c r="E85" s="325">
        <v>3</v>
      </c>
      <c r="F85" s="312">
        <f>IFERROR(SUM(F83:F84), 0)</f>
        <v>9.0999999999999998E-2</v>
      </c>
      <c r="G85" s="312">
        <f t="shared" ref="G85:M85" si="408">IFERROR(SUM(G83:G84), 0)</f>
        <v>3.4999999999999996E-2</v>
      </c>
      <c r="H85" s="312">
        <f t="shared" si="408"/>
        <v>2.3E-2</v>
      </c>
      <c r="I85" s="312">
        <f t="shared" si="408"/>
        <v>0.11</v>
      </c>
      <c r="J85" s="312">
        <f t="shared" si="408"/>
        <v>3.0000000000000001E-3</v>
      </c>
      <c r="K85" s="312">
        <f t="shared" si="408"/>
        <v>1.6E-2</v>
      </c>
      <c r="L85" s="312">
        <f t="shared" si="408"/>
        <v>4.1999999999999996E-2</v>
      </c>
      <c r="M85" s="312">
        <f t="shared" si="408"/>
        <v>0.01</v>
      </c>
      <c r="N85" s="312">
        <f t="shared" si="267"/>
        <v>0.33</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0.626</v>
      </c>
      <c r="Y85" s="751">
        <v>0.25</v>
      </c>
      <c r="Z85" s="796">
        <v>0.73599999999999999</v>
      </c>
      <c r="AA85" s="349"/>
      <c r="AB85" s="795" t="s">
        <v>11105</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9890</v>
      </c>
      <c r="BG85" s="354" t="s">
        <v>9231</v>
      </c>
      <c r="BH85" s="288" t="s">
        <v>11106</v>
      </c>
      <c r="BI85" s="288" t="s">
        <v>11107</v>
      </c>
      <c r="BJ85" s="288" t="s">
        <v>11108</v>
      </c>
      <c r="BK85" s="288" t="s">
        <v>11109</v>
      </c>
      <c r="BL85" s="288" t="s">
        <v>11110</v>
      </c>
      <c r="BM85" s="288" t="s">
        <v>11111</v>
      </c>
      <c r="BN85" s="288" t="s">
        <v>11112</v>
      </c>
      <c r="BO85" s="288" t="s">
        <v>11113</v>
      </c>
      <c r="BP85" s="288" t="s">
        <v>11114</v>
      </c>
      <c r="BQ85" s="288" t="s">
        <v>11115</v>
      </c>
      <c r="BR85" s="288" t="s">
        <v>11116</v>
      </c>
      <c r="BS85" s="288" t="s">
        <v>11117</v>
      </c>
      <c r="BT85" s="288" t="s">
        <v>11118</v>
      </c>
      <c r="BU85" s="288" t="s">
        <v>11119</v>
      </c>
      <c r="BV85" s="288" t="s">
        <v>11120</v>
      </c>
      <c r="BW85" s="288" t="s">
        <v>11121</v>
      </c>
      <c r="BX85" s="288" t="s">
        <v>11122</v>
      </c>
      <c r="BY85" s="288" t="s">
        <v>11123</v>
      </c>
      <c r="BZ85" s="740" t="s">
        <v>11124</v>
      </c>
      <c r="CA85" s="740" t="s">
        <v>11125</v>
      </c>
      <c r="CB85" s="1117" t="s">
        <v>11126</v>
      </c>
    </row>
    <row r="86" spans="1:80" ht="15.75" customHeight="1">
      <c r="A86" s="197"/>
      <c r="B86" s="2392" t="s">
        <v>18843</v>
      </c>
      <c r="C86" s="2357" t="s">
        <v>9215</v>
      </c>
      <c r="D86" s="325" t="s">
        <v>4215</v>
      </c>
      <c r="E86" s="325">
        <v>3</v>
      </c>
      <c r="F86" s="751">
        <v>0.75600000000000001</v>
      </c>
      <c r="G86" s="751">
        <v>0.31</v>
      </c>
      <c r="H86" s="751">
        <v>0.17299999999999999</v>
      </c>
      <c r="I86" s="751">
        <v>2E-3</v>
      </c>
      <c r="J86" s="751">
        <v>0</v>
      </c>
      <c r="K86" s="751">
        <v>0</v>
      </c>
      <c r="L86" s="751">
        <v>0</v>
      </c>
      <c r="M86" s="751">
        <v>0</v>
      </c>
      <c r="N86" s="312">
        <f t="shared" si="267"/>
        <v>1.2410000000000001</v>
      </c>
      <c r="O86" s="2384"/>
      <c r="P86" s="2384"/>
      <c r="Q86" s="2384"/>
      <c r="R86" s="2384"/>
      <c r="S86" s="2384"/>
      <c r="T86" s="2384"/>
      <c r="U86" s="2384"/>
      <c r="V86" s="2384"/>
      <c r="W86" s="2384"/>
      <c r="X86" s="751">
        <v>5.194</v>
      </c>
      <c r="Y86" s="751">
        <v>5.3780000000000001</v>
      </c>
      <c r="Z86" s="796">
        <v>8.3810000000000002</v>
      </c>
      <c r="AA86" s="349"/>
      <c r="AB86" s="795" t="s">
        <v>11127</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9915</v>
      </c>
      <c r="BG86" s="354" t="s">
        <v>9215</v>
      </c>
      <c r="BH86" s="287" t="s">
        <v>11128</v>
      </c>
      <c r="BI86" s="287" t="s">
        <v>11129</v>
      </c>
      <c r="BJ86" s="287" t="s">
        <v>11130</v>
      </c>
      <c r="BK86" s="287" t="s">
        <v>11131</v>
      </c>
      <c r="BL86" s="287" t="s">
        <v>11132</v>
      </c>
      <c r="BM86" s="287" t="s">
        <v>11133</v>
      </c>
      <c r="BN86" s="287" t="s">
        <v>11134</v>
      </c>
      <c r="BO86" s="287" t="s">
        <v>11135</v>
      </c>
      <c r="BP86" s="288" t="s">
        <v>11136</v>
      </c>
      <c r="BQ86" s="399"/>
      <c r="BR86" s="399"/>
      <c r="BS86" s="399"/>
      <c r="BT86" s="399"/>
      <c r="BU86" s="399"/>
      <c r="BV86" s="399"/>
      <c r="BW86" s="399"/>
      <c r="BX86" s="399"/>
      <c r="BY86" s="399"/>
      <c r="BZ86" s="740" t="s">
        <v>11137</v>
      </c>
      <c r="CA86" s="740" t="s">
        <v>11138</v>
      </c>
      <c r="CB86" s="1117" t="s">
        <v>11139</v>
      </c>
    </row>
    <row r="87" spans="1:80" ht="15.75" customHeight="1">
      <c r="A87" s="197"/>
      <c r="B87" s="2392" t="s">
        <v>18843</v>
      </c>
      <c r="C87" s="2357" t="s">
        <v>9223</v>
      </c>
      <c r="D87" s="325" t="s">
        <v>4215</v>
      </c>
      <c r="E87" s="325">
        <v>3</v>
      </c>
      <c r="F87" s="751">
        <v>0</v>
      </c>
      <c r="G87" s="751">
        <v>0</v>
      </c>
      <c r="H87" s="751">
        <v>0</v>
      </c>
      <c r="I87" s="751">
        <v>0</v>
      </c>
      <c r="J87" s="751">
        <v>0</v>
      </c>
      <c r="K87" s="751">
        <v>0</v>
      </c>
      <c r="L87" s="751">
        <v>0</v>
      </c>
      <c r="M87" s="751">
        <v>0</v>
      </c>
      <c r="N87" s="312">
        <f t="shared" si="267"/>
        <v>0</v>
      </c>
      <c r="O87" s="2384"/>
      <c r="P87" s="2384"/>
      <c r="Q87" s="2384"/>
      <c r="R87" s="2384"/>
      <c r="S87" s="2384"/>
      <c r="T87" s="2384"/>
      <c r="U87" s="2384"/>
      <c r="V87" s="2384"/>
      <c r="W87" s="2384"/>
      <c r="X87" s="751">
        <v>0</v>
      </c>
      <c r="Y87" s="751">
        <v>0</v>
      </c>
      <c r="Z87" s="796">
        <v>0</v>
      </c>
      <c r="AA87" s="349"/>
      <c r="AB87" s="795" t="s">
        <v>11140</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9915</v>
      </c>
      <c r="BG87" s="354" t="s">
        <v>9223</v>
      </c>
      <c r="BH87" s="287" t="s">
        <v>11141</v>
      </c>
      <c r="BI87" s="287" t="s">
        <v>11142</v>
      </c>
      <c r="BJ87" s="287" t="s">
        <v>11143</v>
      </c>
      <c r="BK87" s="287" t="s">
        <v>11144</v>
      </c>
      <c r="BL87" s="287" t="s">
        <v>11145</v>
      </c>
      <c r="BM87" s="287" t="s">
        <v>11146</v>
      </c>
      <c r="BN87" s="287" t="s">
        <v>11147</v>
      </c>
      <c r="BO87" s="287" t="s">
        <v>11148</v>
      </c>
      <c r="BP87" s="288" t="s">
        <v>11149</v>
      </c>
      <c r="BQ87" s="399"/>
      <c r="BR87" s="399"/>
      <c r="BS87" s="399"/>
      <c r="BT87" s="399"/>
      <c r="BU87" s="399"/>
      <c r="BV87" s="399"/>
      <c r="BW87" s="399"/>
      <c r="BX87" s="399"/>
      <c r="BY87" s="399"/>
      <c r="BZ87" s="740" t="s">
        <v>11150</v>
      </c>
      <c r="CA87" s="740" t="s">
        <v>11151</v>
      </c>
      <c r="CB87" s="1117" t="s">
        <v>11152</v>
      </c>
    </row>
    <row r="88" spans="1:80" ht="15.75" customHeight="1">
      <c r="A88" s="197"/>
      <c r="B88" s="2392" t="s">
        <v>18844</v>
      </c>
      <c r="C88" s="2357" t="s">
        <v>9215</v>
      </c>
      <c r="D88" s="325" t="s">
        <v>4215</v>
      </c>
      <c r="E88" s="325">
        <v>3</v>
      </c>
      <c r="F88" s="751">
        <v>0.48899999999999999</v>
      </c>
      <c r="G88" s="751">
        <v>0.20100000000000001</v>
      </c>
      <c r="H88" s="751">
        <v>0.112</v>
      </c>
      <c r="I88" s="751">
        <v>1.19</v>
      </c>
      <c r="J88" s="751">
        <v>0</v>
      </c>
      <c r="K88" s="751">
        <v>0</v>
      </c>
      <c r="L88" s="751">
        <v>-6.0000000000000001E-3</v>
      </c>
      <c r="M88" s="751">
        <v>0</v>
      </c>
      <c r="N88" s="312">
        <f t="shared" si="267"/>
        <v>1.986</v>
      </c>
      <c r="O88" s="2384"/>
      <c r="P88" s="2384"/>
      <c r="Q88" s="2384"/>
      <c r="R88" s="2384"/>
      <c r="S88" s="2384"/>
      <c r="T88" s="2384"/>
      <c r="U88" s="2384"/>
      <c r="V88" s="2384"/>
      <c r="W88" s="2384"/>
      <c r="X88" s="751">
        <v>21.550999999999998</v>
      </c>
      <c r="Y88" s="751">
        <v>24.896000000000001</v>
      </c>
      <c r="Z88" s="796">
        <v>38.799999999999997</v>
      </c>
      <c r="AA88" s="349"/>
      <c r="AB88" s="795" t="s">
        <v>11153</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9936</v>
      </c>
      <c r="BG88" s="354" t="s">
        <v>9215</v>
      </c>
      <c r="BH88" s="287" t="s">
        <v>11154</v>
      </c>
      <c r="BI88" s="287" t="s">
        <v>11155</v>
      </c>
      <c r="BJ88" s="287" t="s">
        <v>11156</v>
      </c>
      <c r="BK88" s="287" t="s">
        <v>11157</v>
      </c>
      <c r="BL88" s="287" t="s">
        <v>11158</v>
      </c>
      <c r="BM88" s="287" t="s">
        <v>11159</v>
      </c>
      <c r="BN88" s="287" t="s">
        <v>11160</v>
      </c>
      <c r="BO88" s="287" t="s">
        <v>11161</v>
      </c>
      <c r="BP88" s="288" t="s">
        <v>11162</v>
      </c>
      <c r="BQ88" s="399"/>
      <c r="BR88" s="399"/>
      <c r="BS88" s="399"/>
      <c r="BT88" s="399"/>
      <c r="BU88" s="399"/>
      <c r="BV88" s="399"/>
      <c r="BW88" s="399"/>
      <c r="BX88" s="399"/>
      <c r="BY88" s="399"/>
      <c r="BZ88" s="740" t="s">
        <v>11163</v>
      </c>
      <c r="CA88" s="740" t="s">
        <v>11164</v>
      </c>
      <c r="CB88" s="1117" t="s">
        <v>11165</v>
      </c>
    </row>
    <row r="89" spans="1:80" ht="15.75" customHeight="1">
      <c r="A89" s="197"/>
      <c r="B89" s="2392" t="s">
        <v>18844</v>
      </c>
      <c r="C89" s="2357" t="s">
        <v>9223</v>
      </c>
      <c r="D89" s="325" t="s">
        <v>4215</v>
      </c>
      <c r="E89" s="325">
        <v>3</v>
      </c>
      <c r="F89" s="751">
        <v>0</v>
      </c>
      <c r="G89" s="751">
        <v>0</v>
      </c>
      <c r="H89" s="751">
        <v>0</v>
      </c>
      <c r="I89" s="751">
        <v>0</v>
      </c>
      <c r="J89" s="751">
        <v>0</v>
      </c>
      <c r="K89" s="751">
        <v>0</v>
      </c>
      <c r="L89" s="751">
        <v>0</v>
      </c>
      <c r="M89" s="751">
        <v>0</v>
      </c>
      <c r="N89" s="312">
        <f t="shared" si="267"/>
        <v>0</v>
      </c>
      <c r="O89" s="2384"/>
      <c r="P89" s="2384"/>
      <c r="Q89" s="2384"/>
      <c r="R89" s="2384"/>
      <c r="S89" s="2384"/>
      <c r="T89" s="2384"/>
      <c r="U89" s="2384"/>
      <c r="V89" s="2384"/>
      <c r="W89" s="2384"/>
      <c r="X89" s="751">
        <v>0</v>
      </c>
      <c r="Y89" s="751">
        <v>0</v>
      </c>
      <c r="Z89" s="796">
        <v>0</v>
      </c>
      <c r="AA89" s="349"/>
      <c r="AB89" s="795" t="s">
        <v>11166</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9936</v>
      </c>
      <c r="BG89" s="354" t="s">
        <v>9223</v>
      </c>
      <c r="BH89" s="287" t="s">
        <v>11167</v>
      </c>
      <c r="BI89" s="287" t="s">
        <v>11168</v>
      </c>
      <c r="BJ89" s="287" t="s">
        <v>11169</v>
      </c>
      <c r="BK89" s="287" t="s">
        <v>11170</v>
      </c>
      <c r="BL89" s="287" t="s">
        <v>11171</v>
      </c>
      <c r="BM89" s="287" t="s">
        <v>11172</v>
      </c>
      <c r="BN89" s="287" t="s">
        <v>11173</v>
      </c>
      <c r="BO89" s="287" t="s">
        <v>11174</v>
      </c>
      <c r="BP89" s="288" t="s">
        <v>11175</v>
      </c>
      <c r="BQ89" s="399"/>
      <c r="BR89" s="399"/>
      <c r="BS89" s="399"/>
      <c r="BT89" s="399"/>
      <c r="BU89" s="399"/>
      <c r="BV89" s="399"/>
      <c r="BW89" s="399"/>
      <c r="BX89" s="399"/>
      <c r="BY89" s="399"/>
      <c r="BZ89" s="740" t="s">
        <v>11176</v>
      </c>
      <c r="CA89" s="740" t="s">
        <v>11177</v>
      </c>
      <c r="CB89" s="1117" t="s">
        <v>11178</v>
      </c>
    </row>
    <row r="90" spans="1:80" ht="15.75" customHeight="1">
      <c r="A90" s="197"/>
      <c r="B90" s="2392" t="s">
        <v>18845</v>
      </c>
      <c r="C90" s="2357" t="s">
        <v>9215</v>
      </c>
      <c r="D90" s="325" t="s">
        <v>4215</v>
      </c>
      <c r="E90" s="325">
        <v>3</v>
      </c>
      <c r="F90" s="751">
        <v>2.8000000000000001E-2</v>
      </c>
      <c r="G90" s="751">
        <v>1.2E-2</v>
      </c>
      <c r="H90" s="751">
        <v>6.0000000000000001E-3</v>
      </c>
      <c r="I90" s="751">
        <v>0</v>
      </c>
      <c r="J90" s="751">
        <v>0</v>
      </c>
      <c r="K90" s="751">
        <v>0</v>
      </c>
      <c r="L90" s="751">
        <v>0</v>
      </c>
      <c r="M90" s="751">
        <v>0</v>
      </c>
      <c r="N90" s="312">
        <f t="shared" si="267"/>
        <v>4.5999999999999999E-2</v>
      </c>
      <c r="O90" s="2384"/>
      <c r="P90" s="2384"/>
      <c r="Q90" s="2384"/>
      <c r="R90" s="2384"/>
      <c r="S90" s="2384"/>
      <c r="T90" s="2384"/>
      <c r="U90" s="2384"/>
      <c r="V90" s="2384"/>
      <c r="W90" s="2384"/>
      <c r="X90" s="751">
        <v>2.2010000000000001</v>
      </c>
      <c r="Y90" s="751">
        <v>0</v>
      </c>
      <c r="Z90" s="796">
        <v>0</v>
      </c>
      <c r="AA90" s="349"/>
      <c r="AB90" s="795" t="s">
        <v>11179</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9957</v>
      </c>
      <c r="BG90" s="354" t="s">
        <v>9215</v>
      </c>
      <c r="BH90" s="287" t="s">
        <v>11180</v>
      </c>
      <c r="BI90" s="287" t="s">
        <v>11181</v>
      </c>
      <c r="BJ90" s="287" t="s">
        <v>11182</v>
      </c>
      <c r="BK90" s="287" t="s">
        <v>11183</v>
      </c>
      <c r="BL90" s="287" t="s">
        <v>11184</v>
      </c>
      <c r="BM90" s="287" t="s">
        <v>11185</v>
      </c>
      <c r="BN90" s="287" t="s">
        <v>11186</v>
      </c>
      <c r="BO90" s="287" t="s">
        <v>11187</v>
      </c>
      <c r="BP90" s="288" t="s">
        <v>11188</v>
      </c>
      <c r="BQ90" s="399"/>
      <c r="BR90" s="399"/>
      <c r="BS90" s="399"/>
      <c r="BT90" s="399"/>
      <c r="BU90" s="399"/>
      <c r="BV90" s="399"/>
      <c r="BW90" s="399"/>
      <c r="BX90" s="399"/>
      <c r="BY90" s="399"/>
      <c r="BZ90" s="740" t="s">
        <v>11189</v>
      </c>
      <c r="CA90" s="740" t="s">
        <v>11190</v>
      </c>
      <c r="CB90" s="1117" t="s">
        <v>11191</v>
      </c>
    </row>
    <row r="91" spans="1:80" ht="15.75" customHeight="1">
      <c r="A91" s="197"/>
      <c r="B91" s="2392" t="s">
        <v>18845</v>
      </c>
      <c r="C91" s="2357" t="s">
        <v>9223</v>
      </c>
      <c r="D91" s="325" t="s">
        <v>4215</v>
      </c>
      <c r="E91" s="325">
        <v>3</v>
      </c>
      <c r="F91" s="751">
        <v>0</v>
      </c>
      <c r="G91" s="751">
        <v>0</v>
      </c>
      <c r="H91" s="751">
        <v>0</v>
      </c>
      <c r="I91" s="751">
        <v>0</v>
      </c>
      <c r="J91" s="751">
        <v>0</v>
      </c>
      <c r="K91" s="751">
        <v>0</v>
      </c>
      <c r="L91" s="751">
        <v>0</v>
      </c>
      <c r="M91" s="751">
        <v>0</v>
      </c>
      <c r="N91" s="312">
        <f t="shared" si="267"/>
        <v>0</v>
      </c>
      <c r="O91" s="2384"/>
      <c r="P91" s="2384"/>
      <c r="Q91" s="2384"/>
      <c r="R91" s="2384"/>
      <c r="S91" s="2384"/>
      <c r="T91" s="2384"/>
      <c r="U91" s="2384"/>
      <c r="V91" s="2384"/>
      <c r="W91" s="2384"/>
      <c r="X91" s="751">
        <v>0</v>
      </c>
      <c r="Y91" s="751">
        <v>0</v>
      </c>
      <c r="Z91" s="796">
        <v>0</v>
      </c>
      <c r="AA91" s="349"/>
      <c r="AB91" s="795" t="s">
        <v>11192</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9957</v>
      </c>
      <c r="BG91" s="354" t="s">
        <v>9223</v>
      </c>
      <c r="BH91" s="287" t="s">
        <v>11193</v>
      </c>
      <c r="BI91" s="287" t="s">
        <v>11194</v>
      </c>
      <c r="BJ91" s="287" t="s">
        <v>11195</v>
      </c>
      <c r="BK91" s="287" t="s">
        <v>11196</v>
      </c>
      <c r="BL91" s="287" t="s">
        <v>11197</v>
      </c>
      <c r="BM91" s="287" t="s">
        <v>11198</v>
      </c>
      <c r="BN91" s="287" t="s">
        <v>11199</v>
      </c>
      <c r="BO91" s="287" t="s">
        <v>11200</v>
      </c>
      <c r="BP91" s="288" t="s">
        <v>11201</v>
      </c>
      <c r="BQ91" s="399"/>
      <c r="BR91" s="399"/>
      <c r="BS91" s="399"/>
      <c r="BT91" s="399"/>
      <c r="BU91" s="399"/>
      <c r="BV91" s="399"/>
      <c r="BW91" s="399"/>
      <c r="BX91" s="399"/>
      <c r="BY91" s="399"/>
      <c r="BZ91" s="740" t="s">
        <v>11202</v>
      </c>
      <c r="CA91" s="740" t="s">
        <v>11203</v>
      </c>
      <c r="CB91" s="1117" t="s">
        <v>11204</v>
      </c>
    </row>
    <row r="92" spans="1:80" ht="15.75" customHeight="1">
      <c r="A92" s="197"/>
      <c r="B92" s="2392" t="s">
        <v>9978</v>
      </c>
      <c r="C92" s="2357" t="s">
        <v>9215</v>
      </c>
      <c r="D92" s="325" t="s">
        <v>4215</v>
      </c>
      <c r="E92" s="325">
        <v>3</v>
      </c>
      <c r="F92" s="751">
        <v>0</v>
      </c>
      <c r="G92" s="751">
        <v>0</v>
      </c>
      <c r="H92" s="751">
        <v>0</v>
      </c>
      <c r="I92" s="751">
        <v>0</v>
      </c>
      <c r="J92" s="751">
        <v>0</v>
      </c>
      <c r="K92" s="751">
        <v>0</v>
      </c>
      <c r="L92" s="751">
        <v>0</v>
      </c>
      <c r="M92" s="751">
        <v>0</v>
      </c>
      <c r="N92" s="312">
        <f t="shared" si="267"/>
        <v>0</v>
      </c>
      <c r="O92" s="2384"/>
      <c r="P92" s="2384"/>
      <c r="Q92" s="2384"/>
      <c r="R92" s="2384"/>
      <c r="S92" s="2384"/>
      <c r="T92" s="2384"/>
      <c r="U92" s="2384"/>
      <c r="V92" s="2384"/>
      <c r="W92" s="2384"/>
      <c r="X92" s="751">
        <v>0</v>
      </c>
      <c r="Y92" s="751">
        <v>0</v>
      </c>
      <c r="Z92" s="796">
        <v>0</v>
      </c>
      <c r="AA92" s="106"/>
      <c r="AB92" s="795" t="s">
        <v>11205</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9978</v>
      </c>
      <c r="BG92" s="354" t="s">
        <v>9215</v>
      </c>
      <c r="BH92" s="287" t="s">
        <v>11206</v>
      </c>
      <c r="BI92" s="287" t="s">
        <v>11207</v>
      </c>
      <c r="BJ92" s="287" t="s">
        <v>11208</v>
      </c>
      <c r="BK92" s="287" t="s">
        <v>11209</v>
      </c>
      <c r="BL92" s="287" t="s">
        <v>11210</v>
      </c>
      <c r="BM92" s="287" t="s">
        <v>11211</v>
      </c>
      <c r="BN92" s="287" t="s">
        <v>11212</v>
      </c>
      <c r="BO92" s="287" t="s">
        <v>11213</v>
      </c>
      <c r="BP92" s="288" t="s">
        <v>11214</v>
      </c>
      <c r="BQ92" s="399"/>
      <c r="BR92" s="399"/>
      <c r="BS92" s="399"/>
      <c r="BT92" s="399"/>
      <c r="BU92" s="399"/>
      <c r="BV92" s="399"/>
      <c r="BW92" s="399"/>
      <c r="BX92" s="399"/>
      <c r="BY92" s="399"/>
      <c r="BZ92" s="740" t="s">
        <v>11215</v>
      </c>
      <c r="CA92" s="740" t="s">
        <v>11216</v>
      </c>
      <c r="CB92" s="1117" t="s">
        <v>11217</v>
      </c>
    </row>
    <row r="93" spans="1:80" ht="15.75" customHeight="1">
      <c r="A93" s="197"/>
      <c r="B93" s="2392" t="s">
        <v>9978</v>
      </c>
      <c r="C93" s="2357" t="s">
        <v>9223</v>
      </c>
      <c r="D93" s="325" t="s">
        <v>4215</v>
      </c>
      <c r="E93" s="325">
        <v>3</v>
      </c>
      <c r="F93" s="751">
        <v>0</v>
      </c>
      <c r="G93" s="751">
        <v>0</v>
      </c>
      <c r="H93" s="751">
        <v>0</v>
      </c>
      <c r="I93" s="751">
        <v>0</v>
      </c>
      <c r="J93" s="751">
        <v>0</v>
      </c>
      <c r="K93" s="751">
        <v>0</v>
      </c>
      <c r="L93" s="751">
        <v>0</v>
      </c>
      <c r="M93" s="751">
        <v>0</v>
      </c>
      <c r="N93" s="312">
        <f t="shared" si="267"/>
        <v>0</v>
      </c>
      <c r="O93" s="2384"/>
      <c r="P93" s="2384"/>
      <c r="Q93" s="2384"/>
      <c r="R93" s="2384"/>
      <c r="S93" s="2384"/>
      <c r="T93" s="2384"/>
      <c r="U93" s="2384"/>
      <c r="V93" s="2384"/>
      <c r="W93" s="2384"/>
      <c r="X93" s="751">
        <v>0</v>
      </c>
      <c r="Y93" s="751">
        <v>0</v>
      </c>
      <c r="Z93" s="796">
        <v>0</v>
      </c>
      <c r="AA93" s="106"/>
      <c r="AB93" s="795" t="s">
        <v>11218</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9978</v>
      </c>
      <c r="BG93" s="354" t="s">
        <v>9223</v>
      </c>
      <c r="BH93" s="287" t="s">
        <v>11219</v>
      </c>
      <c r="BI93" s="287" t="s">
        <v>11220</v>
      </c>
      <c r="BJ93" s="287" t="s">
        <v>11221</v>
      </c>
      <c r="BK93" s="287" t="s">
        <v>11222</v>
      </c>
      <c r="BL93" s="287" t="s">
        <v>11223</v>
      </c>
      <c r="BM93" s="287" t="s">
        <v>11224</v>
      </c>
      <c r="BN93" s="287" t="s">
        <v>11225</v>
      </c>
      <c r="BO93" s="287" t="s">
        <v>11226</v>
      </c>
      <c r="BP93" s="288" t="s">
        <v>11227</v>
      </c>
      <c r="BQ93" s="399"/>
      <c r="BR93" s="399"/>
      <c r="BS93" s="399"/>
      <c r="BT93" s="399"/>
      <c r="BU93" s="399"/>
      <c r="BV93" s="399"/>
      <c r="BW93" s="399"/>
      <c r="BX93" s="399"/>
      <c r="BY93" s="399"/>
      <c r="BZ93" s="740" t="s">
        <v>11228</v>
      </c>
      <c r="CA93" s="740" t="s">
        <v>11229</v>
      </c>
      <c r="CB93" s="1117" t="s">
        <v>11230</v>
      </c>
    </row>
    <row r="94" spans="1:80" ht="15.75" customHeight="1">
      <c r="A94" s="197"/>
      <c r="B94" s="2392" t="s">
        <v>9999</v>
      </c>
      <c r="C94" s="2357" t="s">
        <v>9215</v>
      </c>
      <c r="D94" s="325" t="s">
        <v>4215</v>
      </c>
      <c r="E94" s="325">
        <v>3</v>
      </c>
      <c r="F94" s="751">
        <v>0</v>
      </c>
      <c r="G94" s="751">
        <v>0</v>
      </c>
      <c r="H94" s="751">
        <v>0</v>
      </c>
      <c r="I94" s="751">
        <v>0</v>
      </c>
      <c r="J94" s="751">
        <v>0</v>
      </c>
      <c r="K94" s="751">
        <v>0</v>
      </c>
      <c r="L94" s="751">
        <v>0</v>
      </c>
      <c r="M94" s="751">
        <v>0</v>
      </c>
      <c r="N94" s="312">
        <f t="shared" si="267"/>
        <v>0</v>
      </c>
      <c r="O94" s="2384"/>
      <c r="P94" s="2384"/>
      <c r="Q94" s="2384"/>
      <c r="R94" s="2384"/>
      <c r="S94" s="2384"/>
      <c r="T94" s="2384"/>
      <c r="U94" s="2384"/>
      <c r="V94" s="2384"/>
      <c r="W94" s="2384"/>
      <c r="X94" s="751">
        <v>0</v>
      </c>
      <c r="Y94" s="751">
        <v>0</v>
      </c>
      <c r="Z94" s="796">
        <v>0</v>
      </c>
      <c r="AA94" s="106"/>
      <c r="AB94" s="795" t="s">
        <v>11231</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9999</v>
      </c>
      <c r="BG94" s="354" t="s">
        <v>9215</v>
      </c>
      <c r="BH94" s="287" t="s">
        <v>11232</v>
      </c>
      <c r="BI94" s="287" t="s">
        <v>11233</v>
      </c>
      <c r="BJ94" s="287" t="s">
        <v>11234</v>
      </c>
      <c r="BK94" s="287" t="s">
        <v>11235</v>
      </c>
      <c r="BL94" s="287" t="s">
        <v>11236</v>
      </c>
      <c r="BM94" s="287" t="s">
        <v>11237</v>
      </c>
      <c r="BN94" s="287" t="s">
        <v>11238</v>
      </c>
      <c r="BO94" s="287" t="s">
        <v>11239</v>
      </c>
      <c r="BP94" s="288" t="s">
        <v>11240</v>
      </c>
      <c r="BQ94" s="399"/>
      <c r="BR94" s="399"/>
      <c r="BS94" s="399"/>
      <c r="BT94" s="399"/>
      <c r="BU94" s="399"/>
      <c r="BV94" s="399"/>
      <c r="BW94" s="399"/>
      <c r="BX94" s="399"/>
      <c r="BY94" s="399"/>
      <c r="BZ94" s="740" t="s">
        <v>11241</v>
      </c>
      <c r="CA94" s="740" t="s">
        <v>11242</v>
      </c>
      <c r="CB94" s="1117" t="s">
        <v>11243</v>
      </c>
    </row>
    <row r="95" spans="1:80" ht="15.75" customHeight="1">
      <c r="A95" s="197"/>
      <c r="B95" s="2392" t="s">
        <v>9999</v>
      </c>
      <c r="C95" s="2357" t="s">
        <v>9223</v>
      </c>
      <c r="D95" s="325" t="s">
        <v>4215</v>
      </c>
      <c r="E95" s="325">
        <v>3</v>
      </c>
      <c r="F95" s="751">
        <v>0</v>
      </c>
      <c r="G95" s="751">
        <v>0</v>
      </c>
      <c r="H95" s="751">
        <v>0</v>
      </c>
      <c r="I95" s="751">
        <v>0</v>
      </c>
      <c r="J95" s="751">
        <v>0</v>
      </c>
      <c r="K95" s="751">
        <v>0</v>
      </c>
      <c r="L95" s="751">
        <v>0</v>
      </c>
      <c r="M95" s="751">
        <v>0</v>
      </c>
      <c r="N95" s="312">
        <f t="shared" si="267"/>
        <v>0</v>
      </c>
      <c r="O95" s="2384"/>
      <c r="P95" s="2384"/>
      <c r="Q95" s="2384"/>
      <c r="R95" s="2384"/>
      <c r="S95" s="2384"/>
      <c r="T95" s="2384"/>
      <c r="U95" s="2384"/>
      <c r="V95" s="2384"/>
      <c r="W95" s="2384"/>
      <c r="X95" s="751">
        <v>0</v>
      </c>
      <c r="Y95" s="751">
        <v>0</v>
      </c>
      <c r="Z95" s="796">
        <v>0</v>
      </c>
      <c r="AA95" s="106"/>
      <c r="AB95" s="795" t="s">
        <v>11244</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9999</v>
      </c>
      <c r="BG95" s="354" t="s">
        <v>9223</v>
      </c>
      <c r="BH95" s="287" t="s">
        <v>11245</v>
      </c>
      <c r="BI95" s="287" t="s">
        <v>11246</v>
      </c>
      <c r="BJ95" s="287" t="s">
        <v>11247</v>
      </c>
      <c r="BK95" s="287" t="s">
        <v>11248</v>
      </c>
      <c r="BL95" s="287" t="s">
        <v>11249</v>
      </c>
      <c r="BM95" s="287" t="s">
        <v>11250</v>
      </c>
      <c r="BN95" s="287" t="s">
        <v>11251</v>
      </c>
      <c r="BO95" s="287" t="s">
        <v>11252</v>
      </c>
      <c r="BP95" s="288" t="s">
        <v>11253</v>
      </c>
      <c r="BQ95" s="399"/>
      <c r="BR95" s="399"/>
      <c r="BS95" s="399"/>
      <c r="BT95" s="399"/>
      <c r="BU95" s="399"/>
      <c r="BV95" s="399"/>
      <c r="BW95" s="399"/>
      <c r="BX95" s="399"/>
      <c r="BY95" s="399"/>
      <c r="BZ95" s="740" t="s">
        <v>11254</v>
      </c>
      <c r="CA95" s="740" t="s">
        <v>11255</v>
      </c>
      <c r="CB95" s="1117" t="s">
        <v>11256</v>
      </c>
    </row>
    <row r="96" spans="1:80" ht="15.75" customHeight="1" thickBot="1">
      <c r="A96" s="197"/>
      <c r="B96" s="453" t="s">
        <v>10020</v>
      </c>
      <c r="C96" s="2355" t="s">
        <v>9231</v>
      </c>
      <c r="D96" s="332" t="s">
        <v>4215</v>
      </c>
      <c r="E96" s="332">
        <v>3</v>
      </c>
      <c r="F96" s="314">
        <f>IFERROR(SUM(F61,F64,F67,F70,F73,F76,F79,F82,F85,F86:F95), 0)</f>
        <v>6.6459999999999999</v>
      </c>
      <c r="G96" s="314">
        <f t="shared" ref="G96:L96" si="421">IFERROR(SUM(G61,G64,G67,G70,G73,G76,G79,G82,G85,G86:G95), 0)</f>
        <v>2.7230000000000003</v>
      </c>
      <c r="H96" s="314">
        <f t="shared" si="421"/>
        <v>1.5249999999999999</v>
      </c>
      <c r="I96" s="314">
        <f t="shared" si="421"/>
        <v>7.0579999999999998</v>
      </c>
      <c r="J96" s="314">
        <f t="shared" si="421"/>
        <v>3.0000000000000001E-3</v>
      </c>
      <c r="K96" s="314">
        <f t="shared" si="421"/>
        <v>1.6E-2</v>
      </c>
      <c r="L96" s="314">
        <f t="shared" si="421"/>
        <v>3.472</v>
      </c>
      <c r="M96" s="314">
        <f>IFERROR(SUM(M61,M64,M67,M70,M73,M76,M79,M82,M85,M86:M95), 0)</f>
        <v>0.01</v>
      </c>
      <c r="N96" s="314">
        <f t="shared" si="267"/>
        <v>21.452999999999999</v>
      </c>
      <c r="O96" s="2391"/>
      <c r="P96" s="2391"/>
      <c r="Q96" s="2391"/>
      <c r="R96" s="2391"/>
      <c r="S96" s="2391"/>
      <c r="T96" s="2391"/>
      <c r="U96" s="2391"/>
      <c r="V96" s="2391"/>
      <c r="W96" s="2391"/>
      <c r="X96" s="314">
        <f>IFERROR(SUM(X67,X70,X73,X76,X79,X82,X85:X95), 0)</f>
        <v>43.677</v>
      </c>
      <c r="Y96" s="314">
        <f t="shared" ref="Y96:Z96" si="422">IFERROR(SUM(Y67,Y70,Y73,Y76,Y79,Y82,Y85:Y95), 0)</f>
        <v>43.612000000000002</v>
      </c>
      <c r="Z96" s="315">
        <f t="shared" si="422"/>
        <v>68.960999999999999</v>
      </c>
      <c r="AA96" s="106"/>
      <c r="AB96" s="813" t="s">
        <v>11257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10020</v>
      </c>
      <c r="BG96" s="1081" t="s">
        <v>9231</v>
      </c>
      <c r="BH96" s="298" t="s">
        <v>11258</v>
      </c>
      <c r="BI96" s="298" t="s">
        <v>11259</v>
      </c>
      <c r="BJ96" s="298" t="s">
        <v>11260</v>
      </c>
      <c r="BK96" s="298" t="s">
        <v>11261</v>
      </c>
      <c r="BL96" s="298" t="s">
        <v>11262</v>
      </c>
      <c r="BM96" s="298" t="s">
        <v>11263</v>
      </c>
      <c r="BN96" s="298" t="s">
        <v>11264</v>
      </c>
      <c r="BO96" s="298" t="s">
        <v>11265</v>
      </c>
      <c r="BP96" s="298" t="s">
        <v>11266</v>
      </c>
      <c r="BQ96" s="408"/>
      <c r="BR96" s="408"/>
      <c r="BS96" s="408"/>
      <c r="BT96" s="408"/>
      <c r="BU96" s="408"/>
      <c r="BV96" s="408"/>
      <c r="BW96" s="408"/>
      <c r="BX96" s="408"/>
      <c r="BY96" s="408"/>
      <c r="BZ96" s="298" t="s">
        <v>11267</v>
      </c>
      <c r="CA96" s="298" t="s">
        <v>11268</v>
      </c>
      <c r="CB96" s="299" t="s">
        <v>11269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10031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10031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10032</v>
      </c>
      <c r="C99" s="1063" t="s">
        <v>9215</v>
      </c>
      <c r="D99" s="277" t="s">
        <v>4215</v>
      </c>
      <c r="E99" s="277">
        <v>3</v>
      </c>
      <c r="F99" s="279">
        <f t="shared" ref="F99:M100" si="423">IFERROR(SUM(F10,F13,F16,F19,F22,F25,F28,F31,F35,F38,F41,F44,F47,F50,F53,F59,F62,F65,F68,F71,F74,F77,F80,F83,F86,F88,F90,F92,F94), 0)</f>
        <v>11.825000000000001</v>
      </c>
      <c r="G99" s="279">
        <f t="shared" si="423"/>
        <v>4.8469999999999978</v>
      </c>
      <c r="H99" s="279">
        <f t="shared" si="423"/>
        <v>2.714</v>
      </c>
      <c r="I99" s="279">
        <f t="shared" si="423"/>
        <v>42.716000000000001</v>
      </c>
      <c r="J99" s="279">
        <f t="shared" si="423"/>
        <v>3.0000000000000001E-3</v>
      </c>
      <c r="K99" s="279">
        <f t="shared" si="423"/>
        <v>1.6E-2</v>
      </c>
      <c r="L99" s="279">
        <f t="shared" si="423"/>
        <v>3.472</v>
      </c>
      <c r="M99" s="279">
        <f t="shared" si="423"/>
        <v>0.01</v>
      </c>
      <c r="N99" s="279">
        <f t="shared" ref="N99:N101" si="424">IFERROR(SUM(F99:M99), 0)</f>
        <v>65.602999999999994</v>
      </c>
      <c r="O99" s="662"/>
      <c r="P99" s="662"/>
      <c r="Q99" s="662"/>
      <c r="R99" s="662"/>
      <c r="S99" s="662"/>
      <c r="T99" s="662"/>
      <c r="U99" s="662"/>
      <c r="V99" s="662"/>
      <c r="W99" s="662"/>
      <c r="X99" s="662"/>
      <c r="Y99" s="662"/>
      <c r="Z99" s="663"/>
      <c r="AA99" s="197"/>
      <c r="AB99" s="791" t="s">
        <v>11270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10032</v>
      </c>
      <c r="BG99" s="1063" t="s">
        <v>9215</v>
      </c>
      <c r="BH99" s="279" t="s">
        <v>8148</v>
      </c>
      <c r="BI99" s="279" t="s">
        <v>8149</v>
      </c>
      <c r="BJ99" s="279" t="s">
        <v>8150</v>
      </c>
      <c r="BK99" s="279" t="s">
        <v>8151</v>
      </c>
      <c r="BL99" s="279" t="s">
        <v>8152</v>
      </c>
      <c r="BM99" s="279" t="s">
        <v>8153</v>
      </c>
      <c r="BN99" s="279" t="s">
        <v>8154</v>
      </c>
      <c r="BO99" s="279" t="s">
        <v>8155</v>
      </c>
      <c r="BP99" s="279" t="s">
        <v>11271</v>
      </c>
      <c r="BQ99" s="662"/>
      <c r="BR99" s="662"/>
      <c r="BS99" s="662"/>
      <c r="BT99" s="662"/>
      <c r="BU99" s="662"/>
      <c r="BV99" s="662"/>
      <c r="BW99" s="662"/>
      <c r="BX99" s="662"/>
      <c r="BY99" s="662"/>
      <c r="BZ99" s="662"/>
      <c r="CA99" s="662"/>
      <c r="CB99" s="663"/>
    </row>
    <row r="100" spans="1:80" ht="15.75" customHeight="1">
      <c r="A100" s="197"/>
      <c r="B100" s="460" t="s">
        <v>10032</v>
      </c>
      <c r="C100" s="354" t="s">
        <v>9223</v>
      </c>
      <c r="D100" s="286" t="s">
        <v>4215</v>
      </c>
      <c r="E100" s="286">
        <v>3</v>
      </c>
      <c r="F100" s="288">
        <f t="shared" si="423"/>
        <v>0</v>
      </c>
      <c r="G100" s="288">
        <f t="shared" si="423"/>
        <v>0</v>
      </c>
      <c r="H100" s="288">
        <f t="shared" si="423"/>
        <v>0</v>
      </c>
      <c r="I100" s="288">
        <f t="shared" si="423"/>
        <v>0.93800000000000006</v>
      </c>
      <c r="J100" s="288">
        <f t="shared" si="423"/>
        <v>0</v>
      </c>
      <c r="K100" s="288">
        <f t="shared" si="423"/>
        <v>0</v>
      </c>
      <c r="L100" s="288">
        <f t="shared" si="423"/>
        <v>0</v>
      </c>
      <c r="M100" s="288">
        <f t="shared" si="423"/>
        <v>0</v>
      </c>
      <c r="N100" s="288">
        <f t="shared" si="424"/>
        <v>0.93800000000000006</v>
      </c>
      <c r="O100" s="399"/>
      <c r="P100" s="399"/>
      <c r="Q100" s="399"/>
      <c r="R100" s="399"/>
      <c r="S100" s="399"/>
      <c r="T100" s="399"/>
      <c r="U100" s="399"/>
      <c r="V100" s="399"/>
      <c r="W100" s="399"/>
      <c r="X100" s="399"/>
      <c r="Y100" s="399"/>
      <c r="Z100" s="665"/>
      <c r="AA100" s="197"/>
      <c r="AB100" s="795" t="s">
        <v>11272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10032</v>
      </c>
      <c r="BG100" s="354" t="s">
        <v>9223</v>
      </c>
      <c r="BH100" s="288" t="s">
        <v>8077</v>
      </c>
      <c r="BI100" s="288" t="s">
        <v>8078</v>
      </c>
      <c r="BJ100" s="288" t="s">
        <v>8079</v>
      </c>
      <c r="BK100" s="288" t="s">
        <v>8080</v>
      </c>
      <c r="BL100" s="288" t="s">
        <v>8081</v>
      </c>
      <c r="BM100" s="288" t="s">
        <v>8082</v>
      </c>
      <c r="BN100" s="288" t="s">
        <v>8083</v>
      </c>
      <c r="BO100" s="288" t="s">
        <v>8084</v>
      </c>
      <c r="BP100" s="288" t="s">
        <v>11273</v>
      </c>
      <c r="BQ100" s="399"/>
      <c r="BR100" s="399"/>
      <c r="BS100" s="399"/>
      <c r="BT100" s="399"/>
      <c r="BU100" s="399"/>
      <c r="BV100" s="399"/>
      <c r="BW100" s="399"/>
      <c r="BX100" s="399"/>
      <c r="BY100" s="399"/>
      <c r="BZ100" s="399"/>
      <c r="CA100" s="399"/>
      <c r="CB100" s="665"/>
    </row>
    <row r="101" spans="1:80" ht="15.75" customHeight="1" thickBot="1">
      <c r="A101" s="197"/>
      <c r="B101" s="463" t="s">
        <v>10032</v>
      </c>
      <c r="C101" s="1081" t="s">
        <v>9231</v>
      </c>
      <c r="D101" s="355" t="s">
        <v>4215</v>
      </c>
      <c r="E101" s="355">
        <v>3</v>
      </c>
      <c r="F101" s="298">
        <f>IFERROR(F99 + F100, 0)</f>
        <v>11.825000000000001</v>
      </c>
      <c r="G101" s="298">
        <f t="shared" ref="G101:L101" si="425">IFERROR(G99 + G100, 0)</f>
        <v>4.8469999999999978</v>
      </c>
      <c r="H101" s="298">
        <f t="shared" si="425"/>
        <v>2.714</v>
      </c>
      <c r="I101" s="298">
        <f t="shared" si="425"/>
        <v>43.654000000000003</v>
      </c>
      <c r="J101" s="298">
        <f>IFERROR(J99 + J100, 0)</f>
        <v>3.0000000000000001E-3</v>
      </c>
      <c r="K101" s="298">
        <f t="shared" si="425"/>
        <v>1.6E-2</v>
      </c>
      <c r="L101" s="298">
        <f t="shared" si="425"/>
        <v>3.472</v>
      </c>
      <c r="M101" s="298">
        <f>IFERROR(M99 + M100, 0)</f>
        <v>0.01</v>
      </c>
      <c r="N101" s="298">
        <f t="shared" si="424"/>
        <v>66.540999999999997</v>
      </c>
      <c r="O101" s="408"/>
      <c r="P101" s="408"/>
      <c r="Q101" s="408"/>
      <c r="R101" s="408"/>
      <c r="S101" s="408"/>
      <c r="T101" s="408"/>
      <c r="U101" s="408"/>
      <c r="V101" s="408"/>
      <c r="W101" s="408"/>
      <c r="X101" s="298">
        <f>IFERROR(SUM(X56, X96), 0)</f>
        <v>144.17000000000002</v>
      </c>
      <c r="Y101" s="298">
        <f t="shared" ref="Y101:Z101" si="426">IFERROR(SUM(Y56, Y96), 0)</f>
        <v>191.946</v>
      </c>
      <c r="Z101" s="299">
        <f t="shared" si="426"/>
        <v>300.178</v>
      </c>
      <c r="AA101" s="197"/>
      <c r="AB101" s="813" t="s">
        <v>11274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10032</v>
      </c>
      <c r="BG101" s="1081" t="s">
        <v>9231</v>
      </c>
      <c r="BH101" s="298" t="s">
        <v>11275</v>
      </c>
      <c r="BI101" s="298" t="s">
        <v>11276</v>
      </c>
      <c r="BJ101" s="298" t="s">
        <v>11277</v>
      </c>
      <c r="BK101" s="298" t="s">
        <v>11278</v>
      </c>
      <c r="BL101" s="298" t="s">
        <v>11279</v>
      </c>
      <c r="BM101" s="298" t="s">
        <v>11280</v>
      </c>
      <c r="BN101" s="298" t="s">
        <v>11281</v>
      </c>
      <c r="BO101" s="298" t="s">
        <v>11282</v>
      </c>
      <c r="BP101" s="298" t="s">
        <v>11283</v>
      </c>
      <c r="BQ101" s="408"/>
      <c r="BR101" s="408"/>
      <c r="BS101" s="408"/>
      <c r="BT101" s="408"/>
      <c r="BU101" s="408"/>
      <c r="BV101" s="408"/>
      <c r="BW101" s="408"/>
      <c r="BX101" s="408"/>
      <c r="BY101" s="408"/>
      <c r="BZ101" s="298" t="s">
        <v>11284</v>
      </c>
      <c r="CA101" s="298" t="s">
        <v>11285</v>
      </c>
      <c r="CB101" s="299" t="s">
        <v>11286</v>
      </c>
    </row>
    <row r="102" spans="1:80" ht="15.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10:AG101">
    <cfRule type="cellIs" dxfId="118"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K22" sqref="K22"/>
    </sheetView>
  </sheetViews>
  <sheetFormatPr defaultColWidth="9" defaultRowHeight="13.8"/>
  <cols>
    <col min="1" max="1" width="1.59765625" style="224" customWidth="1"/>
    <col min="2" max="2" width="34" style="224" bestFit="1" customWidth="1"/>
    <col min="3" max="3" width="5.5" style="224" bestFit="1" customWidth="1"/>
    <col min="4" max="4" width="4.69921875" style="224" bestFit="1" customWidth="1"/>
    <col min="5" max="7" width="12.5" style="224" customWidth="1"/>
    <col min="8" max="8" width="1.59765625" style="224" customWidth="1"/>
    <col min="9" max="9" width="12.5" style="224" customWidth="1"/>
    <col min="10" max="10" width="1.59765625" style="224" customWidth="1"/>
    <col min="11" max="11" width="33.59765625" style="224" customWidth="1"/>
    <col min="12" max="13" width="1.59765625" style="224" customWidth="1"/>
    <col min="14" max="14" width="25" style="224" customWidth="1"/>
    <col min="15" max="15" width="1.59765625" style="224" customWidth="1"/>
    <col min="16" max="20" width="6.59765625" style="224" hidden="1" customWidth="1"/>
    <col min="21" max="21" width="1.59765625" style="224" hidden="1" customWidth="1"/>
    <col min="22" max="22" width="1.59765625" style="224" customWidth="1"/>
    <col min="23" max="23" width="34.59765625" style="224" bestFit="1" customWidth="1"/>
    <col min="24" max="24" width="16.69921875" style="224" customWidth="1"/>
    <col min="25" max="25" width="17.19921875" style="224" customWidth="1"/>
    <col min="26" max="26" width="18.59765625" style="224" bestFit="1" customWidth="1"/>
    <col min="27" max="27" width="1.59765625" style="224" customWidth="1"/>
    <col min="28" max="16384" width="9" style="224"/>
  </cols>
  <sheetData>
    <row r="1" spans="1:27" s="389" customFormat="1" ht="29.25" customHeight="1">
      <c r="B1" s="2897" t="s">
        <v>11287</v>
      </c>
      <c r="C1" s="2898"/>
      <c r="D1" s="2898"/>
      <c r="E1" s="219"/>
      <c r="F1" s="219"/>
      <c r="G1" s="219"/>
      <c r="H1" s="2885"/>
      <c r="I1" s="2885"/>
      <c r="M1" s="825"/>
      <c r="O1" s="825"/>
      <c r="U1" s="825"/>
      <c r="W1" s="1121" t="s">
        <v>4198</v>
      </c>
      <c r="X1" s="219"/>
      <c r="Y1" s="219"/>
      <c r="Z1" s="219"/>
      <c r="AA1" s="219"/>
    </row>
    <row r="2" spans="1:27" s="389" customFormat="1" ht="29.25" customHeight="1">
      <c r="B2" s="2897" t="str">
        <f>SelectCompany!B4</f>
        <v>Dŵr Cymru</v>
      </c>
      <c r="C2" s="2898"/>
      <c r="D2" s="2898"/>
      <c r="E2" s="219"/>
      <c r="F2" s="219"/>
      <c r="G2" s="219"/>
      <c r="H2" s="219"/>
      <c r="I2" s="219"/>
      <c r="M2" s="825"/>
      <c r="O2" s="825"/>
      <c r="U2" s="825"/>
      <c r="W2" s="1121"/>
      <c r="X2" s="219"/>
      <c r="Y2" s="219"/>
      <c r="Z2" s="219"/>
      <c r="AA2" s="219"/>
    </row>
    <row r="3" spans="1:27" ht="45" customHeight="1">
      <c r="B3" s="2886" t="s">
        <v>11288</v>
      </c>
      <c r="C3" s="2886"/>
      <c r="D3" s="2886"/>
      <c r="E3" s="2886"/>
      <c r="F3" s="2886"/>
      <c r="G3" s="2886"/>
      <c r="H3" s="2886"/>
      <c r="I3" s="2886"/>
      <c r="J3" s="2886"/>
      <c r="K3" s="2886"/>
      <c r="M3" s="363"/>
      <c r="N3" s="2209" t="s">
        <v>4200</v>
      </c>
      <c r="O3" s="363"/>
      <c r="U3" s="363"/>
      <c r="W3" s="2886" t="s">
        <v>11288</v>
      </c>
      <c r="X3" s="2886"/>
      <c r="Y3" s="2886"/>
      <c r="Z3" s="2886"/>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33" t="s">
        <v>4202</v>
      </c>
      <c r="C5" s="2880" t="s">
        <v>4203</v>
      </c>
      <c r="D5" s="2880" t="s">
        <v>4204</v>
      </c>
      <c r="E5" s="2880" t="s">
        <v>6185</v>
      </c>
      <c r="F5" s="2880"/>
      <c r="G5" s="2895"/>
      <c r="H5" s="242"/>
      <c r="I5" s="2887" t="s">
        <v>4208</v>
      </c>
      <c r="K5" s="2811" t="s">
        <v>4209</v>
      </c>
      <c r="M5" s="828"/>
      <c r="O5" s="828"/>
      <c r="U5" s="828"/>
      <c r="W5" s="2833" t="s">
        <v>4202</v>
      </c>
      <c r="X5" s="2880" t="s">
        <v>6185</v>
      </c>
      <c r="Y5" s="2880"/>
      <c r="Z5" s="2895"/>
      <c r="AA5" s="219"/>
    </row>
    <row r="6" spans="1:27" s="197" customFormat="1" ht="15.75" customHeight="1">
      <c r="B6" s="2894"/>
      <c r="C6" s="2882"/>
      <c r="D6" s="2882"/>
      <c r="E6" s="2882" t="s">
        <v>7885</v>
      </c>
      <c r="F6" s="2882"/>
      <c r="G6" s="2896"/>
      <c r="H6" s="242"/>
      <c r="I6" s="2888"/>
      <c r="K6" s="2812"/>
      <c r="M6" s="828"/>
      <c r="O6" s="828"/>
      <c r="U6" s="828"/>
      <c r="W6" s="2894"/>
      <c r="X6" s="2882" t="s">
        <v>7885</v>
      </c>
      <c r="Y6" s="2882"/>
      <c r="Z6" s="2896"/>
      <c r="AA6" s="219"/>
    </row>
    <row r="7" spans="1:27" s="197" customFormat="1" ht="15.75" customHeight="1" thickBot="1">
      <c r="B7" s="2834"/>
      <c r="C7" s="2883"/>
      <c r="D7" s="2883"/>
      <c r="E7" s="862" t="s">
        <v>9215</v>
      </c>
      <c r="F7" s="862" t="s">
        <v>9223</v>
      </c>
      <c r="G7" s="1124" t="s">
        <v>9231</v>
      </c>
      <c r="H7" s="1059"/>
      <c r="I7" s="2889"/>
      <c r="K7" s="2813"/>
      <c r="M7" s="828"/>
      <c r="N7" s="888"/>
      <c r="O7" s="828"/>
      <c r="P7" s="2710" t="s">
        <v>4201</v>
      </c>
      <c r="Q7" s="2710"/>
      <c r="R7" s="2710"/>
      <c r="S7" s="2710"/>
      <c r="T7" s="2710"/>
      <c r="U7" s="828"/>
      <c r="W7" s="2834"/>
      <c r="X7" s="862" t="s">
        <v>9215</v>
      </c>
      <c r="Y7" s="862" t="s">
        <v>9223</v>
      </c>
      <c r="Z7" s="1124" t="s">
        <v>9231</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11289</v>
      </c>
      <c r="C9" s="277" t="s">
        <v>4215</v>
      </c>
      <c r="D9" s="277">
        <v>3</v>
      </c>
      <c r="E9" s="694">
        <v>1.645</v>
      </c>
      <c r="F9" s="694">
        <v>7.4870000000000001</v>
      </c>
      <c r="G9" s="1596">
        <f>IFERROR(SUM(E9:F9), 0)</f>
        <v>9.1319999999999997</v>
      </c>
      <c r="H9" s="242"/>
      <c r="I9" s="1066" t="s">
        <v>11290</v>
      </c>
      <c r="K9" s="283"/>
      <c r="M9" s="828"/>
      <c r="N9" s="284">
        <f t="shared" ref="N9:N13" si="0">IF(SUM(P9:T9 ) = 0, 0, $P$8 )</f>
        <v>0</v>
      </c>
      <c r="O9" s="828"/>
      <c r="P9" s="285">
        <f xml:space="preserve"> IF( ISNUMBER(E9), 0, 1 )</f>
        <v>0</v>
      </c>
      <c r="Q9" s="285">
        <f t="shared" ref="Q9:Q13" si="1" xml:space="preserve"> IF( ISNUMBER(F9), 0, 1 )</f>
        <v>0</v>
      </c>
      <c r="U9" s="828"/>
      <c r="W9" s="451" t="s">
        <v>11289</v>
      </c>
      <c r="X9" s="904" t="s">
        <v>11291</v>
      </c>
      <c r="Y9" s="904" t="s">
        <v>11292</v>
      </c>
      <c r="Z9" s="416" t="s">
        <v>11293</v>
      </c>
      <c r="AA9" s="219"/>
    </row>
    <row r="10" spans="1:27" s="197" customFormat="1" ht="15.75" customHeight="1">
      <c r="B10" s="460" t="s">
        <v>11294</v>
      </c>
      <c r="C10" s="286" t="s">
        <v>4215</v>
      </c>
      <c r="D10" s="286">
        <v>3</v>
      </c>
      <c r="E10" s="697">
        <v>7.4989999999999997</v>
      </c>
      <c r="F10" s="697">
        <v>4.1000000000000002E-2</v>
      </c>
      <c r="G10" s="1598">
        <f t="shared" ref="G10:G14" si="2">IFERROR(SUM(E10:F10), 0)</f>
        <v>7.54</v>
      </c>
      <c r="H10" s="242"/>
      <c r="I10" s="1071" t="s">
        <v>11295</v>
      </c>
      <c r="K10" s="291"/>
      <c r="M10" s="828"/>
      <c r="N10" s="284">
        <f t="shared" si="0"/>
        <v>0</v>
      </c>
      <c r="O10" s="828"/>
      <c r="P10" s="285">
        <f t="shared" ref="P10:P13" si="3" xml:space="preserve"> IF( ISNUMBER(E10), 0, 1 )</f>
        <v>0</v>
      </c>
      <c r="Q10" s="285">
        <f t="shared" si="1"/>
        <v>0</v>
      </c>
      <c r="U10" s="828"/>
      <c r="W10" s="460" t="s">
        <v>11294</v>
      </c>
      <c r="X10" s="905" t="s">
        <v>11296</v>
      </c>
      <c r="Y10" s="905" t="s">
        <v>11297</v>
      </c>
      <c r="Z10" s="893" t="s">
        <v>11298</v>
      </c>
      <c r="AA10" s="219"/>
    </row>
    <row r="11" spans="1:27" s="197" customFormat="1" ht="15.75" customHeight="1">
      <c r="B11" s="460" t="s">
        <v>11299</v>
      </c>
      <c r="C11" s="286" t="s">
        <v>4215</v>
      </c>
      <c r="D11" s="286">
        <v>3</v>
      </c>
      <c r="E11" s="697">
        <v>0.76100000000000001</v>
      </c>
      <c r="F11" s="697">
        <v>4.0000000000000001E-3</v>
      </c>
      <c r="G11" s="1598">
        <f t="shared" si="2"/>
        <v>0.76500000000000001</v>
      </c>
      <c r="H11" s="242"/>
      <c r="I11" s="1071" t="s">
        <v>11300</v>
      </c>
      <c r="K11" s="291"/>
      <c r="M11" s="828"/>
      <c r="N11" s="284">
        <f t="shared" si="0"/>
        <v>0</v>
      </c>
      <c r="O11" s="828"/>
      <c r="P11" s="285">
        <f t="shared" si="3"/>
        <v>0</v>
      </c>
      <c r="Q11" s="285">
        <f t="shared" si="1"/>
        <v>0</v>
      </c>
      <c r="U11" s="828"/>
      <c r="W11" s="460" t="s">
        <v>11299</v>
      </c>
      <c r="X11" s="905" t="s">
        <v>11301</v>
      </c>
      <c r="Y11" s="905" t="s">
        <v>11302</v>
      </c>
      <c r="Z11" s="893" t="s">
        <v>11303</v>
      </c>
      <c r="AA11" s="219"/>
    </row>
    <row r="12" spans="1:27" s="197" customFormat="1" ht="15.75" customHeight="1">
      <c r="B12" s="460" t="s">
        <v>11304</v>
      </c>
      <c r="C12" s="286" t="s">
        <v>4215</v>
      </c>
      <c r="D12" s="286">
        <v>3</v>
      </c>
      <c r="E12" s="697">
        <v>0</v>
      </c>
      <c r="F12" s="697">
        <v>7.24</v>
      </c>
      <c r="G12" s="1598">
        <f t="shared" si="2"/>
        <v>7.24</v>
      </c>
      <c r="H12" s="242"/>
      <c r="I12" s="1071" t="s">
        <v>11305</v>
      </c>
      <c r="K12" s="291"/>
      <c r="M12" s="828"/>
      <c r="N12" s="284">
        <f t="shared" si="0"/>
        <v>0</v>
      </c>
      <c r="O12" s="828"/>
      <c r="P12" s="285">
        <f t="shared" si="3"/>
        <v>0</v>
      </c>
      <c r="Q12" s="285">
        <f t="shared" si="1"/>
        <v>0</v>
      </c>
      <c r="U12" s="828"/>
      <c r="W12" s="460" t="s">
        <v>11304</v>
      </c>
      <c r="X12" s="905" t="s">
        <v>11306</v>
      </c>
      <c r="Y12" s="905" t="s">
        <v>11307</v>
      </c>
      <c r="Z12" s="893" t="s">
        <v>11308</v>
      </c>
    </row>
    <row r="13" spans="1:27" s="197" customFormat="1" ht="15.75" customHeight="1">
      <c r="B13" s="460" t="s">
        <v>11309</v>
      </c>
      <c r="C13" s="286" t="s">
        <v>4215</v>
      </c>
      <c r="D13" s="286">
        <v>3</v>
      </c>
      <c r="E13" s="697">
        <v>1.514</v>
      </c>
      <c r="F13" s="697">
        <v>2.1999999999999999E-2</v>
      </c>
      <c r="G13" s="1598">
        <f t="shared" si="2"/>
        <v>1.536</v>
      </c>
      <c r="H13" s="242"/>
      <c r="I13" s="1071" t="s">
        <v>11310</v>
      </c>
      <c r="K13" s="291"/>
      <c r="M13" s="828"/>
      <c r="N13" s="284">
        <f t="shared" si="0"/>
        <v>0</v>
      </c>
      <c r="O13" s="828"/>
      <c r="P13" s="285">
        <f t="shared" si="3"/>
        <v>0</v>
      </c>
      <c r="Q13" s="285">
        <f t="shared" si="1"/>
        <v>0</v>
      </c>
      <c r="U13" s="828"/>
      <c r="W13" s="460" t="s">
        <v>11309</v>
      </c>
      <c r="X13" s="905" t="s">
        <v>11311</v>
      </c>
      <c r="Y13" s="905" t="s">
        <v>11312</v>
      </c>
      <c r="Z13" s="893" t="s">
        <v>11313</v>
      </c>
    </row>
    <row r="14" spans="1:27" ht="15.75" customHeight="1" thickBot="1">
      <c r="A14" s="197"/>
      <c r="B14" s="463" t="s">
        <v>11314</v>
      </c>
      <c r="C14" s="355" t="s">
        <v>4215</v>
      </c>
      <c r="D14" s="355">
        <v>3</v>
      </c>
      <c r="E14" s="1589">
        <f>IFERROR(E9 + E10 + E11 + E12 + E13, 0)</f>
        <v>11.418999999999999</v>
      </c>
      <c r="F14" s="1589">
        <f>IFERROR(F9 + F10 + F11 + F12 + F13, 0)</f>
        <v>14.794</v>
      </c>
      <c r="G14" s="1599">
        <f t="shared" si="2"/>
        <v>26.213000000000001</v>
      </c>
      <c r="H14" s="242"/>
      <c r="I14" s="1085" t="s">
        <v>11315</v>
      </c>
      <c r="J14" s="197"/>
      <c r="K14" s="302"/>
      <c r="L14" s="197"/>
      <c r="M14" s="828"/>
      <c r="N14" s="197"/>
      <c r="O14" s="828"/>
      <c r="P14" s="197"/>
      <c r="Q14" s="197"/>
      <c r="R14" s="197"/>
      <c r="S14" s="197"/>
      <c r="T14" s="197"/>
      <c r="U14" s="828"/>
      <c r="V14" s="197"/>
      <c r="W14" s="463" t="s">
        <v>11314</v>
      </c>
      <c r="X14" s="679" t="s">
        <v>11316</v>
      </c>
      <c r="Y14" s="679" t="s">
        <v>11317</v>
      </c>
      <c r="Z14" s="417" t="s">
        <v>11318</v>
      </c>
      <c r="AA14" s="219"/>
    </row>
    <row r="15" spans="1:27" ht="15.6"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7"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3" zoomScaleNormal="100" zoomScaleSheetLayoutView="100" workbookViewId="0">
      <selection activeCell="Q29" sqref="Q29"/>
    </sheetView>
  </sheetViews>
  <sheetFormatPr defaultColWidth="9" defaultRowHeight="24" customHeight="1"/>
  <cols>
    <col min="1" max="1" width="1.59765625" style="224" customWidth="1"/>
    <col min="2" max="2" width="36.09765625" style="224" customWidth="1"/>
    <col min="3" max="4" width="6" style="224" customWidth="1"/>
    <col min="5" max="10" width="12.09765625" style="224" customWidth="1"/>
    <col min="11" max="11" width="1.59765625" style="224" customWidth="1"/>
    <col min="12" max="12" width="12.09765625" style="224" customWidth="1"/>
    <col min="13" max="13" width="1.59765625" style="224" customWidth="1"/>
    <col min="14" max="14" width="33.59765625" style="224" customWidth="1"/>
    <col min="15" max="16" width="1.59765625" style="224" customWidth="1"/>
    <col min="17" max="17" width="25.09765625" style="224" customWidth="1"/>
    <col min="18" max="18" width="1.59765625" style="224" customWidth="1"/>
    <col min="19" max="26" width="4.59765625" style="224" hidden="1" customWidth="1"/>
    <col min="27" max="27" width="1.59765625" style="224" hidden="1" customWidth="1"/>
    <col min="28" max="28" width="1.59765625" style="224" customWidth="1"/>
    <col min="29" max="29" width="36.09765625" style="224" customWidth="1"/>
    <col min="30" max="30" width="18.09765625" style="224" bestFit="1" customWidth="1"/>
    <col min="31" max="31" width="20.19921875" style="224" bestFit="1" customWidth="1"/>
    <col min="32" max="32" width="19.69921875" style="224" bestFit="1" customWidth="1"/>
    <col min="33" max="34" width="19.296875" style="224" bestFit="1" customWidth="1"/>
    <col min="35" max="35" width="15" style="224" customWidth="1"/>
    <col min="36" max="36" width="1.09765625" style="224" customWidth="1"/>
    <col min="37" max="16384" width="9" style="224"/>
  </cols>
  <sheetData>
    <row r="1" spans="1:36" s="389" customFormat="1" ht="29.25" customHeight="1">
      <c r="B1" s="2721" t="s">
        <v>11319</v>
      </c>
      <c r="C1" s="2721"/>
      <c r="D1" s="2721"/>
      <c r="E1" s="2721"/>
      <c r="F1" s="2721"/>
      <c r="G1" s="2721"/>
      <c r="H1" s="2721"/>
      <c r="I1" s="2721"/>
      <c r="J1" s="2721"/>
      <c r="K1" s="561"/>
      <c r="L1" s="561"/>
      <c r="M1" s="224"/>
      <c r="N1" s="224"/>
      <c r="O1" s="224"/>
      <c r="P1" s="1125"/>
      <c r="R1" s="825"/>
      <c r="AA1" s="825"/>
      <c r="AC1" s="2721" t="s">
        <v>4198</v>
      </c>
      <c r="AD1" s="2721"/>
      <c r="AE1" s="2721"/>
      <c r="AF1" s="2721"/>
      <c r="AG1" s="2721"/>
      <c r="AH1" s="2721"/>
      <c r="AI1" s="2721"/>
      <c r="AJ1" s="424"/>
    </row>
    <row r="2" spans="1:36" s="389" customFormat="1" ht="29.25" customHeight="1">
      <c r="B2" s="2721" t="str">
        <f>SelectCompany!B4</f>
        <v>Dŵr Cymru</v>
      </c>
      <c r="C2" s="2721"/>
      <c r="D2" s="2721"/>
      <c r="E2" s="2721"/>
      <c r="F2" s="2721"/>
      <c r="G2" s="2721"/>
      <c r="H2" s="2721"/>
      <c r="I2" s="2721"/>
      <c r="J2" s="2721"/>
      <c r="K2" s="390"/>
      <c r="L2" s="390"/>
      <c r="M2" s="224"/>
      <c r="N2" s="224"/>
      <c r="O2" s="224"/>
      <c r="P2" s="1125"/>
      <c r="R2" s="825"/>
      <c r="AA2" s="825"/>
      <c r="AC2" s="2721"/>
      <c r="AD2" s="2721"/>
      <c r="AE2" s="2721"/>
      <c r="AF2" s="2721"/>
      <c r="AG2" s="2721"/>
      <c r="AH2" s="2721"/>
      <c r="AI2" s="2721"/>
      <c r="AJ2" s="390"/>
    </row>
    <row r="3" spans="1:36" ht="45" customHeight="1">
      <c r="B3" s="2829" t="s">
        <v>11320</v>
      </c>
      <c r="C3" s="2829"/>
      <c r="D3" s="2829"/>
      <c r="E3" s="2829"/>
      <c r="F3" s="2829"/>
      <c r="G3" s="2829"/>
      <c r="H3" s="2829"/>
      <c r="I3" s="2829"/>
      <c r="J3" s="2829"/>
      <c r="K3" s="2829"/>
      <c r="L3" s="2829"/>
      <c r="M3" s="2829"/>
      <c r="N3" s="2829"/>
      <c r="O3" s="260"/>
      <c r="P3" s="1126"/>
      <c r="Q3" s="2209" t="s">
        <v>4200</v>
      </c>
      <c r="R3" s="363"/>
      <c r="AA3" s="363"/>
      <c r="AC3" s="2829" t="s">
        <v>11320</v>
      </c>
      <c r="AD3" s="2829"/>
      <c r="AE3" s="2829"/>
      <c r="AF3" s="2829"/>
      <c r="AG3" s="2829"/>
      <c r="AH3" s="2829"/>
      <c r="AI3" s="2829"/>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33" t="s">
        <v>4202</v>
      </c>
      <c r="C5" s="2715" t="s">
        <v>4203</v>
      </c>
      <c r="D5" s="2715" t="s">
        <v>4204</v>
      </c>
      <c r="E5" s="2847" t="s">
        <v>9027</v>
      </c>
      <c r="F5" s="2847"/>
      <c r="G5" s="2847"/>
      <c r="H5" s="2847"/>
      <c r="I5" s="2847"/>
      <c r="J5" s="2899" t="s">
        <v>4425</v>
      </c>
      <c r="K5" s="731"/>
      <c r="L5" s="2811" t="s">
        <v>4208</v>
      </c>
      <c r="M5" s="260"/>
      <c r="N5" s="2811" t="s">
        <v>4209</v>
      </c>
      <c r="O5" s="260"/>
      <c r="P5" s="1127"/>
      <c r="R5" s="828"/>
      <c r="AA5" s="828"/>
      <c r="AC5" s="2833" t="s">
        <v>4202</v>
      </c>
      <c r="AD5" s="2847" t="s">
        <v>9027</v>
      </c>
      <c r="AE5" s="2847"/>
      <c r="AF5" s="2847"/>
      <c r="AG5" s="2847"/>
      <c r="AH5" s="2847"/>
      <c r="AI5" s="2899"/>
      <c r="AJ5" s="731"/>
    </row>
    <row r="6" spans="1:36" s="197" customFormat="1" ht="15.75" customHeight="1">
      <c r="B6" s="2894"/>
      <c r="C6" s="2818"/>
      <c r="D6" s="2818"/>
      <c r="E6" s="2857"/>
      <c r="F6" s="2857"/>
      <c r="G6" s="2857"/>
      <c r="H6" s="2857"/>
      <c r="I6" s="2857"/>
      <c r="J6" s="2852"/>
      <c r="K6" s="106"/>
      <c r="L6" s="2812"/>
      <c r="M6" s="582"/>
      <c r="N6" s="2812"/>
      <c r="O6" s="582"/>
      <c r="P6" s="1127"/>
      <c r="Q6" s="888"/>
      <c r="R6" s="828"/>
      <c r="AA6" s="828"/>
      <c r="AC6" s="2894"/>
      <c r="AD6" s="2857"/>
      <c r="AE6" s="2857"/>
      <c r="AF6" s="2857"/>
      <c r="AG6" s="2857"/>
      <c r="AH6" s="2857"/>
      <c r="AI6" s="2852" t="s">
        <v>4425</v>
      </c>
      <c r="AJ6" s="106"/>
    </row>
    <row r="7" spans="1:36" s="197" customFormat="1" ht="60" customHeight="1" thickBot="1">
      <c r="B7" s="2834"/>
      <c r="C7" s="2716"/>
      <c r="D7" s="2716"/>
      <c r="E7" s="887" t="s">
        <v>8058</v>
      </c>
      <c r="F7" s="887" t="s">
        <v>8059</v>
      </c>
      <c r="G7" s="887" t="s">
        <v>8060</v>
      </c>
      <c r="H7" s="887" t="s">
        <v>8061</v>
      </c>
      <c r="I7" s="887" t="s">
        <v>8360</v>
      </c>
      <c r="J7" s="2853"/>
      <c r="K7" s="106"/>
      <c r="L7" s="2813"/>
      <c r="M7" s="1110"/>
      <c r="N7" s="2813"/>
      <c r="O7" s="1110"/>
      <c r="P7" s="1128"/>
      <c r="Q7" s="888"/>
      <c r="R7" s="828"/>
      <c r="S7" s="2710" t="s">
        <v>4201</v>
      </c>
      <c r="T7" s="2710"/>
      <c r="U7" s="2710"/>
      <c r="V7" s="2710"/>
      <c r="W7" s="2710"/>
      <c r="X7" s="2710"/>
      <c r="Y7" s="2710"/>
      <c r="Z7" s="2710"/>
      <c r="AA7" s="828"/>
      <c r="AC7" s="2834"/>
      <c r="AD7" s="887" t="s">
        <v>8058</v>
      </c>
      <c r="AE7" s="887" t="s">
        <v>8059</v>
      </c>
      <c r="AF7" s="887" t="s">
        <v>8060</v>
      </c>
      <c r="AG7" s="887" t="s">
        <v>8061</v>
      </c>
      <c r="AH7" s="887" t="s">
        <v>8360</v>
      </c>
      <c r="AI7" s="2853"/>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9215</v>
      </c>
      <c r="C9" s="1110"/>
      <c r="D9" s="1110"/>
      <c r="E9" s="1110"/>
      <c r="F9" s="1110"/>
      <c r="G9" s="1110"/>
      <c r="H9" s="1110"/>
      <c r="I9" s="1110"/>
      <c r="J9" s="1110"/>
      <c r="K9" s="1110"/>
      <c r="L9" s="1110"/>
      <c r="M9" s="1110"/>
      <c r="N9" s="1110"/>
      <c r="O9" s="1110"/>
      <c r="P9" s="1128"/>
      <c r="R9" s="828"/>
      <c r="S9" s="269"/>
      <c r="AA9" s="828"/>
      <c r="AC9" s="1130" t="s">
        <v>9215</v>
      </c>
      <c r="AD9" s="1110"/>
      <c r="AE9" s="1110"/>
      <c r="AF9" s="1110"/>
      <c r="AG9" s="1110"/>
      <c r="AH9" s="1110"/>
      <c r="AI9" s="1110"/>
      <c r="AJ9" s="1129"/>
    </row>
    <row r="10" spans="1:36" s="197" customFormat="1" ht="15.75" customHeight="1" thickTop="1">
      <c r="B10" s="451" t="s">
        <v>11289</v>
      </c>
      <c r="C10" s="277" t="s">
        <v>4215</v>
      </c>
      <c r="D10" s="277">
        <v>3</v>
      </c>
      <c r="E10" s="694">
        <v>0.42299999999999999</v>
      </c>
      <c r="F10" s="694">
        <v>2.9000000000000001E-2</v>
      </c>
      <c r="G10" s="694">
        <v>0</v>
      </c>
      <c r="H10" s="694">
        <v>0</v>
      </c>
      <c r="I10" s="694">
        <v>0</v>
      </c>
      <c r="J10" s="1596">
        <f t="shared" ref="J10:J15" si="0">IFERROR(SUM(E10:I10), 0)</f>
        <v>0.45200000000000001</v>
      </c>
      <c r="K10" s="83"/>
      <c r="L10" s="281" t="s">
        <v>11321</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11289</v>
      </c>
      <c r="AD10" s="904" t="s">
        <v>11322</v>
      </c>
      <c r="AE10" s="904" t="s">
        <v>11323</v>
      </c>
      <c r="AF10" s="904" t="s">
        <v>11324</v>
      </c>
      <c r="AG10" s="904" t="s">
        <v>11325</v>
      </c>
      <c r="AH10" s="904" t="s">
        <v>11326</v>
      </c>
      <c r="AI10" s="416" t="s">
        <v>11327</v>
      </c>
      <c r="AJ10" s="383"/>
    </row>
    <row r="11" spans="1:36" s="197" customFormat="1" ht="15.75" customHeight="1">
      <c r="B11" s="460" t="s">
        <v>11328</v>
      </c>
      <c r="C11" s="286" t="s">
        <v>4215</v>
      </c>
      <c r="D11" s="286">
        <v>3</v>
      </c>
      <c r="E11" s="697">
        <v>6.2670000000000003</v>
      </c>
      <c r="F11" s="697">
        <v>0.42399999999999999</v>
      </c>
      <c r="G11" s="697">
        <v>0</v>
      </c>
      <c r="H11" s="697">
        <v>0</v>
      </c>
      <c r="I11" s="697">
        <v>0</v>
      </c>
      <c r="J11" s="1598">
        <f t="shared" si="0"/>
        <v>6.6910000000000007</v>
      </c>
      <c r="K11" s="83"/>
      <c r="L11" s="290" t="s">
        <v>11329</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11328</v>
      </c>
      <c r="AD11" s="905" t="s">
        <v>11330</v>
      </c>
      <c r="AE11" s="905" t="s">
        <v>11331</v>
      </c>
      <c r="AF11" s="905" t="s">
        <v>11332</v>
      </c>
      <c r="AG11" s="905" t="s">
        <v>11333</v>
      </c>
      <c r="AH11" s="905" t="s">
        <v>11334</v>
      </c>
      <c r="AI11" s="893" t="s">
        <v>11335</v>
      </c>
      <c r="AJ11" s="383"/>
    </row>
    <row r="12" spans="1:36" s="197" customFormat="1" ht="15.75" customHeight="1">
      <c r="B12" s="460" t="s">
        <v>11299</v>
      </c>
      <c r="C12" s="286" t="s">
        <v>4215</v>
      </c>
      <c r="D12" s="286">
        <v>3</v>
      </c>
      <c r="E12" s="697">
        <v>1.466</v>
      </c>
      <c r="F12" s="697">
        <v>0</v>
      </c>
      <c r="G12" s="697">
        <v>0</v>
      </c>
      <c r="H12" s="697">
        <v>0</v>
      </c>
      <c r="I12" s="697">
        <v>0</v>
      </c>
      <c r="J12" s="1598">
        <f t="shared" si="0"/>
        <v>1.466</v>
      </c>
      <c r="K12" s="83"/>
      <c r="L12" s="290" t="s">
        <v>11336</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11299</v>
      </c>
      <c r="AD12" s="905" t="s">
        <v>11337</v>
      </c>
      <c r="AE12" s="905" t="s">
        <v>11338</v>
      </c>
      <c r="AF12" s="905" t="s">
        <v>11339</v>
      </c>
      <c r="AG12" s="905" t="s">
        <v>11340</v>
      </c>
      <c r="AH12" s="905" t="s">
        <v>11341</v>
      </c>
      <c r="AI12" s="893" t="s">
        <v>11342</v>
      </c>
      <c r="AJ12" s="383"/>
    </row>
    <row r="13" spans="1:36" s="197" customFormat="1" ht="15.75" customHeight="1">
      <c r="B13" s="460" t="s">
        <v>11304</v>
      </c>
      <c r="C13" s="286" t="s">
        <v>4215</v>
      </c>
      <c r="D13" s="286">
        <v>3</v>
      </c>
      <c r="E13" s="697">
        <v>0</v>
      </c>
      <c r="F13" s="697">
        <v>0</v>
      </c>
      <c r="G13" s="697">
        <v>0</v>
      </c>
      <c r="H13" s="697">
        <v>0</v>
      </c>
      <c r="I13" s="697">
        <v>0</v>
      </c>
      <c r="J13" s="1598">
        <f t="shared" si="0"/>
        <v>0</v>
      </c>
      <c r="K13" s="242"/>
      <c r="L13" s="1071" t="s">
        <v>11343</v>
      </c>
      <c r="N13" s="291"/>
      <c r="P13" s="1127"/>
      <c r="Q13" s="284">
        <f t="shared" si="6"/>
        <v>0</v>
      </c>
      <c r="R13" s="828"/>
      <c r="S13" s="285">
        <f t="shared" si="7"/>
        <v>0</v>
      </c>
      <c r="T13" s="285">
        <f t="shared" si="2"/>
        <v>0</v>
      </c>
      <c r="U13" s="285">
        <f t="shared" si="3"/>
        <v>0</v>
      </c>
      <c r="V13" s="285">
        <f t="shared" si="4"/>
        <v>0</v>
      </c>
      <c r="W13" s="285">
        <f t="shared" si="5"/>
        <v>0</v>
      </c>
      <c r="AA13" s="828"/>
      <c r="AC13" s="460" t="s">
        <v>11304</v>
      </c>
      <c r="AD13" s="905" t="s">
        <v>11344</v>
      </c>
      <c r="AE13" s="905" t="s">
        <v>11345</v>
      </c>
      <c r="AF13" s="905" t="s">
        <v>11346</v>
      </c>
      <c r="AG13" s="905" t="s">
        <v>11347</v>
      </c>
      <c r="AH13" s="905" t="s">
        <v>11348</v>
      </c>
      <c r="AI13" s="893" t="s">
        <v>11349</v>
      </c>
    </row>
    <row r="14" spans="1:36" s="200" customFormat="1" ht="15.75" customHeight="1">
      <c r="B14" s="460" t="s">
        <v>11309</v>
      </c>
      <c r="C14" s="286" t="s">
        <v>4215</v>
      </c>
      <c r="D14" s="286">
        <v>3</v>
      </c>
      <c r="E14" s="697">
        <v>1.02</v>
      </c>
      <c r="F14" s="697">
        <v>0.48</v>
      </c>
      <c r="G14" s="697">
        <v>0</v>
      </c>
      <c r="H14" s="697">
        <v>0</v>
      </c>
      <c r="I14" s="697">
        <v>0</v>
      </c>
      <c r="J14" s="1598">
        <f t="shared" si="0"/>
        <v>1.5</v>
      </c>
      <c r="K14" s="242"/>
      <c r="L14" s="1071" t="s">
        <v>11350</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11309</v>
      </c>
      <c r="AD14" s="905" t="s">
        <v>11351</v>
      </c>
      <c r="AE14" s="905" t="s">
        <v>11352</v>
      </c>
      <c r="AF14" s="905" t="s">
        <v>11353</v>
      </c>
      <c r="AG14" s="905" t="s">
        <v>11354</v>
      </c>
      <c r="AH14" s="905" t="s">
        <v>11355</v>
      </c>
      <c r="AI14" s="893" t="s">
        <v>11356</v>
      </c>
    </row>
    <row r="15" spans="1:36" ht="30.6" thickBot="1">
      <c r="A15" s="197"/>
      <c r="B15" s="463" t="s">
        <v>11357</v>
      </c>
      <c r="C15" s="355" t="s">
        <v>4215</v>
      </c>
      <c r="D15" s="355">
        <v>3</v>
      </c>
      <c r="E15" s="1589">
        <f>IFERROR(E10 + E11 + E12 + E13 + E14, 0)</f>
        <v>9.1760000000000002</v>
      </c>
      <c r="F15" s="1589">
        <f t="shared" ref="F15:I15" si="8">IFERROR(F10 + F11 + F12 + F13 + F14, 0)</f>
        <v>0.93300000000000005</v>
      </c>
      <c r="G15" s="1589">
        <f t="shared" si="8"/>
        <v>0</v>
      </c>
      <c r="H15" s="1589">
        <f t="shared" si="8"/>
        <v>0</v>
      </c>
      <c r="I15" s="1589">
        <f t="shared" si="8"/>
        <v>0</v>
      </c>
      <c r="J15" s="1599">
        <f t="shared" si="0"/>
        <v>10.109</v>
      </c>
      <c r="K15" s="83"/>
      <c r="L15" s="356" t="s">
        <v>11358</v>
      </c>
      <c r="M15" s="737"/>
      <c r="N15" s="302"/>
      <c r="O15" s="737"/>
      <c r="P15" s="1127"/>
      <c r="Q15" s="197"/>
      <c r="R15" s="828"/>
      <c r="S15" s="197"/>
      <c r="T15" s="197"/>
      <c r="U15" s="197"/>
      <c r="V15" s="197"/>
      <c r="W15" s="197"/>
      <c r="X15" s="197"/>
      <c r="Y15" s="197"/>
      <c r="Z15" s="197"/>
      <c r="AA15" s="828"/>
      <c r="AB15" s="197"/>
      <c r="AC15" s="463" t="s">
        <v>11359</v>
      </c>
      <c r="AD15" s="679" t="s">
        <v>11360</v>
      </c>
      <c r="AE15" s="679" t="s">
        <v>11361</v>
      </c>
      <c r="AF15" s="679" t="s">
        <v>11362</v>
      </c>
      <c r="AG15" s="679" t="s">
        <v>11363</v>
      </c>
      <c r="AH15" s="679" t="s">
        <v>11364</v>
      </c>
      <c r="AI15" s="417" t="s">
        <v>11365</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9223</v>
      </c>
      <c r="C17" s="1110"/>
      <c r="D17" s="1110"/>
      <c r="E17" s="1681"/>
      <c r="F17" s="1681"/>
      <c r="G17" s="1681"/>
      <c r="H17" s="1681"/>
      <c r="I17" s="1681"/>
      <c r="J17" s="1681"/>
      <c r="K17" s="1110"/>
      <c r="L17" s="1110"/>
      <c r="M17" s="1110"/>
      <c r="N17" s="1110"/>
      <c r="O17" s="1110"/>
      <c r="P17" s="1128"/>
      <c r="R17" s="828"/>
      <c r="AA17" s="828"/>
      <c r="AC17" s="1131" t="s">
        <v>9223</v>
      </c>
      <c r="AD17" s="1110"/>
      <c r="AE17" s="1110"/>
      <c r="AF17" s="1110"/>
      <c r="AG17" s="1110"/>
      <c r="AH17" s="1110"/>
      <c r="AI17" s="1110"/>
      <c r="AJ17" s="1129"/>
    </row>
    <row r="18" spans="1:36" s="197" customFormat="1" ht="15.75" customHeight="1" thickTop="1">
      <c r="B18" s="451" t="s">
        <v>11289</v>
      </c>
      <c r="C18" s="277" t="s">
        <v>4215</v>
      </c>
      <c r="D18" s="277">
        <v>3</v>
      </c>
      <c r="E18" s="694">
        <v>-8.2000000000000003E-2</v>
      </c>
      <c r="F18" s="694">
        <v>-6.0000000000000001E-3</v>
      </c>
      <c r="G18" s="694">
        <v>0</v>
      </c>
      <c r="H18" s="694">
        <v>0</v>
      </c>
      <c r="I18" s="694">
        <v>0</v>
      </c>
      <c r="J18" s="1596">
        <f t="shared" ref="J18:J23" si="9">IFERROR(SUM(E18:I18), 0)</f>
        <v>-8.8000000000000009E-2</v>
      </c>
      <c r="K18" s="83"/>
      <c r="L18" s="281" t="s">
        <v>11366</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11289</v>
      </c>
      <c r="AD18" s="904" t="s">
        <v>11367</v>
      </c>
      <c r="AE18" s="904" t="s">
        <v>11368</v>
      </c>
      <c r="AF18" s="904" t="s">
        <v>11369</v>
      </c>
      <c r="AG18" s="904" t="s">
        <v>11370</v>
      </c>
      <c r="AH18" s="904" t="s">
        <v>11371</v>
      </c>
      <c r="AI18" s="416" t="s">
        <v>11372</v>
      </c>
      <c r="AJ18" s="383"/>
    </row>
    <row r="19" spans="1:36" s="197" customFormat="1" ht="15.75" customHeight="1">
      <c r="B19" s="460" t="s">
        <v>11328</v>
      </c>
      <c r="C19" s="286" t="s">
        <v>4215</v>
      </c>
      <c r="D19" s="286">
        <v>3</v>
      </c>
      <c r="E19" s="697">
        <v>2.8000000000000001E-2</v>
      </c>
      <c r="F19" s="697">
        <v>2E-3</v>
      </c>
      <c r="G19" s="697">
        <v>0</v>
      </c>
      <c r="H19" s="697">
        <v>0</v>
      </c>
      <c r="I19" s="697">
        <v>0</v>
      </c>
      <c r="J19" s="1598">
        <f t="shared" si="9"/>
        <v>0.03</v>
      </c>
      <c r="K19" s="83"/>
      <c r="L19" s="290" t="s">
        <v>11373</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11328</v>
      </c>
      <c r="AD19" s="905" t="s">
        <v>11374</v>
      </c>
      <c r="AE19" s="905" t="s">
        <v>11375</v>
      </c>
      <c r="AF19" s="905" t="s">
        <v>11376</v>
      </c>
      <c r="AG19" s="905" t="s">
        <v>11377</v>
      </c>
      <c r="AH19" s="905" t="s">
        <v>11378</v>
      </c>
      <c r="AI19" s="893" t="s">
        <v>11379</v>
      </c>
      <c r="AJ19" s="383"/>
    </row>
    <row r="20" spans="1:36" s="197" customFormat="1" ht="15.75" customHeight="1">
      <c r="B20" s="460" t="s">
        <v>11299</v>
      </c>
      <c r="C20" s="286" t="s">
        <v>4215</v>
      </c>
      <c r="D20" s="286">
        <v>3</v>
      </c>
      <c r="E20" s="697">
        <v>2.5999999999999999E-2</v>
      </c>
      <c r="F20" s="697">
        <v>0</v>
      </c>
      <c r="G20" s="697">
        <v>0</v>
      </c>
      <c r="H20" s="697">
        <v>0</v>
      </c>
      <c r="I20" s="697">
        <v>0</v>
      </c>
      <c r="J20" s="1598">
        <f t="shared" si="9"/>
        <v>2.5999999999999999E-2</v>
      </c>
      <c r="K20" s="83"/>
      <c r="L20" s="290" t="s">
        <v>11380</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11299</v>
      </c>
      <c r="AD20" s="905" t="s">
        <v>11381</v>
      </c>
      <c r="AE20" s="905" t="s">
        <v>11382</v>
      </c>
      <c r="AF20" s="905" t="s">
        <v>11383</v>
      </c>
      <c r="AG20" s="905" t="s">
        <v>11384</v>
      </c>
      <c r="AH20" s="905" t="s">
        <v>11385</v>
      </c>
      <c r="AI20" s="893" t="s">
        <v>11386</v>
      </c>
      <c r="AJ20" s="383"/>
    </row>
    <row r="21" spans="1:36" s="197" customFormat="1" ht="15.75" customHeight="1">
      <c r="B21" s="460" t="s">
        <v>11304</v>
      </c>
      <c r="C21" s="286" t="s">
        <v>4215</v>
      </c>
      <c r="D21" s="286">
        <v>3</v>
      </c>
      <c r="E21" s="697">
        <v>0.35899999999999999</v>
      </c>
      <c r="F21" s="697">
        <v>0.42700000000000005</v>
      </c>
      <c r="G21" s="697">
        <v>0</v>
      </c>
      <c r="H21" s="697">
        <v>0</v>
      </c>
      <c r="I21" s="697">
        <v>0</v>
      </c>
      <c r="J21" s="1598">
        <f t="shared" si="9"/>
        <v>0.78600000000000003</v>
      </c>
      <c r="K21" s="242"/>
      <c r="L21" s="1071" t="s">
        <v>11387</v>
      </c>
      <c r="N21" s="291"/>
      <c r="P21" s="1127"/>
      <c r="Q21" s="284">
        <f t="shared" si="10"/>
        <v>0</v>
      </c>
      <c r="R21" s="828"/>
      <c r="S21" s="285">
        <f t="shared" si="11"/>
        <v>0</v>
      </c>
      <c r="T21" s="285">
        <f t="shared" si="12"/>
        <v>0</v>
      </c>
      <c r="U21" s="285">
        <f t="shared" si="13"/>
        <v>0</v>
      </c>
      <c r="V21" s="285">
        <f t="shared" si="14"/>
        <v>0</v>
      </c>
      <c r="W21" s="285">
        <f t="shared" si="15"/>
        <v>0</v>
      </c>
      <c r="AA21" s="828"/>
      <c r="AC21" s="460" t="s">
        <v>11304</v>
      </c>
      <c r="AD21" s="905" t="s">
        <v>11388</v>
      </c>
      <c r="AE21" s="905" t="s">
        <v>11389</v>
      </c>
      <c r="AF21" s="905" t="s">
        <v>11390</v>
      </c>
      <c r="AG21" s="905" t="s">
        <v>11391</v>
      </c>
      <c r="AH21" s="905" t="s">
        <v>11392</v>
      </c>
      <c r="AI21" s="893" t="s">
        <v>11393</v>
      </c>
    </row>
    <row r="22" spans="1:36" s="200" customFormat="1" ht="15.75" customHeight="1">
      <c r="B22" s="460" t="s">
        <v>11309</v>
      </c>
      <c r="C22" s="286" t="s">
        <v>4215</v>
      </c>
      <c r="D22" s="286">
        <v>3</v>
      </c>
      <c r="E22" s="697">
        <v>0.35899999999999999</v>
      </c>
      <c r="F22" s="697">
        <v>0.16900000000000001</v>
      </c>
      <c r="G22" s="697">
        <v>0</v>
      </c>
      <c r="H22" s="697">
        <v>0</v>
      </c>
      <c r="I22" s="697">
        <v>0</v>
      </c>
      <c r="J22" s="1598">
        <f t="shared" si="9"/>
        <v>0.52800000000000002</v>
      </c>
      <c r="K22" s="242"/>
      <c r="L22" s="1071" t="s">
        <v>11394</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11309</v>
      </c>
      <c r="AD22" s="905" t="s">
        <v>11395</v>
      </c>
      <c r="AE22" s="905" t="s">
        <v>11396</v>
      </c>
      <c r="AF22" s="905" t="s">
        <v>11397</v>
      </c>
      <c r="AG22" s="905" t="s">
        <v>11398</v>
      </c>
      <c r="AH22" s="905" t="s">
        <v>11399</v>
      </c>
      <c r="AI22" s="893" t="s">
        <v>11400</v>
      </c>
    </row>
    <row r="23" spans="1:36" ht="15.75" customHeight="1" thickBot="1">
      <c r="A23" s="197"/>
      <c r="B23" s="463" t="s">
        <v>11401</v>
      </c>
      <c r="C23" s="355" t="s">
        <v>4215</v>
      </c>
      <c r="D23" s="355">
        <v>3</v>
      </c>
      <c r="E23" s="1589">
        <f>IFERROR(E18 + E19 + E20 + E21 + E22, 0)</f>
        <v>0.69</v>
      </c>
      <c r="F23" s="1589">
        <f t="shared" ref="F23:I23" si="16">IFERROR(F18 + F19 + F20 + F21 + F22, 0)</f>
        <v>0.59200000000000008</v>
      </c>
      <c r="G23" s="1589">
        <f t="shared" si="16"/>
        <v>0</v>
      </c>
      <c r="H23" s="1589">
        <f t="shared" si="16"/>
        <v>0</v>
      </c>
      <c r="I23" s="1589">
        <f t="shared" si="16"/>
        <v>0</v>
      </c>
      <c r="J23" s="1599">
        <f t="shared" si="9"/>
        <v>1.282</v>
      </c>
      <c r="K23" s="83"/>
      <c r="L23" s="356" t="s">
        <v>11402</v>
      </c>
      <c r="M23" s="737"/>
      <c r="N23" s="302"/>
      <c r="O23" s="737"/>
      <c r="P23" s="1127"/>
      <c r="Q23" s="197"/>
      <c r="R23" s="828"/>
      <c r="S23" s="197"/>
      <c r="T23" s="197"/>
      <c r="U23" s="197"/>
      <c r="V23" s="197"/>
      <c r="W23" s="197"/>
      <c r="X23" s="197"/>
      <c r="Y23" s="197"/>
      <c r="Z23" s="197"/>
      <c r="AA23" s="828"/>
      <c r="AB23" s="197"/>
      <c r="AC23" s="463" t="s">
        <v>11359</v>
      </c>
      <c r="AD23" s="679" t="s">
        <v>11403</v>
      </c>
      <c r="AE23" s="679" t="s">
        <v>11404</v>
      </c>
      <c r="AF23" s="679" t="s">
        <v>11405</v>
      </c>
      <c r="AG23" s="679" t="s">
        <v>11406</v>
      </c>
      <c r="AH23" s="679" t="s">
        <v>11407</v>
      </c>
      <c r="AI23" s="417" t="s">
        <v>11408</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9231</v>
      </c>
      <c r="C25" s="1110"/>
      <c r="D25" s="1110"/>
      <c r="E25" s="1681"/>
      <c r="F25" s="1681"/>
      <c r="G25" s="1681"/>
      <c r="H25" s="1681"/>
      <c r="I25" s="1681"/>
      <c r="J25" s="1681"/>
      <c r="K25" s="1110"/>
      <c r="L25" s="1110"/>
      <c r="M25" s="1110"/>
      <c r="N25" s="1110"/>
      <c r="O25" s="1110"/>
      <c r="P25" s="1128"/>
      <c r="R25" s="828"/>
      <c r="AA25" s="828"/>
      <c r="AC25" s="1131" t="s">
        <v>9231</v>
      </c>
      <c r="AD25" s="1110"/>
      <c r="AE25" s="1110"/>
      <c r="AF25" s="1110"/>
      <c r="AG25" s="1110"/>
      <c r="AH25" s="1110"/>
      <c r="AI25" s="1110"/>
      <c r="AJ25" s="1129"/>
    </row>
    <row r="26" spans="1:36" s="197" customFormat="1" ht="15.75" customHeight="1" thickTop="1" thickBot="1">
      <c r="B26" s="469" t="s">
        <v>11409</v>
      </c>
      <c r="C26" s="371" t="s">
        <v>4215</v>
      </c>
      <c r="D26" s="371">
        <v>3</v>
      </c>
      <c r="E26" s="1586">
        <f>IFERROR(E15+E23,0)</f>
        <v>9.8659999999999997</v>
      </c>
      <c r="F26" s="1586">
        <f t="shared" ref="F26:J26" si="17">IFERROR(F15+F23,0)</f>
        <v>1.5250000000000001</v>
      </c>
      <c r="G26" s="1586">
        <f t="shared" si="17"/>
        <v>0</v>
      </c>
      <c r="H26" s="1586">
        <f t="shared" si="17"/>
        <v>0</v>
      </c>
      <c r="I26" s="1586">
        <f t="shared" si="17"/>
        <v>0</v>
      </c>
      <c r="J26" s="1581">
        <f t="shared" si="17"/>
        <v>11.391</v>
      </c>
      <c r="K26" s="83"/>
      <c r="L26" s="374" t="s">
        <v>11410</v>
      </c>
      <c r="M26" s="737"/>
      <c r="N26" s="375"/>
      <c r="O26" s="737"/>
      <c r="P26" s="1127"/>
      <c r="R26" s="828"/>
      <c r="AA26" s="828"/>
      <c r="AC26" s="469" t="s">
        <v>11314</v>
      </c>
      <c r="AD26" s="1132" t="s">
        <v>11411</v>
      </c>
      <c r="AE26" s="979" t="s">
        <v>11412</v>
      </c>
      <c r="AF26" s="979" t="s">
        <v>11413</v>
      </c>
      <c r="AG26" s="979" t="s">
        <v>11414</v>
      </c>
      <c r="AH26" s="979" t="s">
        <v>11415</v>
      </c>
      <c r="AI26" s="687" t="s">
        <v>11416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16" priority="4" operator="equal">
      <formula>0</formula>
    </cfRule>
  </conditionalFormatting>
  <conditionalFormatting sqref="Q18:Q22">
    <cfRule type="cellIs" dxfId="115"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L18" sqref="L18"/>
    </sheetView>
  </sheetViews>
  <sheetFormatPr defaultColWidth="9" defaultRowHeight="24" customHeight="1"/>
  <cols>
    <col min="1" max="1" width="1.59765625" style="224" customWidth="1"/>
    <col min="2" max="2" width="45.59765625" style="224" bestFit="1" customWidth="1"/>
    <col min="3" max="3" width="5.5" style="224" bestFit="1" customWidth="1"/>
    <col min="4" max="4" width="5" style="224" bestFit="1" customWidth="1"/>
    <col min="5" max="5" width="10.09765625" style="224" bestFit="1" customWidth="1"/>
    <col min="6" max="6" width="9.296875" style="224" bestFit="1" customWidth="1"/>
    <col min="7" max="7" width="11.796875" style="224" bestFit="1" customWidth="1"/>
    <col min="8" max="8" width="7.19921875" style="224" bestFit="1" customWidth="1"/>
    <col min="9" max="9" width="1.59765625" style="224" customWidth="1"/>
    <col min="10" max="10" width="9.69921875" style="224" bestFit="1" customWidth="1"/>
    <col min="11" max="11" width="1.59765625" style="224" customWidth="1"/>
    <col min="12" max="12" width="47.59765625" style="224" bestFit="1" customWidth="1"/>
    <col min="13" max="14" width="1.59765625" style="224" customWidth="1"/>
    <col min="15" max="15" width="19.796875" style="224" bestFit="1" customWidth="1"/>
    <col min="16" max="16" width="1.59765625" style="224" customWidth="1"/>
    <col min="17" max="17" width="19.796875" style="224" hidden="1" customWidth="1"/>
    <col min="18" max="19" width="2.09765625" style="224" hidden="1" customWidth="1"/>
    <col min="20" max="20" width="5.59765625" style="224" hidden="1" customWidth="1"/>
    <col min="21" max="22" width="1.59765625" style="224" hidden="1" customWidth="1"/>
    <col min="23" max="23" width="45.59765625" style="224" bestFit="1" customWidth="1"/>
    <col min="24" max="27" width="21.19921875" style="224" bestFit="1" customWidth="1"/>
    <col min="28" max="28" width="1.59765625" style="224" customWidth="1"/>
    <col min="29" max="16384" width="9" style="224"/>
  </cols>
  <sheetData>
    <row r="1" spans="1:28" s="389" customFormat="1" ht="29.25" customHeight="1">
      <c r="B1" s="2901" t="s">
        <v>11417</v>
      </c>
      <c r="C1" s="2901"/>
      <c r="D1" s="2901"/>
      <c r="E1" s="2901"/>
      <c r="F1" s="2901"/>
      <c r="G1" s="2901"/>
      <c r="H1" s="2901"/>
      <c r="I1" s="528"/>
      <c r="J1" s="261"/>
      <c r="K1" s="261"/>
      <c r="L1" s="261"/>
      <c r="M1" s="261"/>
      <c r="N1" s="825"/>
      <c r="P1" s="825"/>
      <c r="U1" s="825"/>
      <c r="W1" s="2901" t="s">
        <v>4198</v>
      </c>
      <c r="X1" s="2901"/>
      <c r="Y1" s="2901"/>
      <c r="Z1" s="2901"/>
      <c r="AA1" s="2901"/>
      <c r="AB1" s="528"/>
    </row>
    <row r="2" spans="1:28" s="389" customFormat="1" ht="29.25" customHeight="1">
      <c r="B2" s="2901" t="str">
        <f>SelectCompany!B4</f>
        <v>Dŵr Cymru</v>
      </c>
      <c r="C2" s="2901"/>
      <c r="D2" s="2901"/>
      <c r="E2" s="2901"/>
      <c r="F2" s="2901"/>
      <c r="G2" s="2901"/>
      <c r="H2" s="2901"/>
      <c r="I2" s="528"/>
      <c r="J2" s="261"/>
      <c r="K2" s="261"/>
      <c r="L2" s="261"/>
      <c r="M2" s="261"/>
      <c r="N2" s="825"/>
      <c r="P2" s="825"/>
      <c r="U2" s="825"/>
      <c r="W2" s="2901"/>
      <c r="X2" s="2901"/>
      <c r="Y2" s="2901"/>
      <c r="Z2" s="2901"/>
      <c r="AA2" s="2901"/>
      <c r="AB2" s="528"/>
    </row>
    <row r="3" spans="1:28" ht="44.25" customHeight="1">
      <c r="B3" s="2829" t="s">
        <v>11418</v>
      </c>
      <c r="C3" s="2829"/>
      <c r="D3" s="2829"/>
      <c r="E3" s="2829"/>
      <c r="F3" s="2829"/>
      <c r="G3" s="2829"/>
      <c r="H3" s="2829"/>
      <c r="I3" s="2829"/>
      <c r="J3" s="2829"/>
      <c r="K3" s="2829"/>
      <c r="L3" s="2829"/>
      <c r="M3" s="261"/>
      <c r="N3" s="363"/>
      <c r="O3" s="650" t="s">
        <v>4200</v>
      </c>
      <c r="P3" s="363"/>
      <c r="U3" s="363"/>
      <c r="W3" s="2829" t="s">
        <v>11419</v>
      </c>
      <c r="X3" s="2829"/>
      <c r="Y3" s="2829"/>
      <c r="Z3" s="2829"/>
      <c r="AA3" s="2829"/>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2"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710" t="s">
        <v>4201</v>
      </c>
      <c r="R5" s="2900"/>
      <c r="S5" s="2900"/>
      <c r="T5" s="2900"/>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9215</v>
      </c>
      <c r="C7" s="394"/>
      <c r="D7" s="394"/>
      <c r="E7" s="482"/>
      <c r="F7" s="482"/>
      <c r="G7" s="1001"/>
      <c r="H7" s="997"/>
      <c r="I7" s="997"/>
      <c r="J7" s="1004"/>
      <c r="K7" s="1005"/>
      <c r="L7" s="1005"/>
      <c r="M7" s="1005"/>
      <c r="N7" s="828"/>
      <c r="P7" s="828"/>
      <c r="U7" s="828"/>
      <c r="W7" s="393" t="s">
        <v>9215</v>
      </c>
    </row>
    <row r="8" spans="1:28" s="197" customFormat="1" ht="15.75" customHeight="1" thickTop="1">
      <c r="B8" s="451" t="s">
        <v>11420</v>
      </c>
      <c r="C8" s="277" t="s">
        <v>4215</v>
      </c>
      <c r="D8" s="277">
        <v>3</v>
      </c>
      <c r="E8" s="278">
        <v>0</v>
      </c>
      <c r="F8" s="278">
        <v>2.6939999992592334E-5</v>
      </c>
      <c r="G8" s="278">
        <v>2.0471000000066297E-4</v>
      </c>
      <c r="H8" s="280">
        <f>IFERROR(SUM(E8:G8), 0)</f>
        <v>2.3164999999325531E-4</v>
      </c>
      <c r="I8" s="997"/>
      <c r="J8" s="1040" t="s">
        <v>11421</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11420</v>
      </c>
      <c r="X8" s="278" t="s">
        <v>17558</v>
      </c>
      <c r="Y8" s="278" t="s">
        <v>17559</v>
      </c>
      <c r="Z8" s="278" t="s">
        <v>17560</v>
      </c>
      <c r="AA8" s="280" t="s">
        <v>17561</v>
      </c>
    </row>
    <row r="9" spans="1:28" s="197" customFormat="1" ht="30">
      <c r="B9" s="460" t="s">
        <v>11422</v>
      </c>
      <c r="C9" s="286" t="s">
        <v>4215</v>
      </c>
      <c r="D9" s="286">
        <v>3</v>
      </c>
      <c r="E9" s="287">
        <v>0</v>
      </c>
      <c r="F9" s="287">
        <v>0</v>
      </c>
      <c r="G9" s="287">
        <v>0</v>
      </c>
      <c r="H9" s="289">
        <f>IFERROR(SUM(E9:G9), 0)</f>
        <v>0</v>
      </c>
      <c r="I9" s="997"/>
      <c r="J9" s="1041" t="s">
        <v>11423</v>
      </c>
      <c r="K9" s="174"/>
      <c r="L9" s="291"/>
      <c r="M9" s="174"/>
      <c r="N9" s="828"/>
      <c r="O9" s="284">
        <f t="shared" ref="O9:O10" si="3">IF(SUM(Q9:T9 ) = 0, 0, $Q$6 )</f>
        <v>0</v>
      </c>
      <c r="P9" s="828"/>
      <c r="Q9" s="285">
        <f t="shared" si="0"/>
        <v>0</v>
      </c>
      <c r="R9" s="285">
        <f t="shared" si="1"/>
        <v>0</v>
      </c>
      <c r="S9" s="285">
        <f t="shared" si="2"/>
        <v>0</v>
      </c>
      <c r="U9" s="828"/>
      <c r="W9" s="460" t="s">
        <v>11422</v>
      </c>
      <c r="X9" s="287" t="s">
        <v>17562</v>
      </c>
      <c r="Y9" s="287" t="s">
        <v>17563</v>
      </c>
      <c r="Z9" s="287" t="s">
        <v>17564</v>
      </c>
      <c r="AA9" s="289" t="s">
        <v>17565</v>
      </c>
    </row>
    <row r="10" spans="1:28" s="197" customFormat="1" ht="15.75" customHeight="1">
      <c r="B10" s="460" t="s">
        <v>11424</v>
      </c>
      <c r="C10" s="286" t="s">
        <v>4215</v>
      </c>
      <c r="D10" s="286">
        <v>3</v>
      </c>
      <c r="E10" s="287">
        <v>0</v>
      </c>
      <c r="F10" s="287">
        <v>0</v>
      </c>
      <c r="G10" s="287">
        <v>0</v>
      </c>
      <c r="H10" s="289">
        <f>IFERROR(SUM(E10:G10), 0)</f>
        <v>0</v>
      </c>
      <c r="I10" s="997"/>
      <c r="J10" s="1041" t="s">
        <v>11425</v>
      </c>
      <c r="K10" s="174"/>
      <c r="L10" s="291"/>
      <c r="M10" s="174"/>
      <c r="N10" s="828"/>
      <c r="O10" s="284">
        <f t="shared" si="3"/>
        <v>0</v>
      </c>
      <c r="P10" s="828"/>
      <c r="Q10" s="285">
        <f t="shared" si="0"/>
        <v>0</v>
      </c>
      <c r="R10" s="285">
        <f t="shared" si="1"/>
        <v>0</v>
      </c>
      <c r="S10" s="285">
        <f t="shared" si="2"/>
        <v>0</v>
      </c>
      <c r="U10" s="828"/>
      <c r="W10" s="460" t="s">
        <v>11424</v>
      </c>
      <c r="X10" s="287" t="s">
        <v>17566</v>
      </c>
      <c r="Y10" s="287" t="s">
        <v>17567</v>
      </c>
      <c r="Z10" s="287" t="s">
        <v>17568</v>
      </c>
      <c r="AA10" s="289" t="s">
        <v>17569</v>
      </c>
    </row>
    <row r="11" spans="1:28" s="197" customFormat="1" ht="15.75" customHeight="1" thickBot="1">
      <c r="B11" s="463" t="s">
        <v>11426</v>
      </c>
      <c r="C11" s="355" t="s">
        <v>4215</v>
      </c>
      <c r="D11" s="355">
        <v>3</v>
      </c>
      <c r="E11" s="298">
        <f>IFERROR(SUM(E8:E10), 0)</f>
        <v>0</v>
      </c>
      <c r="F11" s="298">
        <f t="shared" ref="F11:G11" si="4">IFERROR(SUM(F8:F10), 0)</f>
        <v>2.6939999992592334E-5</v>
      </c>
      <c r="G11" s="298">
        <f t="shared" si="4"/>
        <v>2.0471000000066297E-4</v>
      </c>
      <c r="H11" s="299">
        <f>IFERROR(SUM(E11:G11), 0)</f>
        <v>2.3164999999325531E-4</v>
      </c>
      <c r="I11" s="997"/>
      <c r="J11" s="1043" t="s">
        <v>11427</v>
      </c>
      <c r="K11" s="174"/>
      <c r="L11" s="302"/>
      <c r="M11" s="174"/>
      <c r="N11" s="828"/>
      <c r="P11" s="828"/>
      <c r="U11" s="828"/>
      <c r="W11" s="463" t="s">
        <v>11426</v>
      </c>
      <c r="X11" s="298" t="s">
        <v>17570</v>
      </c>
      <c r="Y11" s="298" t="s">
        <v>17571</v>
      </c>
      <c r="Z11" s="298" t="s">
        <v>17572</v>
      </c>
      <c r="AA11" s="299" t="s">
        <v>17573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9223</v>
      </c>
      <c r="C14" s="394"/>
      <c r="D14" s="394"/>
      <c r="E14" s="482"/>
      <c r="F14" s="482"/>
      <c r="G14" s="1001"/>
      <c r="H14" s="997"/>
      <c r="I14" s="997"/>
      <c r="J14" s="1005"/>
      <c r="K14" s="1005"/>
      <c r="L14" s="1005"/>
      <c r="M14" s="1005"/>
      <c r="N14" s="828"/>
      <c r="P14" s="828"/>
      <c r="U14" s="828"/>
      <c r="W14" s="393" t="s">
        <v>9223</v>
      </c>
      <c r="X14" s="482"/>
      <c r="Y14" s="482"/>
      <c r="Z14" s="1001"/>
      <c r="AA14" s="997"/>
    </row>
    <row r="15" spans="1:28" s="197" customFormat="1" ht="15.75" customHeight="1" thickTop="1">
      <c r="B15" s="451" t="s">
        <v>11428</v>
      </c>
      <c r="C15" s="277" t="s">
        <v>4215</v>
      </c>
      <c r="D15" s="277">
        <v>3</v>
      </c>
      <c r="E15" s="278">
        <v>0</v>
      </c>
      <c r="F15" s="278">
        <v>10.962973060000007</v>
      </c>
      <c r="G15" s="278">
        <v>3.7157952899999995</v>
      </c>
      <c r="H15" s="280">
        <f>IFERROR(SUM(E15:G15), 0)</f>
        <v>14.678768350000006</v>
      </c>
      <c r="I15" s="997"/>
      <c r="J15" s="1040" t="s">
        <v>11429</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11428</v>
      </c>
      <c r="X15" s="278" t="s">
        <v>17574</v>
      </c>
      <c r="Y15" s="278" t="s">
        <v>17575</v>
      </c>
      <c r="Z15" s="278" t="s">
        <v>17576</v>
      </c>
      <c r="AA15" s="280" t="s">
        <v>17577</v>
      </c>
    </row>
    <row r="16" spans="1:28" s="197" customFormat="1" ht="30">
      <c r="B16" s="460" t="s">
        <v>11430</v>
      </c>
      <c r="C16" s="286" t="s">
        <v>4215</v>
      </c>
      <c r="D16" s="286">
        <v>3</v>
      </c>
      <c r="E16" s="287">
        <v>0</v>
      </c>
      <c r="F16" s="287">
        <v>0</v>
      </c>
      <c r="G16" s="287">
        <v>0</v>
      </c>
      <c r="H16" s="289">
        <f>IFERROR(SUM(E16:G16), 0)</f>
        <v>0</v>
      </c>
      <c r="I16" s="997"/>
      <c r="J16" s="1041" t="s">
        <v>11431</v>
      </c>
      <c r="K16" s="174"/>
      <c r="L16" s="291"/>
      <c r="M16" s="174"/>
      <c r="N16" s="828"/>
      <c r="O16" s="284">
        <f t="shared" ref="O16:O17" si="8">IF(SUM(Q16:T16 ) = 0, 0, $Q$6 )</f>
        <v>0</v>
      </c>
      <c r="P16" s="828"/>
      <c r="Q16" s="285">
        <f t="shared" si="5"/>
        <v>0</v>
      </c>
      <c r="R16" s="285">
        <f t="shared" si="6"/>
        <v>0</v>
      </c>
      <c r="S16" s="285">
        <f t="shared" si="7"/>
        <v>0</v>
      </c>
      <c r="U16" s="828"/>
      <c r="W16" s="460" t="s">
        <v>11430</v>
      </c>
      <c r="X16" s="287" t="s">
        <v>17578</v>
      </c>
      <c r="Y16" s="287" t="s">
        <v>17579</v>
      </c>
      <c r="Z16" s="287" t="s">
        <v>17580</v>
      </c>
      <c r="AA16" s="289" t="s">
        <v>17581</v>
      </c>
    </row>
    <row r="17" spans="1:28" s="197" customFormat="1" ht="15.75" customHeight="1">
      <c r="B17" s="460" t="s">
        <v>11432</v>
      </c>
      <c r="C17" s="286" t="s">
        <v>4215</v>
      </c>
      <c r="D17" s="286">
        <v>3</v>
      </c>
      <c r="E17" s="287">
        <v>0</v>
      </c>
      <c r="F17" s="287">
        <v>0</v>
      </c>
      <c r="G17" s="287">
        <v>0</v>
      </c>
      <c r="H17" s="289">
        <f>IFERROR(SUM(E17:G17), 0)</f>
        <v>0</v>
      </c>
      <c r="I17" s="997"/>
      <c r="J17" s="1041" t="s">
        <v>11433</v>
      </c>
      <c r="K17" s="174"/>
      <c r="L17" s="291"/>
      <c r="M17" s="174"/>
      <c r="N17" s="828"/>
      <c r="O17" s="284">
        <f t="shared" si="8"/>
        <v>0</v>
      </c>
      <c r="P17" s="828"/>
      <c r="Q17" s="285">
        <f t="shared" si="5"/>
        <v>0</v>
      </c>
      <c r="R17" s="285">
        <f t="shared" si="6"/>
        <v>0</v>
      </c>
      <c r="S17" s="285">
        <f t="shared" si="7"/>
        <v>0</v>
      </c>
      <c r="U17" s="828"/>
      <c r="W17" s="460" t="s">
        <v>11432</v>
      </c>
      <c r="X17" s="287" t="s">
        <v>17582</v>
      </c>
      <c r="Y17" s="287" t="s">
        <v>17583</v>
      </c>
      <c r="Z17" s="287" t="s">
        <v>17584</v>
      </c>
      <c r="AA17" s="289" t="s">
        <v>17585</v>
      </c>
    </row>
    <row r="18" spans="1:28" s="197" customFormat="1" ht="15.75" customHeight="1" thickBot="1">
      <c r="B18" s="463" t="s">
        <v>11434</v>
      </c>
      <c r="C18" s="355" t="s">
        <v>4215</v>
      </c>
      <c r="D18" s="355">
        <v>3</v>
      </c>
      <c r="E18" s="298">
        <f>IFERROR(SUM(E15:E17), 0)</f>
        <v>0</v>
      </c>
      <c r="F18" s="298">
        <f t="shared" ref="F18:G18" si="9">IFERROR(SUM(F15:F17), 0)</f>
        <v>10.962973060000007</v>
      </c>
      <c r="G18" s="298">
        <f t="shared" si="9"/>
        <v>3.7157952899999995</v>
      </c>
      <c r="H18" s="299">
        <f>IFERROR(SUM(E18:G18), 0)</f>
        <v>14.678768350000006</v>
      </c>
      <c r="I18" s="997"/>
      <c r="J18" s="1043" t="s">
        <v>11435</v>
      </c>
      <c r="K18" s="174"/>
      <c r="L18" s="302"/>
      <c r="M18" s="174"/>
      <c r="N18" s="828"/>
      <c r="P18" s="828"/>
      <c r="U18" s="828"/>
      <c r="W18" s="463" t="s">
        <v>11434</v>
      </c>
      <c r="X18" s="298" t="s">
        <v>17586</v>
      </c>
      <c r="Y18" s="298" t="s">
        <v>17587</v>
      </c>
      <c r="Z18" s="298" t="s">
        <v>17588</v>
      </c>
      <c r="AA18" s="299" t="s">
        <v>17589</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9231</v>
      </c>
      <c r="C20" s="394"/>
      <c r="D20" s="394"/>
      <c r="E20" s="482"/>
      <c r="F20" s="482"/>
      <c r="G20" s="1001"/>
      <c r="H20" s="997"/>
      <c r="I20" s="997"/>
      <c r="J20" s="1005"/>
      <c r="K20" s="1005"/>
      <c r="L20" s="1005"/>
      <c r="M20" s="1005"/>
      <c r="N20" s="828"/>
      <c r="P20" s="828"/>
      <c r="U20" s="828"/>
      <c r="W20" s="393" t="s">
        <v>9231</v>
      </c>
      <c r="X20" s="482"/>
      <c r="Y20" s="482"/>
      <c r="Z20" s="1001"/>
      <c r="AA20" s="997"/>
      <c r="AB20" s="997"/>
    </row>
    <row r="21" spans="1:28" s="197" customFormat="1" ht="15.75" customHeight="1" thickTop="1">
      <c r="B21" s="451" t="s">
        <v>11436</v>
      </c>
      <c r="C21" s="277" t="s">
        <v>4215</v>
      </c>
      <c r="D21" s="277">
        <v>3</v>
      </c>
      <c r="E21" s="2393">
        <f>E8+E15</f>
        <v>0</v>
      </c>
      <c r="F21" s="2393">
        <f t="shared" ref="F21:G21" si="10">F8+F15</f>
        <v>10.962999999999999</v>
      </c>
      <c r="G21" s="2393">
        <f t="shared" si="10"/>
        <v>3.7160000000000002</v>
      </c>
      <c r="H21" s="2394">
        <f>IFERROR(SUM(E21:G21), 0)</f>
        <v>14.678999999999998</v>
      </c>
      <c r="I21" s="997"/>
      <c r="J21" s="1040" t="s">
        <v>11437</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11436</v>
      </c>
      <c r="X21" s="278" t="s">
        <v>11438</v>
      </c>
      <c r="Y21" s="278" t="s">
        <v>11439</v>
      </c>
      <c r="Z21" s="278" t="s">
        <v>11440</v>
      </c>
      <c r="AA21" s="280" t="s">
        <v>11441</v>
      </c>
      <c r="AB21" s="997"/>
    </row>
    <row r="22" spans="1:28" s="197" customFormat="1" ht="30">
      <c r="B22" s="460" t="s">
        <v>11442</v>
      </c>
      <c r="C22" s="286" t="s">
        <v>4215</v>
      </c>
      <c r="D22" s="286">
        <v>3</v>
      </c>
      <c r="E22" s="2337">
        <f>E9+E16</f>
        <v>0</v>
      </c>
      <c r="F22" s="2337">
        <f t="shared" ref="F22:G22" si="14">F9+F16</f>
        <v>0</v>
      </c>
      <c r="G22" s="2337">
        <f t="shared" si="14"/>
        <v>0</v>
      </c>
      <c r="H22" s="625">
        <f>IFERROR(SUM(E22:G22), 0)</f>
        <v>0</v>
      </c>
      <c r="I22" s="997"/>
      <c r="J22" s="1041" t="s">
        <v>11443</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11442</v>
      </c>
      <c r="X22" s="287" t="s">
        <v>11444</v>
      </c>
      <c r="Y22" s="287" t="s">
        <v>11445</v>
      </c>
      <c r="Z22" s="287" t="s">
        <v>11446</v>
      </c>
      <c r="AA22" s="289" t="s">
        <v>11447</v>
      </c>
      <c r="AB22" s="997"/>
    </row>
    <row r="23" spans="1:28" s="197" customFormat="1" ht="15.75" customHeight="1">
      <c r="B23" s="460" t="s">
        <v>11448</v>
      </c>
      <c r="C23" s="286" t="s">
        <v>4215</v>
      </c>
      <c r="D23" s="286">
        <v>3</v>
      </c>
      <c r="E23" s="2337">
        <f>E10+E17</f>
        <v>0</v>
      </c>
      <c r="F23" s="2337">
        <f t="shared" ref="F23:G23" si="17">F10+F17</f>
        <v>0</v>
      </c>
      <c r="G23" s="2337">
        <f t="shared" si="17"/>
        <v>0</v>
      </c>
      <c r="H23" s="625">
        <f>IFERROR(SUM(E23:G23), 0)</f>
        <v>0</v>
      </c>
      <c r="I23" s="997"/>
      <c r="J23" s="1041" t="s">
        <v>11449</v>
      </c>
      <c r="K23" s="174"/>
      <c r="L23" s="291"/>
      <c r="M23" s="174"/>
      <c r="N23" s="828"/>
      <c r="O23" s="284">
        <f t="shared" si="15"/>
        <v>0</v>
      </c>
      <c r="P23" s="828"/>
      <c r="Q23" s="285">
        <f t="shared" si="16"/>
        <v>0</v>
      </c>
      <c r="R23" s="285">
        <f t="shared" si="12"/>
        <v>0</v>
      </c>
      <c r="S23" s="285">
        <f t="shared" si="13"/>
        <v>0</v>
      </c>
      <c r="U23" s="828"/>
      <c r="W23" s="460" t="s">
        <v>11448</v>
      </c>
      <c r="X23" s="287" t="s">
        <v>11450</v>
      </c>
      <c r="Y23" s="287" t="s">
        <v>11451</v>
      </c>
      <c r="Z23" s="287" t="s">
        <v>11452</v>
      </c>
      <c r="AA23" s="289" t="s">
        <v>11453</v>
      </c>
      <c r="AB23" s="997"/>
    </row>
    <row r="24" spans="1:28" s="197" customFormat="1" ht="15.75" customHeight="1" thickBot="1">
      <c r="B24" s="463" t="s">
        <v>11454</v>
      </c>
      <c r="C24" s="355" t="s">
        <v>4215</v>
      </c>
      <c r="D24" s="355">
        <v>3</v>
      </c>
      <c r="E24" s="708">
        <f>IFERROR(SUM(E21:E23), 0)</f>
        <v>0</v>
      </c>
      <c r="F24" s="708">
        <f t="shared" ref="F24:G24" si="18">IFERROR(SUM(F21:F23), 0)</f>
        <v>10.962999999999999</v>
      </c>
      <c r="G24" s="708">
        <f t="shared" si="18"/>
        <v>3.7160000000000002</v>
      </c>
      <c r="H24" s="714">
        <f>IFERROR(SUM(E24:G24), 0)</f>
        <v>14.678999999999998</v>
      </c>
      <c r="I24" s="997"/>
      <c r="J24" s="1043" t="s">
        <v>11455</v>
      </c>
      <c r="K24" s="174"/>
      <c r="L24" s="302"/>
      <c r="M24" s="174"/>
      <c r="N24" s="828"/>
      <c r="P24" s="828"/>
      <c r="U24" s="828"/>
      <c r="W24" s="463" t="s">
        <v>11454</v>
      </c>
      <c r="X24" s="298" t="s">
        <v>11456</v>
      </c>
      <c r="Y24" s="298" t="s">
        <v>11457</v>
      </c>
      <c r="Z24" s="298" t="s">
        <v>11458</v>
      </c>
      <c r="AA24" s="299" t="s">
        <v>11459</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4" priority="1" operator="equal">
      <formula>0</formula>
    </cfRule>
  </conditionalFormatting>
  <conditionalFormatting sqref="O15:O17">
    <cfRule type="cellIs" dxfId="113" priority="2" operator="equal">
      <formula>0</formula>
    </cfRule>
  </conditionalFormatting>
  <conditionalFormatting sqref="O21:O23">
    <cfRule type="cellIs" dxfId="112"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0" zoomScaleNormal="80" zoomScaleSheetLayoutView="100" workbookViewId="0">
      <selection activeCell="K19" sqref="K19"/>
    </sheetView>
  </sheetViews>
  <sheetFormatPr defaultColWidth="8.59765625" defaultRowHeight="15"/>
  <cols>
    <col min="1" max="1" width="1.59765625" style="106" customWidth="1"/>
    <col min="2" max="2" width="44.19921875" style="415" bestFit="1" customWidth="1"/>
    <col min="3" max="3" width="7" style="106" customWidth="1"/>
    <col min="4" max="4" width="5.09765625" style="106" customWidth="1"/>
    <col min="5" max="7" width="12.5" style="106" customWidth="1"/>
    <col min="8" max="8" width="1.59765625" style="106" customWidth="1"/>
    <col min="9" max="9" width="12.5" style="455" customWidth="1"/>
    <col min="10" max="10" width="1.59765625" style="106" customWidth="1"/>
    <col min="11" max="11" width="45.09765625" style="106" customWidth="1"/>
    <col min="12" max="13" width="1.59765625" style="106" customWidth="1"/>
    <col min="14" max="14" width="25" style="106" customWidth="1"/>
    <col min="15" max="15" width="1.59765625" style="106" customWidth="1"/>
    <col min="16" max="16" width="8.59765625" style="106" hidden="1" customWidth="1"/>
    <col min="17" max="17" width="10.59765625" style="106" hidden="1" customWidth="1"/>
    <col min="18" max="18" width="1.59765625" style="106" hidden="1" customWidth="1"/>
    <col min="19" max="19" width="1.59765625" style="106" customWidth="1"/>
    <col min="20" max="20" width="44.296875" style="106" bestFit="1" customWidth="1"/>
    <col min="21" max="23" width="16.09765625" style="106" customWidth="1"/>
    <col min="24" max="24" width="1.59765625" style="106" customWidth="1"/>
    <col min="25" max="16384" width="8.59765625" style="106"/>
  </cols>
  <sheetData>
    <row r="1" spans="2:23" ht="29.25" customHeight="1">
      <c r="B1" s="2819" t="s">
        <v>11460</v>
      </c>
      <c r="C1" s="2819"/>
      <c r="D1" s="2819"/>
      <c r="E1" s="2819"/>
      <c r="F1" s="2819"/>
      <c r="G1" s="723"/>
      <c r="H1" s="723"/>
      <c r="I1" s="723"/>
      <c r="M1" s="994"/>
      <c r="O1" s="994"/>
      <c r="R1" s="994"/>
      <c r="T1" s="2819" t="s">
        <v>4198</v>
      </c>
      <c r="U1" s="2819"/>
      <c r="V1" s="2819"/>
      <c r="W1" s="723"/>
    </row>
    <row r="2" spans="2:23" ht="29.25" customHeight="1">
      <c r="B2" s="2819" t="str">
        <f>SelectCompany!B4</f>
        <v>Dŵr Cymru</v>
      </c>
      <c r="C2" s="2819"/>
      <c r="D2" s="2819"/>
      <c r="E2" s="2819"/>
      <c r="F2" s="2819"/>
      <c r="G2" s="529"/>
      <c r="H2" s="529"/>
      <c r="I2" s="529"/>
      <c r="M2" s="994"/>
      <c r="O2" s="994"/>
      <c r="R2" s="994"/>
      <c r="T2" s="2819"/>
      <c r="U2" s="2819"/>
      <c r="V2" s="2819"/>
      <c r="W2" s="529"/>
    </row>
    <row r="3" spans="2:23" ht="45" customHeight="1">
      <c r="B3" s="2829" t="s">
        <v>11461</v>
      </c>
      <c r="C3" s="2829"/>
      <c r="D3" s="2829"/>
      <c r="E3" s="2829"/>
      <c r="F3" s="2829"/>
      <c r="G3" s="2829"/>
      <c r="H3" s="2829"/>
      <c r="I3" s="2829"/>
      <c r="J3" s="2829"/>
      <c r="K3" s="2829"/>
      <c r="M3" s="994"/>
      <c r="N3" s="650" t="s">
        <v>4200</v>
      </c>
      <c r="O3" s="994"/>
      <c r="R3" s="994"/>
      <c r="T3" s="2829" t="s">
        <v>11461</v>
      </c>
      <c r="U3" s="2829"/>
      <c r="V3" s="2829"/>
      <c r="W3" s="2829"/>
    </row>
    <row r="4" spans="2:23" ht="14.25" customHeight="1" thickBot="1">
      <c r="B4" s="247"/>
      <c r="C4" s="224"/>
      <c r="D4" s="224"/>
      <c r="E4" s="224"/>
      <c r="F4" s="224"/>
      <c r="G4" s="224"/>
      <c r="H4" s="224"/>
      <c r="I4" s="730"/>
      <c r="M4" s="994"/>
      <c r="O4" s="994"/>
      <c r="R4" s="994"/>
      <c r="T4" s="224"/>
      <c r="U4" s="224"/>
      <c r="V4" s="224"/>
      <c r="W4" s="224"/>
    </row>
    <row r="5" spans="2:23" ht="46.2"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710" t="s">
        <v>4201</v>
      </c>
      <c r="Q6" s="2710"/>
      <c r="R6" s="994"/>
      <c r="T6" s="482"/>
      <c r="U6" s="482"/>
      <c r="V6" s="482"/>
      <c r="W6" s="482"/>
    </row>
    <row r="7" spans="2:23" ht="15.75" customHeight="1" thickTop="1" thickBot="1">
      <c r="B7" s="393" t="s">
        <v>11462</v>
      </c>
      <c r="C7" s="394"/>
      <c r="D7" s="394"/>
      <c r="E7" s="482"/>
      <c r="F7" s="482"/>
      <c r="G7" s="349"/>
      <c r="H7" s="197"/>
      <c r="I7" s="730"/>
      <c r="M7" s="994"/>
      <c r="O7" s="994"/>
      <c r="P7" s="269" t="s">
        <v>4210</v>
      </c>
      <c r="Q7" s="263"/>
      <c r="R7" s="994"/>
      <c r="T7" s="393" t="s">
        <v>11462</v>
      </c>
      <c r="U7" s="482"/>
      <c r="V7" s="482"/>
      <c r="W7" s="349"/>
    </row>
    <row r="8" spans="2:23" ht="15.75" customHeight="1" thickTop="1">
      <c r="B8" s="451" t="s">
        <v>11463</v>
      </c>
      <c r="C8" s="277" t="s">
        <v>4843</v>
      </c>
      <c r="D8" s="277">
        <v>0</v>
      </c>
      <c r="E8" s="1159">
        <v>6308</v>
      </c>
      <c r="F8" s="1159">
        <v>625</v>
      </c>
      <c r="G8" s="1341">
        <f>IFERROR(E8 + F8, 0)</f>
        <v>6933</v>
      </c>
      <c r="H8" s="197"/>
      <c r="I8" s="281" t="s">
        <v>11464</v>
      </c>
      <c r="K8" s="1136"/>
      <c r="M8" s="994"/>
      <c r="N8" s="284">
        <f>IF( SUM( P8:Q8 ) = 0, 0, $P$7 )</f>
        <v>0</v>
      </c>
      <c r="O8" s="994"/>
      <c r="P8" s="285">
        <f xml:space="preserve"> IF( ISNUMBER(E8), 0, 1 )</f>
        <v>0</v>
      </c>
      <c r="Q8" s="285">
        <f t="shared" ref="Q8:Q9" si="0" xml:space="preserve"> IF( ISNUMBER(F8), 0, 1 )</f>
        <v>0</v>
      </c>
      <c r="R8" s="994"/>
      <c r="T8" s="451" t="s">
        <v>11463</v>
      </c>
      <c r="U8" s="904" t="s">
        <v>11465</v>
      </c>
      <c r="V8" s="904" t="s">
        <v>11466</v>
      </c>
      <c r="W8" s="1135" t="s">
        <v>11467</v>
      </c>
    </row>
    <row r="9" spans="2:23" ht="15.75" customHeight="1">
      <c r="B9" s="460" t="s">
        <v>11468</v>
      </c>
      <c r="C9" s="286" t="s">
        <v>4843</v>
      </c>
      <c r="D9" s="286">
        <v>0</v>
      </c>
      <c r="E9" s="1323">
        <v>476</v>
      </c>
      <c r="F9" s="1323">
        <v>47</v>
      </c>
      <c r="G9" s="1332">
        <f>IFERROR(E9 + F9, 0)</f>
        <v>523</v>
      </c>
      <c r="H9" s="197"/>
      <c r="I9" s="290" t="s">
        <v>11469</v>
      </c>
      <c r="K9" s="1138"/>
      <c r="M9" s="994"/>
      <c r="N9" s="284">
        <f>IF( SUM( P9:Q9 ) = 0, 0, $P$7 )</f>
        <v>0</v>
      </c>
      <c r="O9" s="994"/>
      <c r="P9" s="285">
        <f t="shared" ref="P9" si="1" xml:space="preserve"> IF( ISNUMBER(E9), 0, 1 )</f>
        <v>0</v>
      </c>
      <c r="Q9" s="285">
        <f t="shared" si="0"/>
        <v>0</v>
      </c>
      <c r="R9" s="994"/>
      <c r="T9" s="460" t="s">
        <v>11468</v>
      </c>
      <c r="U9" s="905" t="s">
        <v>11470</v>
      </c>
      <c r="V9" s="905" t="s">
        <v>11471</v>
      </c>
      <c r="W9" s="1137" t="s">
        <v>11472</v>
      </c>
    </row>
    <row r="10" spans="2:23" ht="15.75" customHeight="1" thickBot="1">
      <c r="B10" s="463" t="s">
        <v>11473</v>
      </c>
      <c r="C10" s="355" t="s">
        <v>4843</v>
      </c>
      <c r="D10" s="355">
        <v>0</v>
      </c>
      <c r="E10" s="1324">
        <f>IFERROR(E8 + E9, 0)</f>
        <v>6784</v>
      </c>
      <c r="F10" s="1324">
        <f>IFERROR(F8 + F9, 0)</f>
        <v>672</v>
      </c>
      <c r="G10" s="1353">
        <f>IFERROR(E10 + F10, 0)</f>
        <v>7456</v>
      </c>
      <c r="H10" s="197"/>
      <c r="I10" s="356" t="s">
        <v>11474</v>
      </c>
      <c r="K10" s="1141"/>
      <c r="M10" s="994"/>
      <c r="N10" s="270"/>
      <c r="O10" s="994"/>
      <c r="P10" s="270"/>
      <c r="Q10" s="270"/>
      <c r="R10" s="994"/>
      <c r="T10" s="463" t="s">
        <v>11473</v>
      </c>
      <c r="U10" s="1139" t="s">
        <v>11475</v>
      </c>
      <c r="V10" s="1139" t="s">
        <v>11476</v>
      </c>
      <c r="W10" s="1140" t="s">
        <v>11477</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11478</v>
      </c>
      <c r="C12" s="371" t="s">
        <v>4843</v>
      </c>
      <c r="D12" s="371">
        <v>0</v>
      </c>
      <c r="E12" s="1648">
        <v>1493</v>
      </c>
      <c r="F12" s="1683"/>
      <c r="G12" s="1684"/>
      <c r="H12" s="1147"/>
      <c r="I12" s="716" t="s">
        <v>11479</v>
      </c>
      <c r="K12" s="440"/>
      <c r="M12" s="1148"/>
      <c r="N12" s="284">
        <f>IF( SUM( P12:Q12 ) = 0, 0, $P$7 )</f>
        <v>0</v>
      </c>
      <c r="O12" s="1148"/>
      <c r="P12" s="285">
        <f xml:space="preserve"> IF( ISNUMBER(E12), 0, 1 )</f>
        <v>0</v>
      </c>
      <c r="Q12" s="270"/>
      <c r="R12" s="1148"/>
      <c r="T12" s="469" t="s">
        <v>11478</v>
      </c>
      <c r="U12" s="978" t="s">
        <v>11480</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11481</v>
      </c>
      <c r="C14" s="394"/>
      <c r="D14" s="394"/>
      <c r="E14" s="1686"/>
      <c r="F14" s="1686"/>
      <c r="G14" s="1687"/>
      <c r="H14" s="106"/>
      <c r="I14" s="730"/>
      <c r="M14" s="1152"/>
      <c r="N14" s="270"/>
      <c r="O14" s="1152"/>
      <c r="P14" s="270"/>
      <c r="Q14" s="270"/>
      <c r="R14" s="1152"/>
      <c r="T14" s="393" t="s">
        <v>11481</v>
      </c>
      <c r="U14" s="482"/>
      <c r="V14" s="482"/>
      <c r="W14" s="349"/>
    </row>
    <row r="15" spans="2:23" s="1151" customFormat="1" ht="15.75" customHeight="1" thickTop="1">
      <c r="B15" s="451" t="s">
        <v>11482</v>
      </c>
      <c r="C15" s="277" t="s">
        <v>4843</v>
      </c>
      <c r="D15" s="277">
        <v>0</v>
      </c>
      <c r="E15" s="1159">
        <v>7465</v>
      </c>
      <c r="F15" s="1159">
        <v>8885</v>
      </c>
      <c r="G15" s="1341">
        <f t="shared" ref="G15:G21" si="2">IFERROR(E15 + F15, 0)</f>
        <v>16350</v>
      </c>
      <c r="H15" s="106"/>
      <c r="I15" s="281" t="s">
        <v>11483</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11482</v>
      </c>
      <c r="U15" s="904" t="s">
        <v>11484</v>
      </c>
      <c r="V15" s="904" t="s">
        <v>11485</v>
      </c>
      <c r="W15" s="1135" t="s">
        <v>11486</v>
      </c>
    </row>
    <row r="16" spans="2:23" ht="15.75" customHeight="1">
      <c r="B16" s="460" t="s">
        <v>11487</v>
      </c>
      <c r="C16" s="286" t="s">
        <v>4843</v>
      </c>
      <c r="D16" s="286">
        <v>0</v>
      </c>
      <c r="E16" s="1323">
        <v>498</v>
      </c>
      <c r="F16" s="1323">
        <v>670</v>
      </c>
      <c r="G16" s="1332">
        <f t="shared" si="2"/>
        <v>1168</v>
      </c>
      <c r="I16" s="290" t="s">
        <v>11488</v>
      </c>
      <c r="K16" s="1154"/>
      <c r="M16" s="994"/>
      <c r="N16" s="284">
        <f t="shared" si="3"/>
        <v>0</v>
      </c>
      <c r="O16" s="994"/>
      <c r="P16" s="285">
        <f t="shared" si="4"/>
        <v>0</v>
      </c>
      <c r="Q16" s="285">
        <f t="shared" si="5"/>
        <v>0</v>
      </c>
      <c r="R16" s="994"/>
      <c r="T16" s="460" t="s">
        <v>11487</v>
      </c>
      <c r="U16" s="905" t="s">
        <v>11489</v>
      </c>
      <c r="V16" s="905" t="s">
        <v>11490</v>
      </c>
      <c r="W16" s="1137" t="s">
        <v>11491</v>
      </c>
    </row>
    <row r="17" spans="2:23" ht="15.75" customHeight="1">
      <c r="B17" s="460" t="s">
        <v>11492</v>
      </c>
      <c r="C17" s="286" t="s">
        <v>4843</v>
      </c>
      <c r="D17" s="286">
        <v>0</v>
      </c>
      <c r="E17" s="1318">
        <f>IFERROR(E15 + E16, 0)</f>
        <v>7963</v>
      </c>
      <c r="F17" s="1318">
        <f>IFERROR(F15 + F16, 0)</f>
        <v>9555</v>
      </c>
      <c r="G17" s="1332">
        <f t="shared" si="2"/>
        <v>17518</v>
      </c>
      <c r="I17" s="290" t="s">
        <v>11493</v>
      </c>
      <c r="K17" s="1154"/>
      <c r="M17" s="994"/>
      <c r="N17" s="270"/>
      <c r="O17" s="994"/>
      <c r="P17" s="270"/>
      <c r="Q17" s="270"/>
      <c r="R17" s="994"/>
      <c r="T17" s="460" t="s">
        <v>11492</v>
      </c>
      <c r="U17" s="1155" t="s">
        <v>11494</v>
      </c>
      <c r="V17" s="1155" t="s">
        <v>11495</v>
      </c>
      <c r="W17" s="1137" t="s">
        <v>11496</v>
      </c>
    </row>
    <row r="18" spans="2:23" ht="15.75" customHeight="1">
      <c r="B18" s="460" t="s">
        <v>11497</v>
      </c>
      <c r="C18" s="286" t="s">
        <v>4843</v>
      </c>
      <c r="D18" s="286">
        <v>0</v>
      </c>
      <c r="E18" s="1323">
        <v>0</v>
      </c>
      <c r="F18" s="1323">
        <v>283</v>
      </c>
      <c r="G18" s="1332">
        <f t="shared" si="2"/>
        <v>283</v>
      </c>
      <c r="I18" s="290" t="s">
        <v>11498</v>
      </c>
      <c r="K18" s="1154" t="s">
        <v>18607</v>
      </c>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11497</v>
      </c>
      <c r="U18" s="905" t="s">
        <v>11499</v>
      </c>
      <c r="V18" s="905" t="s">
        <v>11500</v>
      </c>
      <c r="W18" s="1137" t="s">
        <v>11501</v>
      </c>
    </row>
    <row r="19" spans="2:23" ht="15.75" customHeight="1">
      <c r="B19" s="460" t="s">
        <v>11502</v>
      </c>
      <c r="C19" s="286" t="s">
        <v>4843</v>
      </c>
      <c r="D19" s="286">
        <v>0</v>
      </c>
      <c r="E19" s="1323">
        <v>0</v>
      </c>
      <c r="F19" s="1323">
        <v>0</v>
      </c>
      <c r="G19" s="1332">
        <f t="shared" si="2"/>
        <v>0</v>
      </c>
      <c r="I19" s="290" t="s">
        <v>11503</v>
      </c>
      <c r="K19" s="1154"/>
      <c r="M19" s="994"/>
      <c r="N19" s="284">
        <f t="shared" si="6"/>
        <v>0</v>
      </c>
      <c r="O19" s="994"/>
      <c r="P19" s="285">
        <f t="shared" si="7"/>
        <v>0</v>
      </c>
      <c r="Q19" s="285">
        <f t="shared" si="8"/>
        <v>0</v>
      </c>
      <c r="R19" s="994"/>
      <c r="T19" s="460" t="s">
        <v>11502</v>
      </c>
      <c r="U19" s="905" t="s">
        <v>11504</v>
      </c>
      <c r="V19" s="905" t="s">
        <v>11505</v>
      </c>
      <c r="W19" s="1137" t="s">
        <v>11506</v>
      </c>
    </row>
    <row r="20" spans="2:23" ht="15.75" customHeight="1">
      <c r="B20" s="460" t="s">
        <v>11507</v>
      </c>
      <c r="C20" s="286" t="s">
        <v>4843</v>
      </c>
      <c r="D20" s="286">
        <v>0</v>
      </c>
      <c r="E20" s="1318">
        <f>IFERROR(E18 + E19, 0)</f>
        <v>0</v>
      </c>
      <c r="F20" s="1318">
        <f>IFERROR(F18 + F19, 0)</f>
        <v>283</v>
      </c>
      <c r="G20" s="1332">
        <f t="shared" si="2"/>
        <v>283</v>
      </c>
      <c r="I20" s="290" t="s">
        <v>11508</v>
      </c>
      <c r="K20" s="1154"/>
      <c r="M20" s="994"/>
      <c r="N20" s="270"/>
      <c r="O20" s="994"/>
      <c r="P20" s="270"/>
      <c r="Q20" s="270"/>
      <c r="R20" s="994"/>
      <c r="T20" s="460" t="s">
        <v>11507</v>
      </c>
      <c r="U20" s="1155" t="s">
        <v>11509</v>
      </c>
      <c r="V20" s="1155" t="s">
        <v>11510</v>
      </c>
      <c r="W20" s="1137" t="s">
        <v>11511</v>
      </c>
    </row>
    <row r="21" spans="2:23" ht="15.75" customHeight="1" thickBot="1">
      <c r="B21" s="463" t="s">
        <v>11512</v>
      </c>
      <c r="C21" s="355" t="s">
        <v>4843</v>
      </c>
      <c r="D21" s="355">
        <v>0</v>
      </c>
      <c r="E21" s="1324">
        <f>IFERROR(E17 + E20, 0)</f>
        <v>7963</v>
      </c>
      <c r="F21" s="1324">
        <f>IFERROR(F17 + F20, 0)</f>
        <v>9838</v>
      </c>
      <c r="G21" s="1353">
        <f t="shared" si="2"/>
        <v>17801</v>
      </c>
      <c r="I21" s="356" t="s">
        <v>11513</v>
      </c>
      <c r="K21" s="1141"/>
      <c r="M21" s="994"/>
      <c r="N21" s="270"/>
      <c r="O21" s="994"/>
      <c r="P21" s="270"/>
      <c r="Q21" s="270"/>
      <c r="R21" s="994"/>
      <c r="T21" s="463" t="s">
        <v>11512</v>
      </c>
      <c r="U21" s="1139" t="s">
        <v>11514</v>
      </c>
      <c r="V21" s="1139" t="s">
        <v>11515</v>
      </c>
      <c r="W21" s="1140" t="s">
        <v>11516</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11517</v>
      </c>
      <c r="C23" s="371" t="s">
        <v>4843</v>
      </c>
      <c r="D23" s="371">
        <v>0</v>
      </c>
      <c r="E23" s="1648">
        <v>1500</v>
      </c>
      <c r="F23" s="1688"/>
      <c r="G23" s="1689"/>
      <c r="H23" s="1147"/>
      <c r="I23" s="716" t="s">
        <v>11518</v>
      </c>
      <c r="K23" s="1158"/>
      <c r="M23" s="994"/>
      <c r="N23" s="284">
        <f>IF( SUM( P23:Q23 ) = 0, 0, $P$7 )</f>
        <v>0</v>
      </c>
      <c r="O23" s="994"/>
      <c r="P23" s="285">
        <f xml:space="preserve"> IF( ISNUMBER(E23), 0, 1 )</f>
        <v>0</v>
      </c>
      <c r="Q23" s="270"/>
      <c r="R23" s="994"/>
      <c r="T23" s="469" t="s">
        <v>11517</v>
      </c>
      <c r="U23" s="978" t="s">
        <v>11519</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11520</v>
      </c>
      <c r="C25" s="394"/>
      <c r="D25" s="394"/>
      <c r="E25" s="1686"/>
      <c r="F25" s="1685"/>
      <c r="G25" s="1685"/>
      <c r="I25" s="730"/>
      <c r="M25" s="994"/>
      <c r="N25" s="270"/>
      <c r="O25" s="994"/>
      <c r="P25" s="270"/>
      <c r="Q25" s="270"/>
      <c r="R25" s="994"/>
      <c r="T25" s="393" t="s">
        <v>11520</v>
      </c>
      <c r="U25" s="482"/>
    </row>
    <row r="26" spans="2:23" ht="15.75" customHeight="1" thickTop="1">
      <c r="B26" s="451" t="s">
        <v>11521</v>
      </c>
      <c r="C26" s="277" t="s">
        <v>4843</v>
      </c>
      <c r="D26" s="277">
        <v>0</v>
      </c>
      <c r="E26" s="1159">
        <v>35</v>
      </c>
      <c r="F26" s="1690"/>
      <c r="G26" s="1691"/>
      <c r="I26" s="281" t="s">
        <v>11522</v>
      </c>
      <c r="K26" s="1136"/>
      <c r="M26" s="994"/>
      <c r="N26" s="284">
        <f t="shared" ref="N26:N27" si="9">IF( SUM( P26:Q26 ) = 0, 0, $P$7 )</f>
        <v>0</v>
      </c>
      <c r="O26" s="994"/>
      <c r="P26" s="285">
        <f t="shared" ref="P26:P27" si="10" xml:space="preserve"> IF( ISNUMBER(E26), 0, 1 )</f>
        <v>0</v>
      </c>
      <c r="Q26" s="270"/>
      <c r="R26" s="994"/>
      <c r="T26" s="451" t="s">
        <v>11521</v>
      </c>
      <c r="U26" s="1159" t="s">
        <v>11523</v>
      </c>
      <c r="V26" s="1160"/>
      <c r="W26" s="1161"/>
    </row>
    <row r="27" spans="2:23" ht="15.75" customHeight="1" thickBot="1">
      <c r="B27" s="463" t="s">
        <v>11524</v>
      </c>
      <c r="C27" s="355" t="s">
        <v>4843</v>
      </c>
      <c r="D27" s="355">
        <v>0</v>
      </c>
      <c r="E27" s="1162">
        <v>11</v>
      </c>
      <c r="F27" s="1692"/>
      <c r="G27" s="1693"/>
      <c r="I27" s="356" t="s">
        <v>11525</v>
      </c>
      <c r="K27" s="1141"/>
      <c r="M27" s="994"/>
      <c r="N27" s="284">
        <f t="shared" si="9"/>
        <v>0</v>
      </c>
      <c r="O27" s="994"/>
      <c r="P27" s="285">
        <f t="shared" si="10"/>
        <v>0</v>
      </c>
      <c r="Q27" s="270"/>
      <c r="R27" s="994"/>
      <c r="T27" s="463" t="s">
        <v>11524</v>
      </c>
      <c r="U27" s="1162" t="s">
        <v>11526</v>
      </c>
      <c r="V27" s="1163"/>
      <c r="W27" s="1164"/>
    </row>
    <row r="28" spans="2:23" ht="15.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1" priority="6" operator="equal">
      <formula>0</formula>
    </cfRule>
  </conditionalFormatting>
  <conditionalFormatting sqref="N12">
    <cfRule type="cellIs" dxfId="110" priority="5" operator="equal">
      <formula>0</formula>
    </cfRule>
  </conditionalFormatting>
  <conditionalFormatting sqref="N15:N16">
    <cfRule type="cellIs" dxfId="109" priority="4" operator="equal">
      <formula>0</formula>
    </cfRule>
  </conditionalFormatting>
  <conditionalFormatting sqref="N18:N19">
    <cfRule type="cellIs" dxfId="108" priority="3" operator="equal">
      <formula>0</formula>
    </cfRule>
  </conditionalFormatting>
  <conditionalFormatting sqref="N23">
    <cfRule type="cellIs" dxfId="107" priority="2" operator="equal">
      <formula>0</formula>
    </cfRule>
  </conditionalFormatting>
  <conditionalFormatting sqref="N26:N27">
    <cfRule type="cellIs" dxfId="106"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19921875" style="219" bestFit="1" customWidth="1"/>
    <col min="3" max="3" width="124.69921875" style="219" bestFit="1" customWidth="1"/>
    <col min="4" max="4" width="4.19921875" style="219" bestFit="1" customWidth="1"/>
    <col min="5" max="5" width="17.19921875" style="219" bestFit="1" customWidth="1"/>
    <col min="6" max="6" width="15.19921875" style="249" customWidth="1"/>
    <col min="7" max="16384" width="9" style="219"/>
  </cols>
  <sheetData>
    <row r="1" spans="1:6" ht="13.5" customHeight="1">
      <c r="C1" s="219" t="str">
        <f>CONCATENATE(Lists!$B$60,"_APR2022_F1")</f>
        <v>WSH_APR2022_F1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841.31700000000001</v>
      </c>
    </row>
    <row r="5" spans="1:6" ht="13.5" customHeight="1">
      <c r="B5" s="219" t="str">
        <f>'1A'!AA8</f>
        <v>BO1180DSR</v>
      </c>
      <c r="C5" s="219" t="s">
        <v>635</v>
      </c>
      <c r="E5" s="249" t="s">
        <v>634</v>
      </c>
      <c r="F5" s="252">
        <f>IF(ISBLANK('1A'!G8),"##BLANK",'1A'!G8)</f>
        <v>-5.4409999999999998</v>
      </c>
    </row>
    <row r="6" spans="1:6" ht="13.5" customHeight="1">
      <c r="B6" s="219" t="str">
        <f>'1A'!AB8</f>
        <v>BO1180NA</v>
      </c>
      <c r="C6" s="219" t="s">
        <v>636</v>
      </c>
      <c r="E6" s="249" t="s">
        <v>634</v>
      </c>
      <c r="F6" s="252">
        <f>IF(ISBLANK('1A'!H8),"##BLANK",'1A'!H8)</f>
        <v>6.6740000000000004</v>
      </c>
    </row>
    <row r="7" spans="1:6" ht="13.5" customHeight="1">
      <c r="B7" s="219" t="str">
        <f>'1A'!AC8</f>
        <v>BO1180ADJ</v>
      </c>
      <c r="C7" s="219" t="s">
        <v>637</v>
      </c>
      <c r="E7" s="249" t="s">
        <v>634</v>
      </c>
      <c r="F7" s="252">
        <f>IF(ISBLANK('1A'!I8),"##BLANK",'1A'!I8)</f>
        <v>-12.115</v>
      </c>
    </row>
    <row r="8" spans="1:6" ht="13.5" customHeight="1">
      <c r="B8" s="219" t="str">
        <f>'1A'!AD8</f>
        <v>BO1180</v>
      </c>
      <c r="C8" s="219" t="s">
        <v>638</v>
      </c>
      <c r="E8" s="249" t="s">
        <v>634</v>
      </c>
      <c r="F8" s="252">
        <f>IF(ISBLANK('1A'!J8),"##BLANK",'1A'!J8)</f>
        <v>829.202</v>
      </c>
    </row>
    <row r="9" spans="1:6" ht="13.5" customHeight="1">
      <c r="B9" s="219" t="str">
        <f>'1A'!Z9</f>
        <v>BO2560STAT</v>
      </c>
      <c r="C9" s="219" t="s">
        <v>639</v>
      </c>
      <c r="E9" s="249" t="s">
        <v>634</v>
      </c>
      <c r="F9" s="252">
        <f>IF(ISBLANK('1A'!F9),"##BLANK",'1A'!F9)</f>
        <v>-848.00599999999997</v>
      </c>
    </row>
    <row r="10" spans="1:6" ht="13.5" customHeight="1">
      <c r="B10" s="219" t="str">
        <f>'1A'!AA9</f>
        <v>BO2560DSR</v>
      </c>
      <c r="C10" s="219" t="s">
        <v>640</v>
      </c>
      <c r="E10" s="249" t="s">
        <v>634</v>
      </c>
      <c r="F10" s="252">
        <f>IF(ISBLANK('1A'!G9),"##BLANK",'1A'!G9)</f>
        <v>-18.934999999999999</v>
      </c>
    </row>
    <row r="11" spans="1:6" ht="13.5" customHeight="1">
      <c r="B11" s="219" t="str">
        <f>'1A'!AB9</f>
        <v>BO2560NA</v>
      </c>
      <c r="C11" s="219" t="s">
        <v>641</v>
      </c>
      <c r="E11" s="249" t="s">
        <v>634</v>
      </c>
      <c r="F11" s="252">
        <f>IF(ISBLANK('1A'!H9),"##BLANK",'1A'!H9)</f>
        <v>-7.915</v>
      </c>
    </row>
    <row r="12" spans="1:6" ht="13.5" customHeight="1">
      <c r="B12" s="219" t="str">
        <f>'1A'!AC9</f>
        <v>BO2560ADJ</v>
      </c>
      <c r="C12" s="219" t="s">
        <v>642</v>
      </c>
      <c r="E12" s="249" t="s">
        <v>634</v>
      </c>
      <c r="F12" s="252">
        <f>IF(ISBLANK('1A'!I9),"##BLANK",'1A'!I9)</f>
        <v>-11.02</v>
      </c>
    </row>
    <row r="13" spans="1:6" ht="13.5" customHeight="1">
      <c r="B13" s="219" t="str">
        <f>'1A'!AD9</f>
        <v>BO2560</v>
      </c>
      <c r="C13" s="219" t="s">
        <v>643</v>
      </c>
      <c r="E13" s="249" t="s">
        <v>634</v>
      </c>
      <c r="F13" s="252">
        <f>IF(ISBLANK('1A'!J9),"##BLANK",'1A'!J9)</f>
        <v>-859.02599999999995</v>
      </c>
    </row>
    <row r="14" spans="1:6" ht="13.5" customHeight="1">
      <c r="B14" s="219" t="str">
        <f>'1A'!Z10</f>
        <v>BO1980STAT</v>
      </c>
      <c r="C14" s="219" t="s">
        <v>644</v>
      </c>
      <c r="E14" s="249" t="s">
        <v>634</v>
      </c>
      <c r="F14" s="252">
        <f>IF(ISBLANK('1A'!F10),"##BLANK",'1A'!F10)</f>
        <v>0.35799999999999998</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0.35799999999999998</v>
      </c>
    </row>
    <row r="19" spans="2:6" ht="13.5" customHeight="1">
      <c r="B19" s="219" t="str">
        <f>'1A'!Z11</f>
        <v>BO2060STAT</v>
      </c>
      <c r="C19" s="219" t="s">
        <v>649</v>
      </c>
      <c r="E19" s="249" t="s">
        <v>634</v>
      </c>
      <c r="F19" s="252">
        <f>IF(ISBLANK('1A'!F11),"##BLANK",'1A'!F11)</f>
        <v>-6.3309999999999649</v>
      </c>
    </row>
    <row r="20" spans="2:6" ht="13.5" customHeight="1">
      <c r="B20" s="219" t="str">
        <f>'1A'!AA11</f>
        <v>BO2060DSR</v>
      </c>
      <c r="C20" s="219" t="s">
        <v>650</v>
      </c>
      <c r="E20" s="249" t="s">
        <v>634</v>
      </c>
      <c r="F20" s="252">
        <f>IF(ISBLANK('1A'!G11),"##BLANK",'1A'!G11)</f>
        <v>-24.375999999999998</v>
      </c>
    </row>
    <row r="21" spans="2:6" ht="13.5" customHeight="1">
      <c r="B21" s="219" t="str">
        <f>'1A'!AB11</f>
        <v>BO2060NA</v>
      </c>
      <c r="C21" s="219" t="s">
        <v>651</v>
      </c>
      <c r="E21" s="249" t="s">
        <v>634</v>
      </c>
      <c r="F21" s="252">
        <f>IF(ISBLANK('1A'!H11),"##BLANK",'1A'!H11)</f>
        <v>-1.2409999999999997</v>
      </c>
    </row>
    <row r="22" spans="2:6" ht="13.5" customHeight="1">
      <c r="B22" s="219" t="str">
        <f>'1A'!AC11</f>
        <v>BO2060ADJ</v>
      </c>
      <c r="C22" s="219" t="s">
        <v>652</v>
      </c>
      <c r="E22" s="249" t="s">
        <v>634</v>
      </c>
      <c r="F22" s="252">
        <f>IF(ISBLANK('1A'!I11),"##BLANK",'1A'!I11)</f>
        <v>-23.134999999999998</v>
      </c>
    </row>
    <row r="23" spans="2:6" ht="13.5" customHeight="1">
      <c r="B23" s="219" t="str">
        <f>'1A'!AD11</f>
        <v>BO2060</v>
      </c>
      <c r="C23" s="219" t="s">
        <v>653</v>
      </c>
      <c r="E23" s="249" t="s">
        <v>634</v>
      </c>
      <c r="F23" s="252">
        <f>IF(ISBLANK('1A'!J11),"##BLANK",'1A'!J11)</f>
        <v>-29.465999999999962</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31.552</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31.552</v>
      </c>
    </row>
    <row r="28" spans="2:6" ht="13.5" customHeight="1">
      <c r="B28" s="219" t="str">
        <f>'1A'!AD12</f>
        <v>BO3301</v>
      </c>
      <c r="C28" s="219" t="s">
        <v>658</v>
      </c>
      <c r="E28" s="249" t="s">
        <v>634</v>
      </c>
      <c r="F28" s="252">
        <f>IF(ISBLANK('1A'!J12),"##BLANK",'1A'!J12)</f>
        <v>31.552</v>
      </c>
    </row>
    <row r="29" spans="2:6" ht="13.5" customHeight="1">
      <c r="B29" s="219" t="str">
        <f>'1A'!Z13</f>
        <v>A10008STAT</v>
      </c>
      <c r="C29" s="219" t="s">
        <v>659</v>
      </c>
      <c r="E29" s="249" t="s">
        <v>634</v>
      </c>
      <c r="F29" s="252">
        <f>IF(ISBLANK('1A'!F13),"##BLANK",'1A'!F13)</f>
        <v>14.733000000000001</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0.9</v>
      </c>
    </row>
    <row r="32" spans="2:6" ht="13.5" customHeight="1">
      <c r="B32" s="219" t="str">
        <f>'1A'!AC13</f>
        <v>A10008ADJ</v>
      </c>
      <c r="C32" s="219" t="s">
        <v>662</v>
      </c>
      <c r="E32" s="249" t="s">
        <v>634</v>
      </c>
      <c r="F32" s="252">
        <f>IF(ISBLANK('1A'!I13),"##BLANK",'1A'!I13)</f>
        <v>-0.9</v>
      </c>
    </row>
    <row r="33" spans="2:6" ht="13.5" customHeight="1">
      <c r="B33" s="219" t="str">
        <f>'1A'!AD13</f>
        <v>A10008APP</v>
      </c>
      <c r="C33" s="219" t="s">
        <v>663</v>
      </c>
      <c r="E33" s="249" t="s">
        <v>634</v>
      </c>
      <c r="F33" s="252">
        <f>IF(ISBLANK('1A'!J13),"##BLANK",'1A'!J13)</f>
        <v>13.833</v>
      </c>
    </row>
    <row r="34" spans="2:6" ht="13.5" customHeight="1">
      <c r="B34" s="219" t="str">
        <f>'1A'!Z14</f>
        <v>A10009STAT</v>
      </c>
      <c r="C34" s="219" t="s">
        <v>664</v>
      </c>
      <c r="E34" s="249" t="s">
        <v>634</v>
      </c>
      <c r="F34" s="252">
        <f>IF(ISBLANK('1A'!F14),"##BLANK",'1A'!F14)</f>
        <v>-506.13900000000001</v>
      </c>
    </row>
    <row r="35" spans="2:6" ht="13.5" customHeight="1">
      <c r="B35" s="219" t="str">
        <f>'1A'!AA14</f>
        <v>A10009DSR</v>
      </c>
      <c r="C35" s="219" t="s">
        <v>665</v>
      </c>
      <c r="E35" s="249" t="s">
        <v>634</v>
      </c>
      <c r="F35" s="252">
        <f>IF(ISBLANK('1A'!G14),"##BLANK",'1A'!G14)</f>
        <v>-26.088000000000001</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-26.088000000000001</v>
      </c>
    </row>
    <row r="38" spans="2:6" ht="13.5" customHeight="1">
      <c r="B38" s="219" t="str">
        <f>'1A'!AD14</f>
        <v>A10009APP</v>
      </c>
      <c r="C38" s="219" t="s">
        <v>668</v>
      </c>
      <c r="E38" s="249" t="s">
        <v>634</v>
      </c>
      <c r="F38" s="252">
        <f>IF(ISBLANK('1A'!J14),"##BLANK",'1A'!J14)</f>
        <v>-532.22699999999998</v>
      </c>
    </row>
    <row r="39" spans="2:6" ht="13.5" customHeight="1">
      <c r="B39" s="219" t="str">
        <f>'1A'!Z15</f>
        <v>FT01641STAT</v>
      </c>
      <c r="C39" s="219" t="s">
        <v>669</v>
      </c>
      <c r="E39" s="249" t="s">
        <v>634</v>
      </c>
      <c r="F39" s="252">
        <f>IF(ISBLANK('1A'!F15),"##BLANK",'1A'!F15)</f>
        <v>0</v>
      </c>
    </row>
    <row r="40" spans="2:6" ht="13.5" customHeight="1">
      <c r="B40" s="219" t="str">
        <f>'1A'!AA15</f>
        <v>FT01641DSR</v>
      </c>
      <c r="C40" s="219" t="s">
        <v>670</v>
      </c>
      <c r="E40" s="249" t="s">
        <v>634</v>
      </c>
      <c r="F40" s="252">
        <f>IF(ISBLANK('1A'!G15),"##BLANK",'1A'!G15)</f>
        <v>-2.2120000000000002</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-2.2120000000000002</v>
      </c>
    </row>
    <row r="43" spans="2:6" ht="13.5" customHeight="1">
      <c r="B43" s="219" t="str">
        <f>'1A'!AD15</f>
        <v>FT01641</v>
      </c>
      <c r="C43" s="219" t="s">
        <v>673</v>
      </c>
      <c r="E43" s="249" t="s">
        <v>634</v>
      </c>
      <c r="F43" s="252">
        <f>IF(ISBLANK('1A'!J15),"##BLANK",'1A'!J15)</f>
        <v>-2.2120000000000002</v>
      </c>
    </row>
    <row r="44" spans="2:6" ht="13.5" customHeight="1">
      <c r="B44" s="219" t="str">
        <f>'1A'!Z16</f>
        <v>A10011STAT</v>
      </c>
      <c r="C44" s="219" t="s">
        <v>674</v>
      </c>
      <c r="E44" s="249" t="s">
        <v>634</v>
      </c>
      <c r="F44" s="252">
        <f>IF(ISBLANK('1A'!F16),"##BLANK",'1A'!F16)</f>
        <v>-497.73699999999997</v>
      </c>
    </row>
    <row r="45" spans="2:6" ht="13.5" customHeight="1">
      <c r="B45" s="219" t="str">
        <f>'1A'!AA16</f>
        <v>A10011DSR</v>
      </c>
      <c r="C45" s="219" t="s">
        <v>675</v>
      </c>
      <c r="E45" s="249" t="s">
        <v>634</v>
      </c>
      <c r="F45" s="252">
        <f>IF(ISBLANK('1A'!G16),"##BLANK",'1A'!G16)</f>
        <v>-21.123999999999999</v>
      </c>
    </row>
    <row r="46" spans="2:6" ht="13.5" customHeight="1">
      <c r="B46" s="219" t="str">
        <f>'1A'!AB16</f>
        <v>A10011NA</v>
      </c>
      <c r="C46" s="219" t="s">
        <v>676</v>
      </c>
      <c r="E46" s="249" t="s">
        <v>634</v>
      </c>
      <c r="F46" s="252">
        <f>IF(ISBLANK('1A'!H16),"##BLANK",'1A'!H16)</f>
        <v>-0.34099999999999964</v>
      </c>
    </row>
    <row r="47" spans="2:6" ht="13.5" customHeight="1">
      <c r="B47" s="219" t="str">
        <f>'1A'!AC16</f>
        <v>A10011ADJ</v>
      </c>
      <c r="C47" s="219" t="s">
        <v>677</v>
      </c>
      <c r="E47" s="249" t="s">
        <v>634</v>
      </c>
      <c r="F47" s="252">
        <f>IF(ISBLANK('1A'!I16),"##BLANK",'1A'!I16)</f>
        <v>-20.782999999999998</v>
      </c>
    </row>
    <row r="48" spans="2:6" ht="13.5" customHeight="1">
      <c r="B48" s="219" t="str">
        <f>'1A'!AD16</f>
        <v>A10011APP</v>
      </c>
      <c r="C48" s="219" t="s">
        <v>678</v>
      </c>
      <c r="E48" s="249" t="s">
        <v>634</v>
      </c>
      <c r="F48" s="252">
        <f>IF(ISBLANK('1A'!J16),"##BLANK",'1A'!J16)</f>
        <v>-518.52</v>
      </c>
    </row>
    <row r="49" spans="2:6" ht="13.5" customHeight="1">
      <c r="B49" s="219" t="str">
        <f>'1A'!Z17</f>
        <v>A10012STAT</v>
      </c>
      <c r="C49" s="219" t="s">
        <v>679</v>
      </c>
      <c r="E49" s="249" t="s">
        <v>634</v>
      </c>
      <c r="F49" s="252">
        <f>IF(ISBLANK('1A'!F17),"##BLANK",'1A'!F17)</f>
        <v>115.364</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115.364</v>
      </c>
    </row>
    <row r="54" spans="2:6" ht="13.5" customHeight="1">
      <c r="B54" s="219" t="str">
        <f>'1A'!Z18</f>
        <v>BO3305STAT</v>
      </c>
      <c r="C54" s="219" t="s">
        <v>684</v>
      </c>
      <c r="E54" s="249" t="s">
        <v>634</v>
      </c>
      <c r="F54" s="252">
        <f>IF(ISBLANK('1A'!F18),"##BLANK",'1A'!F18)</f>
        <v>-382.37299999999993</v>
      </c>
    </row>
    <row r="55" spans="2:6" ht="13.5" customHeight="1">
      <c r="B55" s="219" t="str">
        <f>'1A'!AA18</f>
        <v>BO3305DSR</v>
      </c>
      <c r="C55" s="219" t="s">
        <v>685</v>
      </c>
      <c r="E55" s="249" t="s">
        <v>634</v>
      </c>
      <c r="F55" s="252">
        <f>IF(ISBLANK('1A'!G18),"##BLANK",'1A'!G18)</f>
        <v>-21.123999999999999</v>
      </c>
    </row>
    <row r="56" spans="2:6" ht="13.5" customHeight="1">
      <c r="B56" s="219" t="str">
        <f>'1A'!AB18</f>
        <v>BO3305NA</v>
      </c>
      <c r="C56" s="219" t="s">
        <v>686</v>
      </c>
      <c r="E56" s="249" t="s">
        <v>634</v>
      </c>
      <c r="F56" s="252">
        <f>IF(ISBLANK('1A'!H18),"##BLANK",'1A'!H18)</f>
        <v>-0.34099999999999964</v>
      </c>
    </row>
    <row r="57" spans="2:6" ht="13.5" customHeight="1">
      <c r="B57" s="219" t="str">
        <f>'1A'!AC18</f>
        <v>BO3305ADJ</v>
      </c>
      <c r="C57" s="219" t="s">
        <v>687</v>
      </c>
      <c r="E57" s="249" t="s">
        <v>634</v>
      </c>
      <c r="F57" s="252">
        <f>IF(ISBLANK('1A'!I18),"##BLANK",'1A'!I18)</f>
        <v>-20.782999999999998</v>
      </c>
    </row>
    <row r="58" spans="2:6" ht="13.5" customHeight="1">
      <c r="B58" s="219" t="str">
        <f>'1A'!AD18</f>
        <v>BO3305</v>
      </c>
      <c r="C58" s="219" t="s">
        <v>688</v>
      </c>
      <c r="E58" s="249" t="s">
        <v>634</v>
      </c>
      <c r="F58" s="252">
        <f>IF(ISBLANK('1A'!J18),"##BLANK",'1A'!J18)</f>
        <v>-403.15599999999995</v>
      </c>
    </row>
    <row r="59" spans="2:6" ht="13.5" customHeight="1">
      <c r="B59" s="219" t="str">
        <f>'1A'!AC19</f>
        <v>BO3351ADJ</v>
      </c>
      <c r="C59" s="219" t="s">
        <v>689</v>
      </c>
      <c r="E59" s="249" t="s">
        <v>634</v>
      </c>
      <c r="F59" s="252">
        <f>IF(ISBLANK('1A'!I19),"##BLANK",'1A'!I19)</f>
        <v>0</v>
      </c>
    </row>
    <row r="60" spans="2:6" ht="13.5" customHeight="1">
      <c r="B60" s="219" t="str">
        <f>'1A'!AD19</f>
        <v>BO3351</v>
      </c>
      <c r="C60" s="219" t="s">
        <v>690</v>
      </c>
      <c r="E60" s="249" t="s">
        <v>634</v>
      </c>
      <c r="F60" s="252">
        <f>IF(ISBLANK('1A'!J19),"##BLANK",'1A'!J19)</f>
        <v>5.4000000000000006E-2</v>
      </c>
    </row>
    <row r="61" spans="2:6" ht="13.5" customHeight="1">
      <c r="B61" s="219" t="str">
        <f>'1A'!Z20</f>
        <v>BO3352STAT</v>
      </c>
      <c r="C61" s="219" t="s">
        <v>691</v>
      </c>
      <c r="E61" s="249" t="s">
        <v>634</v>
      </c>
      <c r="F61" s="252">
        <f>IF(ISBLANK('1A'!F20),"##BLANK",'1A'!F20)</f>
        <v>83.009</v>
      </c>
    </row>
    <row r="62" spans="2:6" ht="13.5" customHeight="1">
      <c r="B62" s="219" t="str">
        <f>'1A'!AA20</f>
        <v>BO3352DSR</v>
      </c>
      <c r="C62" s="219" t="s">
        <v>692</v>
      </c>
      <c r="E62" s="249" t="s">
        <v>634</v>
      </c>
      <c r="F62" s="252">
        <f>IF(ISBLANK('1A'!G20),"##BLANK",'1A'!G20)</f>
        <v>5.2809999999999997</v>
      </c>
    </row>
    <row r="63" spans="2:6" ht="13.5" customHeight="1">
      <c r="B63" s="219" t="str">
        <f>'1A'!AB20</f>
        <v>BO3352NA</v>
      </c>
      <c r="C63" s="219" t="s">
        <v>693</v>
      </c>
      <c r="E63" s="249" t="s">
        <v>634</v>
      </c>
      <c r="F63" s="252">
        <f>IF(ISBLANK('1A'!H20),"##BLANK",'1A'!H20)</f>
        <v>8.5999999999999993E-2</v>
      </c>
    </row>
    <row r="64" spans="2:6" ht="13.5" customHeight="1">
      <c r="B64" s="219" t="str">
        <f>'1A'!AC20</f>
        <v>BO3352ADJ</v>
      </c>
      <c r="C64" s="219" t="s">
        <v>694</v>
      </c>
      <c r="E64" s="249" t="s">
        <v>634</v>
      </c>
      <c r="F64" s="252">
        <f>IF(ISBLANK('1A'!I20),"##BLANK",'1A'!I20)</f>
        <v>5.1949999999999994</v>
      </c>
    </row>
    <row r="65" spans="2:6" ht="13.5" customHeight="1">
      <c r="B65" s="219" t="str">
        <f>'1A'!AD20</f>
        <v>BO3352</v>
      </c>
      <c r="C65" s="219" t="s">
        <v>695</v>
      </c>
      <c r="E65" s="249" t="s">
        <v>634</v>
      </c>
      <c r="F65" s="252">
        <f>IF(ISBLANK('1A'!J20),"##BLANK",'1A'!J20)</f>
        <v>88.203999999999994</v>
      </c>
    </row>
    <row r="66" spans="2:6" ht="13.5" customHeight="1">
      <c r="B66" s="219" t="str">
        <f>'1A'!Z21</f>
        <v>BO2530STAT</v>
      </c>
      <c r="C66" s="219" t="s">
        <v>696</v>
      </c>
      <c r="E66" s="249" t="s">
        <v>634</v>
      </c>
      <c r="F66" s="252">
        <f>IF(ISBLANK('1A'!F21),"##BLANK",'1A'!F21)</f>
        <v>-299.30999999999995</v>
      </c>
    </row>
    <row r="67" spans="2:6" ht="13.5" customHeight="1">
      <c r="B67" s="219" t="str">
        <f>'1A'!AA21</f>
        <v>BO2530DSR</v>
      </c>
      <c r="C67" s="219" t="s">
        <v>697</v>
      </c>
      <c r="E67" s="249" t="s">
        <v>634</v>
      </c>
      <c r="F67" s="252">
        <f>IF(ISBLANK('1A'!G21),"##BLANK",'1A'!G21)</f>
        <v>-15.843</v>
      </c>
    </row>
    <row r="68" spans="2:6" ht="13.5" customHeight="1">
      <c r="B68" s="219" t="str">
        <f>'1A'!AB21</f>
        <v>BO2530NA</v>
      </c>
      <c r="C68" s="219" t="s">
        <v>698</v>
      </c>
      <c r="E68" s="249" t="s">
        <v>634</v>
      </c>
      <c r="F68" s="252">
        <f>IF(ISBLANK('1A'!H21),"##BLANK",'1A'!H21)</f>
        <v>-0.25499999999999967</v>
      </c>
    </row>
    <row r="69" spans="2:6" ht="13.5" customHeight="1">
      <c r="B69" s="219" t="str">
        <f>'1A'!AC21</f>
        <v>BO2530ADJ</v>
      </c>
      <c r="C69" s="219" t="s">
        <v>699</v>
      </c>
      <c r="E69" s="249" t="s">
        <v>634</v>
      </c>
      <c r="F69" s="252">
        <f>IF(ISBLANK('1A'!I21),"##BLANK",'1A'!I21)</f>
        <v>-15.588000000000001</v>
      </c>
    </row>
    <row r="70" spans="2:6" ht="13.5" customHeight="1">
      <c r="B70" s="219" t="str">
        <f>'1A'!AD21</f>
        <v>BO2530</v>
      </c>
      <c r="C70" s="219" t="s">
        <v>700</v>
      </c>
      <c r="E70" s="249" t="s">
        <v>634</v>
      </c>
      <c r="F70" s="252">
        <f>IF(ISBLANK('1A'!J21),"##BLANK",'1A'!J21)</f>
        <v>-314.89799999999997</v>
      </c>
    </row>
    <row r="71" spans="2:6" ht="13.5" customHeight="1">
      <c r="B71" s="219" t="str">
        <f>'1A'!Z22</f>
        <v>BO3402STAT</v>
      </c>
      <c r="C71" s="219" t="s">
        <v>701</v>
      </c>
      <c r="E71" s="249" t="s">
        <v>634</v>
      </c>
      <c r="F71" s="252">
        <f>IF(ISBLANK('1A'!F22),"##BLANK",'1A'!F22)</f>
        <v>0</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0</v>
      </c>
    </row>
    <row r="74" spans="2:6" ht="13.5" customHeight="1">
      <c r="B74" s="219" t="str">
        <f>'1A'!AC22</f>
        <v>BO3402ADJ</v>
      </c>
      <c r="C74" s="219" t="s">
        <v>704</v>
      </c>
      <c r="E74" s="249" t="s">
        <v>634</v>
      </c>
      <c r="F74" s="252">
        <f>IF(ISBLANK('1A'!I22),"##BLANK",'1A'!I22)</f>
        <v>0</v>
      </c>
    </row>
    <row r="75" spans="2:6" ht="13.5" customHeight="1">
      <c r="B75" s="219" t="str">
        <f>'1A'!AD22</f>
        <v>BO3402</v>
      </c>
      <c r="C75" s="219" t="s">
        <v>705</v>
      </c>
      <c r="E75" s="249" t="s">
        <v>634</v>
      </c>
      <c r="F75" s="252">
        <f>IF(ISBLANK('1A'!J22),"##BLANK",'1A'!J22)</f>
        <v>0</v>
      </c>
    </row>
    <row r="76" spans="2:6" ht="13.5" customHeight="1">
      <c r="B76" s="219" t="str">
        <f>'1A'!Z25</f>
        <v>BO3354STAT</v>
      </c>
      <c r="C76" s="219" t="s">
        <v>706</v>
      </c>
      <c r="E76" s="249" t="s">
        <v>634</v>
      </c>
      <c r="F76" s="252">
        <f>IF(ISBLANK('1A'!F25),"##BLANK",'1A'!F25)</f>
        <v>0.10299999999999999</v>
      </c>
    </row>
    <row r="77" spans="2:6" ht="13.5" customHeight="1">
      <c r="B77" s="219" t="str">
        <f>'1A'!AA25</f>
        <v>BO3354DSR</v>
      </c>
      <c r="C77" s="219" t="s">
        <v>707</v>
      </c>
      <c r="E77" s="249" t="s">
        <v>634</v>
      </c>
      <c r="F77" s="252">
        <f>IF(ISBLANK('1A'!G25),"##BLANK",'1A'!G25)</f>
        <v>0</v>
      </c>
    </row>
    <row r="78" spans="2:6" ht="13.5" customHeight="1">
      <c r="B78" s="219" t="str">
        <f>'1A'!AB25</f>
        <v>BO3354NA</v>
      </c>
      <c r="C78" s="219" t="s">
        <v>708</v>
      </c>
      <c r="E78" s="249" t="s">
        <v>634</v>
      </c>
      <c r="F78" s="252">
        <f>IF(ISBLANK('1A'!H25),"##BLANK",'1A'!H25)</f>
        <v>0</v>
      </c>
    </row>
    <row r="79" spans="2:6" ht="13.5" customHeight="1">
      <c r="B79" s="219" t="str">
        <f>'1A'!AC25</f>
        <v>BO3354ADJ</v>
      </c>
      <c r="C79" s="219" t="s">
        <v>709</v>
      </c>
      <c r="E79" s="249" t="s">
        <v>634</v>
      </c>
      <c r="F79" s="252">
        <f>IF(ISBLANK('1A'!I25),"##BLANK",'1A'!I25)</f>
        <v>0</v>
      </c>
    </row>
    <row r="80" spans="2:6" ht="13.5" customHeight="1">
      <c r="B80" s="219" t="str">
        <f>'1A'!AD25</f>
        <v>BO3354</v>
      </c>
      <c r="C80" s="219" t="s">
        <v>710</v>
      </c>
      <c r="E80" s="249" t="s">
        <v>634</v>
      </c>
      <c r="F80" s="252">
        <f>IF(ISBLANK('1A'!J25),"##BLANK",'1A'!J25)</f>
        <v>0.10299999999999999</v>
      </c>
    </row>
    <row r="81" spans="2:6" ht="13.5" customHeight="1">
      <c r="B81" s="219" t="str">
        <f>'1A'!Z26</f>
        <v>BO3355STAT</v>
      </c>
      <c r="C81" s="219" t="s">
        <v>711</v>
      </c>
      <c r="E81" s="249" t="s">
        <v>634</v>
      </c>
      <c r="F81" s="252">
        <f>IF(ISBLANK('1A'!F26),"##BLANK",'1A'!F26)</f>
        <v>-0.157</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-0.157</v>
      </c>
    </row>
    <row r="86" spans="2:6" ht="13.5" customHeight="1">
      <c r="B86" s="219" t="str">
        <f>'1A'!Z27</f>
        <v>BO3353STAT</v>
      </c>
      <c r="C86" s="219" t="s">
        <v>716</v>
      </c>
      <c r="E86" s="249" t="s">
        <v>634</v>
      </c>
      <c r="F86" s="252">
        <f>IF(ISBLANK('1A'!F27),"##BLANK",'1A'!F27)</f>
        <v>-5.4000000000000006E-2</v>
      </c>
    </row>
    <row r="87" spans="2:6" ht="13.5" customHeight="1">
      <c r="B87" s="219" t="str">
        <f>'1A'!AA27</f>
        <v>BO3353DSR</v>
      </c>
      <c r="C87" s="219" t="s">
        <v>717</v>
      </c>
      <c r="E87" s="249" t="s">
        <v>634</v>
      </c>
      <c r="F87" s="252">
        <f>IF(ISBLANK('1A'!G27),"##BLANK",'1A'!G27)</f>
        <v>0</v>
      </c>
    </row>
    <row r="88" spans="2:6" ht="13.5" customHeight="1">
      <c r="B88" s="219" t="str">
        <f>'1A'!AB27</f>
        <v>BO3353NA</v>
      </c>
      <c r="C88" s="219" t="s">
        <v>718</v>
      </c>
      <c r="E88" s="249" t="s">
        <v>634</v>
      </c>
      <c r="F88" s="252">
        <f>IF(ISBLANK('1A'!H27),"##BLANK",'1A'!H27)</f>
        <v>0</v>
      </c>
    </row>
    <row r="89" spans="2:6" ht="13.5" customHeight="1">
      <c r="B89" s="219" t="str">
        <f>'1A'!AC27</f>
        <v>BO3353ADJ</v>
      </c>
      <c r="C89" s="219" t="s">
        <v>719</v>
      </c>
      <c r="E89" s="249" t="s">
        <v>634</v>
      </c>
      <c r="F89" s="252">
        <f>IF(ISBLANK('1A'!I27),"##BLANK",'1A'!I27)</f>
        <v>0</v>
      </c>
    </row>
    <row r="90" spans="2:6" ht="13.5" customHeight="1">
      <c r="B90" s="219" t="str">
        <f>'1A'!AD27</f>
        <v>BO3353</v>
      </c>
      <c r="C90" s="219" t="s">
        <v>720</v>
      </c>
      <c r="E90" s="249" t="s">
        <v>634</v>
      </c>
      <c r="F90" s="252">
        <f>IF(ISBLANK('1A'!J27),"##BLANK",'1A'!J27)</f>
        <v>-5.4000000000000006E-2</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2.1429999999999998</v>
      </c>
    </row>
    <row r="93" spans="2:6" ht="13.5" customHeight="1">
      <c r="B93" s="219" t="str">
        <f>'1A'!AB32</f>
        <v>BO1180NAO</v>
      </c>
      <c r="C93" s="219" t="s">
        <v>723</v>
      </c>
      <c r="E93" s="249" t="s">
        <v>634</v>
      </c>
      <c r="F93" s="252">
        <f>IF(ISBLANK('1A'!H32),"##BLANK",'1A'!H32)</f>
        <v>4.5309999999999997</v>
      </c>
    </row>
    <row r="94" spans="2:6" ht="13.5" customHeight="1">
      <c r="B94" s="219" t="str">
        <f>'1A'!AB33</f>
        <v>BO1180NAT</v>
      </c>
      <c r="C94" s="219" t="s">
        <v>724</v>
      </c>
      <c r="E94" s="249" t="s">
        <v>634</v>
      </c>
      <c r="F94" s="252">
        <f>IF(ISBLANK('1A'!H33),"##BLANK",'1A'!H33)</f>
        <v>6.6739999999999995</v>
      </c>
    </row>
    <row r="95" spans="2:6" ht="13.5" customHeight="1">
      <c r="B95" s="219" t="str">
        <f>'1B'!Z9</f>
        <v>BO2550STAT</v>
      </c>
      <c r="C95" s="219" t="s">
        <v>725</v>
      </c>
      <c r="E95" s="249" t="s">
        <v>634</v>
      </c>
      <c r="F95" s="252">
        <f>IF(ISBLANK('1B'!F9),"##BLANK",'1B'!F9)</f>
        <v>93.361999999999995</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93.361999999999995</v>
      </c>
    </row>
    <row r="100" spans="2:6" ht="13.5" customHeight="1">
      <c r="B100" s="219" t="str">
        <f>'1B'!Z10</f>
        <v>BO2553STAT</v>
      </c>
      <c r="C100" s="219" t="s">
        <v>730</v>
      </c>
      <c r="E100" s="249" t="s">
        <v>634</v>
      </c>
      <c r="F100" s="252">
        <f>IF(ISBLANK('1B'!F10),"##BLANK",'1B'!F10)</f>
        <v>445.05</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445.05</v>
      </c>
    </row>
    <row r="105" spans="2:6" ht="13.5" customHeight="1">
      <c r="B105" s="219" t="str">
        <f>'1B'!Z11</f>
        <v>BO2554STAT</v>
      </c>
      <c r="C105" s="219" t="s">
        <v>735</v>
      </c>
      <c r="E105" s="249" t="s">
        <v>634</v>
      </c>
      <c r="F105" s="252">
        <f>IF(ISBLANK('1B'!F11),"##BLANK",'1B'!F11)</f>
        <v>239.10200000000006</v>
      </c>
    </row>
    <row r="106" spans="2:6" ht="13.5" customHeight="1">
      <c r="B106" s="219" t="str">
        <f>'1B'!AA11</f>
        <v>BO2554DSR</v>
      </c>
      <c r="C106" s="219" t="s">
        <v>736</v>
      </c>
      <c r="E106" s="249" t="s">
        <v>634</v>
      </c>
      <c r="F106" s="252">
        <f>IF(ISBLANK('1B'!G11),"##BLANK",'1B'!G11)</f>
        <v>-15.843</v>
      </c>
    </row>
    <row r="107" spans="2:6" ht="13.5" customHeight="1">
      <c r="B107" s="219" t="str">
        <f>'1B'!AB11</f>
        <v>BO2554NA</v>
      </c>
      <c r="C107" s="219" t="s">
        <v>737</v>
      </c>
      <c r="E107" s="249" t="s">
        <v>634</v>
      </c>
      <c r="F107" s="252">
        <f>IF(ISBLANK('1B'!H11),"##BLANK",'1B'!H11)</f>
        <v>-0.25499999999999967</v>
      </c>
    </row>
    <row r="108" spans="2:6" ht="13.5" customHeight="1">
      <c r="B108" s="219" t="str">
        <f>'1B'!AC11</f>
        <v>BO2554ADJ</v>
      </c>
      <c r="C108" s="219" t="s">
        <v>738</v>
      </c>
      <c r="E108" s="249" t="s">
        <v>634</v>
      </c>
      <c r="F108" s="252">
        <f>IF(ISBLANK('1B'!I11),"##BLANK",'1B'!I11)</f>
        <v>-15.588000000000001</v>
      </c>
    </row>
    <row r="109" spans="2:6" ht="13.5" customHeight="1">
      <c r="B109" s="219" t="str">
        <f>'1B'!AD11</f>
        <v>BO2554</v>
      </c>
      <c r="C109" s="219" t="s">
        <v>739</v>
      </c>
      <c r="E109" s="249" t="s">
        <v>634</v>
      </c>
      <c r="F109" s="252">
        <f>IF(ISBLANK('1B'!J11),"##BLANK",'1B'!J11)</f>
        <v>223.51400000000007</v>
      </c>
    </row>
    <row r="110" spans="2:6" ht="13.5" customHeight="1">
      <c r="B110" s="219" t="str">
        <f>'1C'!Z9</f>
        <v>BO4008STAT</v>
      </c>
      <c r="C110" s="219" t="s">
        <v>740</v>
      </c>
      <c r="E110" s="249" t="s">
        <v>634</v>
      </c>
      <c r="F110" s="252">
        <f>IF(ISBLANK('1C'!F9),"##BLANK",'1C'!F9)</f>
        <v>6959.1890000000003</v>
      </c>
    </row>
    <row r="111" spans="2:6" ht="13.5" customHeight="1">
      <c r="B111" s="219" t="str">
        <f>'1C'!AA9</f>
        <v>BO4008DSR</v>
      </c>
      <c r="C111" s="219" t="s">
        <v>741</v>
      </c>
      <c r="E111" s="249" t="s">
        <v>634</v>
      </c>
      <c r="F111" s="252">
        <f>IF(ISBLANK('1C'!G9),"##BLANK",'1C'!G9)</f>
        <v>-118.376</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-118.376</v>
      </c>
    </row>
    <row r="114" spans="2:6" ht="13.5" customHeight="1">
      <c r="B114" s="219" t="str">
        <f>'1C'!AD9</f>
        <v>BO4008</v>
      </c>
      <c r="C114" s="219" t="s">
        <v>744</v>
      </c>
      <c r="E114" s="249" t="s">
        <v>634</v>
      </c>
      <c r="F114" s="252">
        <f>IF(ISBLANK('1C'!J9),"##BLANK",'1C'!J9)</f>
        <v>6840.8130000000001</v>
      </c>
    </row>
    <row r="115" spans="2:6" ht="13.5" customHeight="1">
      <c r="B115" s="219" t="str">
        <f>'1C'!Z10</f>
        <v>A11002STAT</v>
      </c>
      <c r="C115" s="219" t="s">
        <v>745</v>
      </c>
      <c r="E115" s="249" t="s">
        <v>634</v>
      </c>
      <c r="F115" s="252">
        <f>IF(ISBLANK('1C'!F10),"##BLANK",'1C'!F10)</f>
        <v>202.2</v>
      </c>
    </row>
    <row r="116" spans="2:6" ht="13.5" customHeight="1">
      <c r="B116" s="219" t="str">
        <f>'1C'!AA10</f>
        <v>A11002DSR</v>
      </c>
      <c r="C116" s="219" t="s">
        <v>746</v>
      </c>
      <c r="E116" s="249" t="s">
        <v>634</v>
      </c>
      <c r="F116" s="252">
        <f>IF(ISBLANK('1C'!G10),"##BLANK",'1C'!G10)</f>
        <v>-12.602</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-12.602</v>
      </c>
    </row>
    <row r="119" spans="2:6" ht="13.5" customHeight="1">
      <c r="B119" s="219" t="str">
        <f>'1C'!AD10</f>
        <v>A11002</v>
      </c>
      <c r="C119" s="219" t="s">
        <v>749</v>
      </c>
      <c r="E119" s="249" t="s">
        <v>634</v>
      </c>
      <c r="F119" s="252">
        <f>IF(ISBLANK('1C'!J10),"##BLANK",'1C'!J10)</f>
        <v>189.59799999999998</v>
      </c>
    </row>
    <row r="120" spans="2:6" ht="13.5" customHeight="1">
      <c r="B120" s="219" t="str">
        <f>'1C'!Z11</f>
        <v>FT01670STAT</v>
      </c>
      <c r="C120" s="219" t="s">
        <v>750</v>
      </c>
      <c r="E120" s="249" t="s">
        <v>634</v>
      </c>
      <c r="F120" s="252">
        <f>IF(ISBLANK('1C'!F11),"##BLANK",'1C'!F11)</f>
        <v>0</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0</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11.1</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11.1</v>
      </c>
    </row>
    <row r="135" spans="2:6" ht="13.5" customHeight="1">
      <c r="B135" s="219" t="str">
        <f>'1C'!Z14</f>
        <v>FT01751STAT</v>
      </c>
      <c r="C135" s="219" t="s">
        <v>765</v>
      </c>
      <c r="E135" s="249" t="s">
        <v>634</v>
      </c>
      <c r="F135" s="252">
        <f>IF(ISBLANK('1C'!F14),"##BLANK",'1C'!F14)</f>
        <v>12.01</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12.01</v>
      </c>
    </row>
    <row r="140" spans="2:6" ht="13.5" customHeight="1">
      <c r="B140" s="219" t="str">
        <f>'1C'!Z15</f>
        <v>A11006STAT</v>
      </c>
      <c r="C140" s="219" t="s">
        <v>770</v>
      </c>
      <c r="E140" s="249" t="s">
        <v>634</v>
      </c>
      <c r="F140" s="252">
        <f>IF(ISBLANK('1C'!F15),"##BLANK",'1C'!F15)</f>
        <v>7184.4990000000007</v>
      </c>
    </row>
    <row r="141" spans="2:6" ht="13.5" customHeight="1">
      <c r="B141" s="219" t="str">
        <f>'1C'!AA15</f>
        <v>A11006DSR</v>
      </c>
      <c r="C141" s="219" t="s">
        <v>771</v>
      </c>
      <c r="E141" s="249" t="s">
        <v>634</v>
      </c>
      <c r="F141" s="252">
        <f>IF(ISBLANK('1C'!G15),"##BLANK",'1C'!G15)</f>
        <v>-130.97800000000001</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-130.97800000000001</v>
      </c>
    </row>
    <row r="144" spans="2:6" ht="13.5" customHeight="1">
      <c r="B144" s="219" t="str">
        <f>'1C'!AD15</f>
        <v>A11006</v>
      </c>
      <c r="C144" s="219" t="s">
        <v>774</v>
      </c>
      <c r="E144" s="249" t="s">
        <v>634</v>
      </c>
      <c r="F144" s="252">
        <f>IF(ISBLANK('1C'!J15),"##BLANK",'1C'!J15)</f>
        <v>7053.5210000000006</v>
      </c>
    </row>
    <row r="145" spans="2:6" ht="13.5" customHeight="1">
      <c r="B145" s="219" t="str">
        <f>'1C'!Z18</f>
        <v>BO4084STAT</v>
      </c>
      <c r="C145" s="219" t="s">
        <v>775</v>
      </c>
      <c r="E145" s="249" t="s">
        <v>634</v>
      </c>
      <c r="F145" s="252">
        <f>IF(ISBLANK('1C'!F18),"##BLANK",'1C'!F18)</f>
        <v>5.298</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5.298</v>
      </c>
    </row>
    <row r="150" spans="2:6" ht="13.5" customHeight="1">
      <c r="B150" s="219" t="str">
        <f>'1C'!Z19</f>
        <v>A11008STAT</v>
      </c>
      <c r="C150" s="219" t="s">
        <v>780</v>
      </c>
      <c r="E150" s="249" t="s">
        <v>634</v>
      </c>
      <c r="F150" s="252">
        <f>IF(ISBLANK('1C'!F19),"##BLANK",'1C'!F19)</f>
        <v>646.82000000000005</v>
      </c>
    </row>
    <row r="151" spans="2:6" ht="13.5" customHeight="1">
      <c r="B151" s="219" t="str">
        <f>'1C'!AA19</f>
        <v>A11008DSR</v>
      </c>
      <c r="C151" s="219" t="s">
        <v>781</v>
      </c>
      <c r="E151" s="249" t="s">
        <v>634</v>
      </c>
      <c r="F151" s="252">
        <f>IF(ISBLANK('1C'!G19),"##BLANK",'1C'!G19)</f>
        <v>4.3</v>
      </c>
    </row>
    <row r="152" spans="2:6" ht="13.5" customHeight="1">
      <c r="B152" s="219" t="str">
        <f>'1C'!AB19</f>
        <v>A11008NA</v>
      </c>
      <c r="C152" s="219" t="s">
        <v>782</v>
      </c>
      <c r="E152" s="249" t="s">
        <v>634</v>
      </c>
      <c r="F152" s="252">
        <f>IF(ISBLANK('1C'!H19),"##BLANK",'1C'!H19)</f>
        <v>0</v>
      </c>
    </row>
    <row r="153" spans="2:6" ht="13.5" customHeight="1">
      <c r="B153" s="219" t="str">
        <f>'1C'!AC19</f>
        <v>A11008ADJ</v>
      </c>
      <c r="C153" s="219" t="s">
        <v>783</v>
      </c>
      <c r="E153" s="249" t="s">
        <v>634</v>
      </c>
      <c r="F153" s="252">
        <f>IF(ISBLANK('1C'!I19),"##BLANK",'1C'!I19)</f>
        <v>4.3</v>
      </c>
    </row>
    <row r="154" spans="2:6" ht="13.5" customHeight="1">
      <c r="B154" s="219" t="str">
        <f>'1C'!AD19</f>
        <v>A11008</v>
      </c>
      <c r="C154" s="219" t="s">
        <v>784</v>
      </c>
      <c r="E154" s="249" t="s">
        <v>634</v>
      </c>
      <c r="F154" s="252">
        <f>IF(ISBLANK('1C'!J19),"##BLANK",'1C'!J19)</f>
        <v>651.12</v>
      </c>
    </row>
    <row r="155" spans="2:6" ht="13.5" customHeight="1">
      <c r="B155" s="219" t="str">
        <f>'1C'!Z20</f>
        <v>A11009STAT</v>
      </c>
      <c r="C155" s="219" t="s">
        <v>760</v>
      </c>
      <c r="E155" s="249" t="s">
        <v>634</v>
      </c>
      <c r="F155" s="252">
        <f>IF(ISBLANK('1C'!F20),"##BLANK",'1C'!F20)</f>
        <v>12.7</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12.7</v>
      </c>
    </row>
    <row r="160" spans="2:6" ht="13.5" customHeight="1">
      <c r="B160" s="219" t="str">
        <f>'1C'!Z21</f>
        <v>A11010STAT</v>
      </c>
      <c r="C160" s="219" t="s">
        <v>785</v>
      </c>
      <c r="E160" s="249" t="s">
        <v>634</v>
      </c>
      <c r="F160" s="252">
        <f>IF(ISBLANK('1C'!F21),"##BLANK",'1C'!F21)</f>
        <v>362.63200000000001</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42.316000000000003</v>
      </c>
    </row>
    <row r="163" spans="2:6" ht="13.5" customHeight="1">
      <c r="B163" s="219" t="str">
        <f>'1C'!AC21</f>
        <v>A11010ADJ</v>
      </c>
      <c r="C163" s="219" t="s">
        <v>788</v>
      </c>
      <c r="E163" s="249" t="s">
        <v>634</v>
      </c>
      <c r="F163" s="252">
        <f>IF(ISBLANK('1C'!I21),"##BLANK",'1C'!I21)</f>
        <v>-42.316000000000003</v>
      </c>
    </row>
    <row r="164" spans="2:6" ht="13.5" customHeight="1">
      <c r="B164" s="219" t="str">
        <f>'1C'!AD21</f>
        <v>A11010</v>
      </c>
      <c r="C164" s="219" t="s">
        <v>789</v>
      </c>
      <c r="E164" s="249" t="s">
        <v>634</v>
      </c>
      <c r="F164" s="252">
        <f>IF(ISBLANK('1C'!J21),"##BLANK",'1C'!J21)</f>
        <v>320.31600000000003</v>
      </c>
    </row>
    <row r="165" spans="2:6" ht="13.5" customHeight="1">
      <c r="B165" s="219" t="str">
        <f>'1C'!Z22</f>
        <v>BO4092STAT</v>
      </c>
      <c r="C165" s="219" t="s">
        <v>790</v>
      </c>
      <c r="E165" s="249" t="s">
        <v>634</v>
      </c>
      <c r="F165" s="252">
        <f>IF(ISBLANK('1C'!F22),"##BLANK",'1C'!F22)</f>
        <v>1027.45</v>
      </c>
    </row>
    <row r="166" spans="2:6" ht="13.5" customHeight="1">
      <c r="B166" s="219" t="str">
        <f>'1C'!AA22</f>
        <v>BO4092DSR</v>
      </c>
      <c r="C166" s="219" t="s">
        <v>791</v>
      </c>
      <c r="E166" s="249" t="s">
        <v>634</v>
      </c>
      <c r="F166" s="252">
        <f>IF(ISBLANK('1C'!G22),"##BLANK",'1C'!G22)</f>
        <v>4.3</v>
      </c>
    </row>
    <row r="167" spans="2:6" ht="13.5" customHeight="1">
      <c r="B167" s="219" t="str">
        <f>'1C'!AB22</f>
        <v>BO4092NA</v>
      </c>
      <c r="C167" s="219" t="s">
        <v>792</v>
      </c>
      <c r="E167" s="249" t="s">
        <v>634</v>
      </c>
      <c r="F167" s="252">
        <f>IF(ISBLANK('1C'!H22),"##BLANK",'1C'!H22)</f>
        <v>42.316000000000003</v>
      </c>
    </row>
    <row r="168" spans="2:6" ht="13.5" customHeight="1">
      <c r="B168" s="219" t="str">
        <f>'1C'!AC22</f>
        <v>BO4092ADJ</v>
      </c>
      <c r="C168" s="219" t="s">
        <v>793</v>
      </c>
      <c r="E168" s="249" t="s">
        <v>634</v>
      </c>
      <c r="F168" s="252">
        <f>IF(ISBLANK('1C'!I22),"##BLANK",'1C'!I22)</f>
        <v>-38.016000000000005</v>
      </c>
    </row>
    <row r="169" spans="2:6" ht="13.5" customHeight="1">
      <c r="B169" s="219" t="str">
        <f>'1C'!AD22</f>
        <v>BO4092</v>
      </c>
      <c r="C169" s="219" t="s">
        <v>794</v>
      </c>
      <c r="E169" s="249" t="s">
        <v>634</v>
      </c>
      <c r="F169" s="252">
        <f>IF(ISBLANK('1C'!J22),"##BLANK",'1C'!J22)</f>
        <v>989.43400000000008</v>
      </c>
    </row>
    <row r="170" spans="2:6" ht="13.5" customHeight="1">
      <c r="B170" s="219" t="str">
        <f>'1C'!Z25</f>
        <v>A11012STAT</v>
      </c>
      <c r="C170" s="219" t="s">
        <v>795</v>
      </c>
      <c r="E170" s="249" t="s">
        <v>634</v>
      </c>
      <c r="F170" s="252">
        <f>IF(ISBLANK('1C'!F25),"##BLANK",'1C'!F25)</f>
        <v>-628.89200000000005</v>
      </c>
    </row>
    <row r="171" spans="2:6" ht="13.5" customHeight="1">
      <c r="B171" s="219" t="str">
        <f>'1C'!AA25</f>
        <v>A11012DSR</v>
      </c>
      <c r="C171" s="219" t="s">
        <v>796</v>
      </c>
      <c r="E171" s="249" t="s">
        <v>634</v>
      </c>
      <c r="F171" s="252">
        <f>IF(ISBLANK('1C'!G25),"##BLANK",'1C'!G25)</f>
        <v>-10.672000000000001</v>
      </c>
    </row>
    <row r="172" spans="2:6" ht="13.5" customHeight="1">
      <c r="B172" s="219" t="str">
        <f>'1C'!AB25</f>
        <v>A11012NA</v>
      </c>
      <c r="C172" s="219" t="s">
        <v>797</v>
      </c>
      <c r="E172" s="249" t="s">
        <v>634</v>
      </c>
      <c r="F172" s="252">
        <f>IF(ISBLANK('1C'!H25),"##BLANK",'1C'!H25)</f>
        <v>0</v>
      </c>
    </row>
    <row r="173" spans="2:6" ht="13.5" customHeight="1">
      <c r="B173" s="219" t="str">
        <f>'1C'!AC25</f>
        <v>A11012ADJ</v>
      </c>
      <c r="C173" s="219" t="s">
        <v>798</v>
      </c>
      <c r="E173" s="249" t="s">
        <v>634</v>
      </c>
      <c r="F173" s="252">
        <f>IF(ISBLANK('1C'!I25),"##BLANK",'1C'!I25)</f>
        <v>-10.672000000000001</v>
      </c>
    </row>
    <row r="174" spans="2:6" ht="13.5" customHeight="1">
      <c r="B174" s="219" t="str">
        <f>'1C'!AD25</f>
        <v>A11012</v>
      </c>
      <c r="C174" s="219" t="s">
        <v>799</v>
      </c>
      <c r="E174" s="249" t="s">
        <v>634</v>
      </c>
      <c r="F174" s="252">
        <f>IF(ISBLANK('1C'!J25),"##BLANK",'1C'!J25)</f>
        <v>-639.56400000000008</v>
      </c>
    </row>
    <row r="175" spans="2:6" ht="13.5" customHeight="1">
      <c r="B175" s="219" t="str">
        <f>'1C'!Z26</f>
        <v>A11013STAT</v>
      </c>
      <c r="C175" s="219" t="s">
        <v>800</v>
      </c>
      <c r="E175" s="249" t="s">
        <v>634</v>
      </c>
      <c r="F175" s="252">
        <f>IF(ISBLANK('1C'!F26),"##BLANK",'1C'!F26)</f>
        <v>-56.137999999999998</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-56.137999999999998</v>
      </c>
    </row>
    <row r="180" spans="2:6" ht="13.5" customHeight="1">
      <c r="B180" s="219" t="str">
        <f>'1C'!Z27</f>
        <v>BO4093STAT</v>
      </c>
      <c r="C180" s="219" t="s">
        <v>805</v>
      </c>
      <c r="E180" s="249" t="s">
        <v>634</v>
      </c>
      <c r="F180" s="252">
        <f>IF(ISBLANK('1C'!F27),"##BLANK",'1C'!F27)</f>
        <v>-94.516000000000005</v>
      </c>
    </row>
    <row r="181" spans="2:6" ht="13.5" customHeight="1">
      <c r="B181" s="219" t="str">
        <f>'1C'!AA27</f>
        <v>BO4093DSR</v>
      </c>
      <c r="C181" s="219" t="s">
        <v>806</v>
      </c>
      <c r="E181" s="249" t="s">
        <v>634</v>
      </c>
      <c r="F181" s="252">
        <f>IF(ISBLANK('1C'!G27),"##BLANK",'1C'!G27)</f>
        <v>30.262</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30.262</v>
      </c>
    </row>
    <row r="184" spans="2:6" ht="13.5" customHeight="1">
      <c r="B184" s="219" t="str">
        <f>'1C'!AD27</f>
        <v>BO4093</v>
      </c>
      <c r="C184" s="219" t="s">
        <v>809</v>
      </c>
      <c r="E184" s="249" t="s">
        <v>634</v>
      </c>
      <c r="F184" s="252">
        <f>IF(ISBLANK('1C'!J27),"##BLANK",'1C'!J27)</f>
        <v>-64.254000000000005</v>
      </c>
    </row>
    <row r="185" spans="2:6" ht="13.5" customHeight="1">
      <c r="B185" s="219" t="str">
        <f>'1C'!Z28</f>
        <v>A11015STAT</v>
      </c>
      <c r="C185" s="219" t="s">
        <v>760</v>
      </c>
      <c r="E185" s="249" t="s">
        <v>634</v>
      </c>
      <c r="F185" s="252">
        <f>IF(ISBLANK('1C'!F28),"##BLANK",'1C'!F28)</f>
        <v>-15.6</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-15.6</v>
      </c>
    </row>
    <row r="190" spans="2:6" ht="13.5" customHeight="1">
      <c r="B190" s="219" t="str">
        <f>'1C'!Z29</f>
        <v>A11016STAT</v>
      </c>
      <c r="C190" s="219" t="s">
        <v>810</v>
      </c>
      <c r="E190" s="249" t="s">
        <v>634</v>
      </c>
      <c r="F190" s="252">
        <f>IF(ISBLANK('1C'!F29),"##BLANK",'1C'!F29)</f>
        <v>0</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v>
      </c>
    </row>
    <row r="195" spans="2:6" ht="13.5" customHeight="1">
      <c r="B195" s="219" t="str">
        <f>'1C'!Z30</f>
        <v>A11017STAT</v>
      </c>
      <c r="C195" s="219" t="s">
        <v>815</v>
      </c>
      <c r="E195" s="249" t="s">
        <v>634</v>
      </c>
      <c r="F195" s="252">
        <f>IF(ISBLANK('1C'!F30),"##BLANK",'1C'!F30)</f>
        <v>-17.8</v>
      </c>
    </row>
    <row r="196" spans="2:6" ht="13.5" customHeight="1">
      <c r="B196" s="219" t="str">
        <f>'1C'!AA30</f>
        <v>A11017DSR</v>
      </c>
      <c r="C196" s="219" t="s">
        <v>816</v>
      </c>
      <c r="E196" s="249" t="s">
        <v>634</v>
      </c>
      <c r="F196" s="252">
        <f>IF(ISBLANK('1C'!G30),"##BLANK",'1C'!G30)</f>
        <v>-12.356999999999999</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-12.356999999999999</v>
      </c>
    </row>
    <row r="199" spans="2:6" ht="13.5" customHeight="1">
      <c r="B199" s="219" t="str">
        <f>'1C'!AD30</f>
        <v>A11017</v>
      </c>
      <c r="C199" s="219" t="s">
        <v>819</v>
      </c>
      <c r="E199" s="249" t="s">
        <v>634</v>
      </c>
      <c r="F199" s="252">
        <f>IF(ISBLANK('1C'!J30),"##BLANK",'1C'!J30)</f>
        <v>-30.157</v>
      </c>
    </row>
    <row r="200" spans="2:6" ht="13.5" customHeight="1">
      <c r="B200" s="219" t="str">
        <f>'1C'!Z31</f>
        <v>A11018STAT</v>
      </c>
      <c r="C200" s="219" t="s">
        <v>820</v>
      </c>
      <c r="E200" s="249" t="s">
        <v>634</v>
      </c>
      <c r="F200" s="252">
        <f>IF(ISBLANK('1C'!F31),"##BLANK",'1C'!F31)</f>
        <v>-812.94600000000003</v>
      </c>
    </row>
    <row r="201" spans="2:6" ht="13.5" customHeight="1">
      <c r="B201" s="219" t="str">
        <f>'1C'!AA31</f>
        <v>A11018DSR</v>
      </c>
      <c r="C201" s="219" t="s">
        <v>821</v>
      </c>
      <c r="E201" s="249" t="s">
        <v>634</v>
      </c>
      <c r="F201" s="252">
        <f>IF(ISBLANK('1C'!G31),"##BLANK",'1C'!G31)</f>
        <v>7.2330000000000005</v>
      </c>
    </row>
    <row r="202" spans="2:6" ht="13.5" customHeight="1">
      <c r="B202" s="219" t="str">
        <f>'1C'!AB31</f>
        <v>A11018NA</v>
      </c>
      <c r="C202" s="219" t="s">
        <v>822</v>
      </c>
      <c r="E202" s="249" t="s">
        <v>634</v>
      </c>
      <c r="F202" s="252">
        <f>IF(ISBLANK('1C'!H31),"##BLANK",'1C'!H31)</f>
        <v>0</v>
      </c>
    </row>
    <row r="203" spans="2:6" ht="13.5" customHeight="1">
      <c r="B203" s="219" t="str">
        <f>'1C'!AC31</f>
        <v>A11018ADJ</v>
      </c>
      <c r="C203" s="219" t="s">
        <v>823</v>
      </c>
      <c r="E203" s="249" t="s">
        <v>634</v>
      </c>
      <c r="F203" s="252">
        <f>IF(ISBLANK('1C'!I31),"##BLANK",'1C'!I31)</f>
        <v>7.2330000000000005</v>
      </c>
    </row>
    <row r="204" spans="2:6" ht="13.5" customHeight="1">
      <c r="B204" s="219" t="str">
        <f>'1C'!AD31</f>
        <v>A11018</v>
      </c>
      <c r="C204" s="219" t="s">
        <v>824</v>
      </c>
      <c r="E204" s="249" t="s">
        <v>634</v>
      </c>
      <c r="F204" s="252">
        <f>IF(ISBLANK('1C'!J31),"##BLANK",'1C'!J31)</f>
        <v>-805.71300000000008</v>
      </c>
    </row>
    <row r="205" spans="2:6" ht="13.5" customHeight="1">
      <c r="B205" s="219" t="str">
        <f>'1C'!Z33</f>
        <v>BO4096STAT</v>
      </c>
      <c r="C205" s="219" t="s">
        <v>825</v>
      </c>
      <c r="E205" s="249" t="s">
        <v>634</v>
      </c>
      <c r="F205" s="252">
        <f>IF(ISBLANK('1C'!F33),"##BLANK",'1C'!F33)</f>
        <v>214.50400000000002</v>
      </c>
    </row>
    <row r="206" spans="2:6" ht="13.5" customHeight="1">
      <c r="B206" s="219" t="str">
        <f>'1C'!AA33</f>
        <v>BO4096DSR</v>
      </c>
      <c r="C206" s="219" t="s">
        <v>826</v>
      </c>
      <c r="E206" s="249" t="s">
        <v>634</v>
      </c>
      <c r="F206" s="252">
        <f>IF(ISBLANK('1C'!G33),"##BLANK",'1C'!G33)</f>
        <v>11.533000000000001</v>
      </c>
    </row>
    <row r="207" spans="2:6" ht="13.5" customHeight="1">
      <c r="B207" s="219" t="str">
        <f>'1C'!AB33</f>
        <v>BO4096NA</v>
      </c>
      <c r="C207" s="219" t="s">
        <v>827</v>
      </c>
      <c r="E207" s="249" t="s">
        <v>634</v>
      </c>
      <c r="F207" s="252">
        <f>IF(ISBLANK('1C'!H33),"##BLANK",'1C'!H33)</f>
        <v>42.316000000000003</v>
      </c>
    </row>
    <row r="208" spans="2:6" ht="13.5" customHeight="1">
      <c r="B208" s="219" t="str">
        <f>'1C'!AC33</f>
        <v>BO4096ADJ</v>
      </c>
      <c r="C208" s="219" t="s">
        <v>828</v>
      </c>
      <c r="E208" s="249" t="s">
        <v>634</v>
      </c>
      <c r="F208" s="252">
        <f>IF(ISBLANK('1C'!I33),"##BLANK",'1C'!I33)</f>
        <v>-30.783000000000001</v>
      </c>
    </row>
    <row r="209" spans="2:6" ht="13.5" customHeight="1">
      <c r="B209" s="219" t="str">
        <f>'1C'!AD33</f>
        <v>BO4096</v>
      </c>
      <c r="C209" s="219" t="s">
        <v>829</v>
      </c>
      <c r="E209" s="249" t="s">
        <v>634</v>
      </c>
      <c r="F209" s="252">
        <f>IF(ISBLANK('1C'!J33),"##BLANK",'1C'!J33)</f>
        <v>183.721</v>
      </c>
    </row>
    <row r="210" spans="2:6" ht="13.5" customHeight="1">
      <c r="B210" s="219" t="str">
        <f>'1C'!Z36</f>
        <v>A11020STAT</v>
      </c>
      <c r="C210" s="219" t="s">
        <v>795</v>
      </c>
      <c r="E210" s="249" t="s">
        <v>634</v>
      </c>
      <c r="F210" s="252">
        <f>IF(ISBLANK('1C'!F36),"##BLANK",'1C'!F36)</f>
        <v>-540.73500000000001</v>
      </c>
    </row>
    <row r="211" spans="2:6" ht="13.5" customHeight="1">
      <c r="B211" s="219" t="str">
        <f>'1C'!AA36</f>
        <v>A11020DSR</v>
      </c>
      <c r="C211" s="219" t="s">
        <v>796</v>
      </c>
      <c r="E211" s="249" t="s">
        <v>634</v>
      </c>
      <c r="F211" s="252">
        <f>IF(ISBLANK('1C'!G36),"##BLANK",'1C'!G36)</f>
        <v>520.73800000000006</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520.73800000000006</v>
      </c>
    </row>
    <row r="214" spans="2:6" ht="13.5" customHeight="1">
      <c r="B214" s="219" t="str">
        <f>'1C'!AD36</f>
        <v>A11020</v>
      </c>
      <c r="C214" s="219" t="s">
        <v>799</v>
      </c>
      <c r="E214" s="249" t="s">
        <v>634</v>
      </c>
      <c r="F214" s="252">
        <f>IF(ISBLANK('1C'!J36),"##BLANK",'1C'!J36)</f>
        <v>-19.996999999999957</v>
      </c>
    </row>
    <row r="215" spans="2:6" ht="13.5" customHeight="1">
      <c r="B215" s="219" t="str">
        <f>'1C'!Z37</f>
        <v>BO4051STAT</v>
      </c>
      <c r="C215" s="219" t="s">
        <v>805</v>
      </c>
      <c r="E215" s="249" t="s">
        <v>634</v>
      </c>
      <c r="F215" s="252">
        <f>IF(ISBLANK('1C'!F37),"##BLANK",'1C'!F37)</f>
        <v>-4438.5690000000004</v>
      </c>
    </row>
    <row r="216" spans="2:6" ht="13.5" customHeight="1">
      <c r="B216" s="219" t="str">
        <f>'1C'!AA37</f>
        <v>BO4051DSR</v>
      </c>
      <c r="C216" s="219" t="s">
        <v>806</v>
      </c>
      <c r="E216" s="249" t="s">
        <v>634</v>
      </c>
      <c r="F216" s="252">
        <f>IF(ISBLANK('1C'!G37),"##BLANK",'1C'!G37)</f>
        <v>20.065999999999999</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20.065999999999999</v>
      </c>
    </row>
    <row r="219" spans="2:6" ht="13.5" customHeight="1">
      <c r="B219" s="219" t="str">
        <f>'1C'!AD37</f>
        <v>BO4051</v>
      </c>
      <c r="C219" s="219" t="s">
        <v>809</v>
      </c>
      <c r="E219" s="249" t="s">
        <v>634</v>
      </c>
      <c r="F219" s="252">
        <f>IF(ISBLANK('1C'!J37),"##BLANK",'1C'!J37)</f>
        <v>-4418.5030000000006</v>
      </c>
    </row>
    <row r="220" spans="2:6" ht="13.5" customHeight="1">
      <c r="B220" s="219" t="str">
        <f>'1C'!Z38</f>
        <v>A11022STAT</v>
      </c>
      <c r="C220" s="219" t="s">
        <v>760</v>
      </c>
      <c r="E220" s="249" t="s">
        <v>634</v>
      </c>
      <c r="F220" s="252">
        <f>IF(ISBLANK('1C'!F38),"##BLANK",'1C'!F38)</f>
        <v>-74.918999999999997</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-74.918999999999997</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-5.859</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-5.859</v>
      </c>
    </row>
    <row r="235" spans="2:6" ht="13.5" customHeight="1">
      <c r="B235" s="219" t="str">
        <f>'1C'!Z41</f>
        <v>BO4065STATGC</v>
      </c>
      <c r="C235" s="219" t="s">
        <v>835</v>
      </c>
      <c r="E235" s="249" t="s">
        <v>634</v>
      </c>
      <c r="F235" s="252">
        <f>IF(ISBLANK('1C'!F41),"##BLANK",'1C'!F41)</f>
        <v>0</v>
      </c>
    </row>
    <row r="236" spans="2:6" ht="13.5" customHeight="1">
      <c r="B236" s="219" t="str">
        <f>'1C'!AA41</f>
        <v>BO4065DSRGC</v>
      </c>
      <c r="C236" s="219" t="s">
        <v>836</v>
      </c>
      <c r="E236" s="249" t="s">
        <v>634</v>
      </c>
      <c r="F236" s="252">
        <f>IF(ISBLANK('1C'!G41),"##BLANK",'1C'!G41)</f>
        <v>3.0000000000000001E-3</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3.0000000000000001E-3</v>
      </c>
    </row>
    <row r="239" spans="2:6" ht="13.5" customHeight="1">
      <c r="B239" s="219" t="str">
        <f>'1C'!AD41</f>
        <v>BO4065GC</v>
      </c>
      <c r="C239" s="219" t="s">
        <v>839</v>
      </c>
      <c r="E239" s="249" t="s">
        <v>634</v>
      </c>
      <c r="F239" s="252">
        <f>IF(ISBLANK('1C'!J41),"##BLANK",'1C'!J41)</f>
        <v>3.0000000000000001E-3</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-540.80799999999999</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-540.80799999999999</v>
      </c>
    </row>
    <row r="244" spans="2:6" ht="13.5" customHeight="1">
      <c r="B244" s="219" t="str">
        <f>'1C'!AD42</f>
        <v>BO4065AA</v>
      </c>
      <c r="C244" s="219" t="s">
        <v>844</v>
      </c>
      <c r="E244" s="249" t="s">
        <v>634</v>
      </c>
      <c r="F244" s="252">
        <f>IF(ISBLANK('1C'!J42),"##BLANK",'1C'!J42)</f>
        <v>-540.80799999999999</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-793.43299999999999</v>
      </c>
    </row>
    <row r="251" spans="2:6" ht="13.5" customHeight="1">
      <c r="B251" s="219" t="str">
        <f>'1C'!AA44</f>
        <v>BO4063DSR</v>
      </c>
      <c r="C251" s="219" t="s">
        <v>692</v>
      </c>
      <c r="E251" s="249" t="s">
        <v>634</v>
      </c>
      <c r="F251" s="252">
        <f>IF(ISBLANK('1C'!G44),"##BLANK",'1C'!G44)</f>
        <v>29.914999999999999</v>
      </c>
    </row>
    <row r="252" spans="2:6" ht="13.5" customHeight="1">
      <c r="B252" s="219" t="str">
        <f>'1C'!AB44</f>
        <v>BO4063NA</v>
      </c>
      <c r="C252" s="219" t="s">
        <v>850</v>
      </c>
      <c r="E252" s="249" t="s">
        <v>634</v>
      </c>
      <c r="F252" s="252">
        <f>IF(ISBLANK('1C'!H44),"##BLANK",'1C'!H44)</f>
        <v>0.26700000000000002</v>
      </c>
    </row>
    <row r="253" spans="2:6" ht="13.5" customHeight="1">
      <c r="B253" s="219" t="str">
        <f>'1C'!AC44</f>
        <v>BO4063ADJ</v>
      </c>
      <c r="C253" s="219" t="s">
        <v>694</v>
      </c>
      <c r="E253" s="249" t="s">
        <v>634</v>
      </c>
      <c r="F253" s="252">
        <f>IF(ISBLANK('1C'!I44),"##BLANK",'1C'!I44)</f>
        <v>29.648</v>
      </c>
    </row>
    <row r="254" spans="2:6" ht="13.5" customHeight="1">
      <c r="B254" s="219" t="str">
        <f>'1C'!AD44</f>
        <v>BO4063</v>
      </c>
      <c r="C254" s="219" t="s">
        <v>695</v>
      </c>
      <c r="E254" s="249" t="s">
        <v>634</v>
      </c>
      <c r="F254" s="252">
        <f>IF(ISBLANK('1C'!J44),"##BLANK",'1C'!J44)</f>
        <v>-763.78499999999997</v>
      </c>
    </row>
    <row r="255" spans="2:6" ht="13.5" customHeight="1">
      <c r="B255" s="219" t="str">
        <f>'1C'!Z45</f>
        <v>A11025STAT</v>
      </c>
      <c r="C255" s="219" t="s">
        <v>851</v>
      </c>
      <c r="E255" s="249" t="s">
        <v>634</v>
      </c>
      <c r="F255" s="252">
        <f>IF(ISBLANK('1C'!F45),"##BLANK",'1C'!F45)</f>
        <v>-5853.5150000000003</v>
      </c>
    </row>
    <row r="256" spans="2:6" ht="13.5" customHeight="1">
      <c r="B256" s="219" t="str">
        <f>'1C'!AA45</f>
        <v>A11025DSR</v>
      </c>
      <c r="C256" s="219" t="s">
        <v>852</v>
      </c>
      <c r="E256" s="249" t="s">
        <v>634</v>
      </c>
      <c r="F256" s="252">
        <f>IF(ISBLANK('1C'!G45),"##BLANK",'1C'!G45)</f>
        <v>29.914000000000136</v>
      </c>
    </row>
    <row r="257" spans="2:6" ht="13.5" customHeight="1">
      <c r="B257" s="219" t="str">
        <f>'1C'!AB45</f>
        <v>A11025NA</v>
      </c>
      <c r="C257" s="219" t="s">
        <v>853</v>
      </c>
      <c r="E257" s="249" t="s">
        <v>634</v>
      </c>
      <c r="F257" s="252">
        <f>IF(ISBLANK('1C'!H45),"##BLANK",'1C'!H45)</f>
        <v>0.26700000000000002</v>
      </c>
    </row>
    <row r="258" spans="2:6" ht="13.5" customHeight="1">
      <c r="B258" s="219" t="str">
        <f>'1C'!AC45</f>
        <v>A11025ADJ</v>
      </c>
      <c r="C258" s="219" t="s">
        <v>854</v>
      </c>
      <c r="E258" s="249" t="s">
        <v>634</v>
      </c>
      <c r="F258" s="252">
        <f>IF(ISBLANK('1C'!I45),"##BLANK",'1C'!I45)</f>
        <v>29.647000000000137</v>
      </c>
    </row>
    <row r="259" spans="2:6" ht="13.5" customHeight="1">
      <c r="B259" s="219" t="str">
        <f>'1C'!AD45</f>
        <v>A11025</v>
      </c>
      <c r="C259" s="219" t="s">
        <v>855</v>
      </c>
      <c r="E259" s="249" t="s">
        <v>634</v>
      </c>
      <c r="F259" s="252">
        <f>IF(ISBLANK('1C'!J45),"##BLANK",'1C'!J45)</f>
        <v>-5823.8680000000004</v>
      </c>
    </row>
    <row r="260" spans="2:6" ht="13.5" customHeight="1">
      <c r="B260" s="219" t="str">
        <f>'1C'!Z47</f>
        <v>BO4070STAT</v>
      </c>
      <c r="C260" s="219" t="s">
        <v>856</v>
      </c>
      <c r="E260" s="249" t="s">
        <v>634</v>
      </c>
      <c r="F260" s="252">
        <f>IF(ISBLANK('1C'!F47),"##BLANK",'1C'!F47)</f>
        <v>1545.4880000000003</v>
      </c>
    </row>
    <row r="261" spans="2:6" ht="13.5" customHeight="1">
      <c r="B261" s="219" t="str">
        <f>'1C'!AA47</f>
        <v>BO4070DSR</v>
      </c>
      <c r="C261" s="219" t="s">
        <v>857</v>
      </c>
      <c r="E261" s="249" t="s">
        <v>634</v>
      </c>
      <c r="F261" s="252">
        <f>IF(ISBLANK('1C'!G47),"##BLANK",'1C'!G47)</f>
        <v>-89.530999999999864</v>
      </c>
    </row>
    <row r="262" spans="2:6" ht="13.5" customHeight="1">
      <c r="B262" s="219" t="str">
        <f>'1C'!AB47</f>
        <v>BO4070NA</v>
      </c>
      <c r="C262" s="219" t="s">
        <v>858</v>
      </c>
      <c r="E262" s="249" t="s">
        <v>634</v>
      </c>
      <c r="F262" s="252">
        <f>IF(ISBLANK('1C'!H47),"##BLANK",'1C'!H47)</f>
        <v>42.583000000000006</v>
      </c>
    </row>
    <row r="263" spans="2:6" ht="13.5" customHeight="1">
      <c r="B263" s="219" t="str">
        <f>'1C'!AC47</f>
        <v>BO4070ADJ</v>
      </c>
      <c r="C263" s="219" t="s">
        <v>859</v>
      </c>
      <c r="E263" s="249" t="s">
        <v>634</v>
      </c>
      <c r="F263" s="252">
        <f>IF(ISBLANK('1C'!I47),"##BLANK",'1C'!I47)</f>
        <v>-132.11399999999986</v>
      </c>
    </row>
    <row r="264" spans="2:6" ht="13.5" customHeight="1">
      <c r="B264" s="219" t="str">
        <f>'1C'!AD47</f>
        <v>BO4070</v>
      </c>
      <c r="C264" s="219" t="s">
        <v>860</v>
      </c>
      <c r="E264" s="249" t="s">
        <v>634</v>
      </c>
      <c r="F264" s="252">
        <f>IF(ISBLANK('1C'!J47),"##BLANK",'1C'!J47)</f>
        <v>1413.3740000000005</v>
      </c>
    </row>
    <row r="265" spans="2:6" ht="13.5" customHeight="1">
      <c r="B265" s="219" t="str">
        <f>'1C'!Z50</f>
        <v>BO4100STAT</v>
      </c>
      <c r="C265" s="219" t="s">
        <v>861</v>
      </c>
      <c r="E265" s="249" t="s">
        <v>634</v>
      </c>
      <c r="F265" s="252">
        <f>IF(ISBLANK('1C'!F50),"##BLANK",'1C'!F50)</f>
        <v>309.89999999999998</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309.89999999999998</v>
      </c>
    </row>
    <row r="270" spans="2:6" ht="13.5" customHeight="1">
      <c r="B270" s="219" t="str">
        <f>'1C'!Z51</f>
        <v>A11030STAT</v>
      </c>
      <c r="C270" s="219" t="s">
        <v>866</v>
      </c>
      <c r="E270" s="249" t="s">
        <v>634</v>
      </c>
      <c r="F270" s="252">
        <f>IF(ISBLANK('1C'!F51),"##BLANK",'1C'!F51)</f>
        <v>1235.588</v>
      </c>
    </row>
    <row r="271" spans="2:6" ht="13.5" customHeight="1">
      <c r="B271" s="219" t="str">
        <f>'1C'!AA51</f>
        <v>A11030DSR</v>
      </c>
      <c r="C271" s="219" t="s">
        <v>867</v>
      </c>
      <c r="E271" s="249" t="s">
        <v>634</v>
      </c>
      <c r="F271" s="252">
        <f>IF(ISBLANK('1C'!G51),"##BLANK",'1C'!G51)</f>
        <v>-89.531000000000006</v>
      </c>
    </row>
    <row r="272" spans="2:6" ht="13.5" customHeight="1">
      <c r="B272" s="219" t="str">
        <f>'1C'!AB51</f>
        <v>A11030NA</v>
      </c>
      <c r="C272" s="219" t="s">
        <v>868</v>
      </c>
      <c r="E272" s="249" t="s">
        <v>634</v>
      </c>
      <c r="F272" s="252">
        <f>IF(ISBLANK('1C'!H51),"##BLANK",'1C'!H51)</f>
        <v>42.582999999999998</v>
      </c>
    </row>
    <row r="273" spans="2:6" ht="13.5" customHeight="1">
      <c r="B273" s="219" t="str">
        <f>'1C'!AC51</f>
        <v>A11030ADJ</v>
      </c>
      <c r="C273" s="219" t="s">
        <v>869</v>
      </c>
      <c r="E273" s="249" t="s">
        <v>634</v>
      </c>
      <c r="F273" s="252">
        <f>IF(ISBLANK('1C'!I51),"##BLANK",'1C'!I51)</f>
        <v>-132.114</v>
      </c>
    </row>
    <row r="274" spans="2:6" ht="13.5" customHeight="1">
      <c r="B274" s="219" t="str">
        <f>'1C'!AD51</f>
        <v>A11030</v>
      </c>
      <c r="C274" s="219" t="s">
        <v>870</v>
      </c>
      <c r="E274" s="249" t="s">
        <v>634</v>
      </c>
      <c r="F274" s="252">
        <f>IF(ISBLANK('1C'!J51),"##BLANK",'1C'!J51)</f>
        <v>1103.4739999999999</v>
      </c>
    </row>
    <row r="275" spans="2:6" ht="13.5" customHeight="1">
      <c r="B275" s="219" t="str">
        <f>'1C'!Z52</f>
        <v>BO4130STAT</v>
      </c>
      <c r="C275" s="219" t="s">
        <v>871</v>
      </c>
      <c r="E275" s="249" t="s">
        <v>634</v>
      </c>
      <c r="F275" s="252">
        <f>IF(ISBLANK('1C'!F52),"##BLANK",'1C'!F52)</f>
        <v>1545.4879999999998</v>
      </c>
    </row>
    <row r="276" spans="2:6" ht="13.5" customHeight="1">
      <c r="B276" s="219" t="str">
        <f>'1C'!AA52</f>
        <v>BO4130DSR</v>
      </c>
      <c r="C276" s="219" t="s">
        <v>872</v>
      </c>
      <c r="E276" s="249" t="s">
        <v>634</v>
      </c>
      <c r="F276" s="252">
        <f>IF(ISBLANK('1C'!G52),"##BLANK",'1C'!G52)</f>
        <v>-89.531000000000006</v>
      </c>
    </row>
    <row r="277" spans="2:6" ht="13.5" customHeight="1">
      <c r="B277" s="219" t="str">
        <f>'1C'!AB52</f>
        <v>BO4130NA</v>
      </c>
      <c r="C277" s="219" t="s">
        <v>873</v>
      </c>
      <c r="E277" s="249" t="s">
        <v>634</v>
      </c>
      <c r="F277" s="252">
        <f>IF(ISBLANK('1C'!H52),"##BLANK",'1C'!H52)</f>
        <v>42.582999999999998</v>
      </c>
    </row>
    <row r="278" spans="2:6" ht="13.5" customHeight="1">
      <c r="B278" s="219" t="str">
        <f>'1C'!AC52</f>
        <v>BO4130ADJ</v>
      </c>
      <c r="C278" s="219" t="s">
        <v>874</v>
      </c>
      <c r="E278" s="249" t="s">
        <v>634</v>
      </c>
      <c r="F278" s="252">
        <f>IF(ISBLANK('1C'!I52),"##BLANK",'1C'!I52)</f>
        <v>-132.114</v>
      </c>
    </row>
    <row r="279" spans="2:6" ht="13.5" customHeight="1">
      <c r="B279" s="219" t="str">
        <f>'1C'!AD52</f>
        <v>BO4130</v>
      </c>
      <c r="C279" s="219" t="s">
        <v>875</v>
      </c>
      <c r="E279" s="249" t="s">
        <v>634</v>
      </c>
      <c r="F279" s="252">
        <f>IF(ISBLANK('1C'!J52),"##BLANK",'1C'!J52)</f>
        <v>1413.3739999999998</v>
      </c>
    </row>
    <row r="280" spans="2:6" ht="13.5" customHeight="1">
      <c r="B280" s="219" t="str">
        <f>'1D'!AC10</f>
        <v>BO5002ADJ</v>
      </c>
      <c r="C280" s="219" t="s">
        <v>657</v>
      </c>
      <c r="E280" s="249" t="s">
        <v>634</v>
      </c>
      <c r="F280" s="252">
        <f>IF(ISBLANK('1D'!I10),"##BLANK",'1D'!I10)</f>
        <v>19.135999999999999</v>
      </c>
    </row>
    <row r="281" spans="2:6" ht="13.5" customHeight="1">
      <c r="B281" s="219" t="str">
        <f>'1D'!AD10</f>
        <v>BO5002</v>
      </c>
      <c r="C281" s="219" t="s">
        <v>658</v>
      </c>
      <c r="E281" s="249" t="s">
        <v>634</v>
      </c>
      <c r="F281" s="252">
        <f>IF(ISBLANK('1D'!J10),"##BLANK",'1D'!J10)</f>
        <v>19.135999999999999</v>
      </c>
    </row>
    <row r="282" spans="2:6" ht="13.5" customHeight="1">
      <c r="B282" s="219" t="str">
        <f>'1D'!Z11</f>
        <v>A14002STAT</v>
      </c>
      <c r="C282" s="219" t="s">
        <v>876</v>
      </c>
      <c r="E282" s="249" t="s">
        <v>634</v>
      </c>
      <c r="F282" s="252">
        <f>IF(ISBLANK('1D'!F11),"##BLANK",'1D'!F11)</f>
        <v>358.03300000000002</v>
      </c>
    </row>
    <row r="283" spans="2:6" ht="13.5" customHeight="1">
      <c r="B283" s="219" t="str">
        <f>'1D'!AA11</f>
        <v>A14002DSR</v>
      </c>
      <c r="C283" s="219" t="s">
        <v>877</v>
      </c>
      <c r="E283" s="249" t="s">
        <v>634</v>
      </c>
      <c r="F283" s="252">
        <f>IF(ISBLANK('1D'!G11),"##BLANK",'1D'!G11)</f>
        <v>-4.42</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-4.42</v>
      </c>
    </row>
    <row r="286" spans="2:6" ht="13.5" customHeight="1">
      <c r="B286" s="219" t="str">
        <f>'1D'!AD11</f>
        <v>A14002</v>
      </c>
      <c r="C286" s="219" t="s">
        <v>880</v>
      </c>
      <c r="E286" s="249" t="s">
        <v>634</v>
      </c>
      <c r="F286" s="252">
        <f>IF(ISBLANK('1D'!J11),"##BLANK",'1D'!J11)</f>
        <v>353.613</v>
      </c>
    </row>
    <row r="287" spans="2:6" ht="13.5" customHeight="1">
      <c r="B287" s="219" t="str">
        <f>'1D'!Z12</f>
        <v>A3028STAT</v>
      </c>
      <c r="C287" s="219" t="s">
        <v>881</v>
      </c>
      <c r="E287" s="249" t="s">
        <v>634</v>
      </c>
      <c r="F287" s="252">
        <f>IF(ISBLANK('1D'!F12),"##BLANK",'1D'!F12)</f>
        <v>-12.416</v>
      </c>
    </row>
    <row r="288" spans="2:6" ht="13.5" customHeight="1">
      <c r="B288" s="219" t="str">
        <f>'1D'!AA12</f>
        <v>A3028DSR</v>
      </c>
      <c r="C288" s="219" t="s">
        <v>882</v>
      </c>
      <c r="E288" s="249" t="s">
        <v>634</v>
      </c>
      <c r="F288" s="252">
        <f>IF(ISBLANK('1D'!G12),"##BLANK",'1D'!G12)</f>
        <v>12.416</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12.416</v>
      </c>
    </row>
    <row r="291" spans="2:6" ht="13.5" customHeight="1">
      <c r="B291" s="219" t="str">
        <f>'1D'!AD12</f>
        <v>A3028</v>
      </c>
      <c r="C291" s="219" t="s">
        <v>885</v>
      </c>
      <c r="E291" s="249" t="s">
        <v>634</v>
      </c>
      <c r="F291" s="252">
        <f>IF(ISBLANK('1D'!J12),"##BLANK",'1D'!J12)</f>
        <v>0</v>
      </c>
    </row>
    <row r="292" spans="2:6" ht="13.5" customHeight="1">
      <c r="B292" s="219" t="str">
        <f>'1D'!Z13</f>
        <v>FT01810STAT</v>
      </c>
      <c r="C292" s="219" t="s">
        <v>886</v>
      </c>
      <c r="E292" s="249" t="s">
        <v>634</v>
      </c>
      <c r="F292" s="252">
        <f>IF(ISBLANK('1D'!F13),"##BLANK",'1D'!F13)</f>
        <v>-5.6760000000000002</v>
      </c>
    </row>
    <row r="293" spans="2:6" ht="13.5" customHeight="1">
      <c r="B293" s="219" t="str">
        <f>'1D'!AA13</f>
        <v>FT01810DSR</v>
      </c>
      <c r="C293" s="219" t="s">
        <v>887</v>
      </c>
      <c r="E293" s="249" t="s">
        <v>634</v>
      </c>
      <c r="F293" s="252">
        <f>IF(ISBLANK('1D'!G13),"##BLANK",'1D'!G13)</f>
        <v>-2.7559999999999998</v>
      </c>
    </row>
    <row r="294" spans="2:6" ht="13.5" customHeight="1">
      <c r="B294" s="219" t="str">
        <f>'1D'!AB13</f>
        <v>FT01810NA</v>
      </c>
      <c r="C294" s="219" t="s">
        <v>888</v>
      </c>
      <c r="E294" s="249" t="s">
        <v>634</v>
      </c>
      <c r="F294" s="252">
        <f>IF(ISBLANK('1D'!H13),"##BLANK",'1D'!H13)</f>
        <v>0</v>
      </c>
    </row>
    <row r="295" spans="2:6" ht="13.5" customHeight="1">
      <c r="B295" s="219" t="str">
        <f>'1D'!AC13</f>
        <v>FT01810ADJ</v>
      </c>
      <c r="C295" s="219" t="s">
        <v>889</v>
      </c>
      <c r="E295" s="249" t="s">
        <v>634</v>
      </c>
      <c r="F295" s="252">
        <f>IF(ISBLANK('1D'!I13),"##BLANK",'1D'!I13)</f>
        <v>-2.7559999999999998</v>
      </c>
    </row>
    <row r="296" spans="2:6" ht="13.5" customHeight="1">
      <c r="B296" s="219" t="str">
        <f>'1D'!AD13</f>
        <v>FT01810</v>
      </c>
      <c r="C296" s="219" t="s">
        <v>890</v>
      </c>
      <c r="E296" s="249" t="s">
        <v>634</v>
      </c>
      <c r="F296" s="252">
        <f>IF(ISBLANK('1D'!J13),"##BLANK",'1D'!J13)</f>
        <v>-8.4320000000000004</v>
      </c>
    </row>
    <row r="297" spans="2:6" ht="13.5" customHeight="1">
      <c r="B297" s="219" t="str">
        <f>'1D'!Z14</f>
        <v>A14005STAT</v>
      </c>
      <c r="C297" s="219" t="s">
        <v>891</v>
      </c>
      <c r="E297" s="249" t="s">
        <v>634</v>
      </c>
      <c r="F297" s="252">
        <f>IF(ISBLANK('1D'!F14),"##BLANK",'1D'!F14)</f>
        <v>29.6</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29.6</v>
      </c>
    </row>
    <row r="302" spans="2:6" ht="13.5" customHeight="1">
      <c r="B302" s="219" t="str">
        <f>'1D'!Z15</f>
        <v>BO5020STAT</v>
      </c>
      <c r="C302" s="219" t="s">
        <v>896</v>
      </c>
      <c r="E302" s="249" t="s">
        <v>634</v>
      </c>
      <c r="F302" s="252">
        <f>IF(ISBLANK('1D'!F15),"##BLANK",'1D'!F15)</f>
        <v>14.6</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14.6</v>
      </c>
    </row>
    <row r="307" spans="2:6" ht="13.5" customHeight="1">
      <c r="B307" s="219" t="str">
        <f>'1D'!Z16</f>
        <v>BO5004STAT</v>
      </c>
      <c r="C307" s="219" t="s">
        <v>901</v>
      </c>
      <c r="E307" s="249" t="s">
        <v>634</v>
      </c>
      <c r="F307" s="252">
        <f>IF(ISBLANK('1D'!F16),"##BLANK",'1D'!F16)</f>
        <v>-0.35799999999999998</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-0.35799999999999998</v>
      </c>
    </row>
    <row r="312" spans="2:6" ht="13.5" customHeight="1">
      <c r="B312" s="219" t="str">
        <f>'1D'!Z17</f>
        <v>BO5040STAT</v>
      </c>
      <c r="C312" s="219" t="s">
        <v>906</v>
      </c>
      <c r="E312" s="249" t="s">
        <v>634</v>
      </c>
      <c r="F312" s="252">
        <f>IF(ISBLANK('1D'!F17),"##BLANK",'1D'!F17)</f>
        <v>377.45200000000011</v>
      </c>
    </row>
    <row r="313" spans="2:6" ht="13.5" customHeight="1">
      <c r="B313" s="219" t="str">
        <f>'1D'!AA17</f>
        <v>BO5040DSR</v>
      </c>
      <c r="C313" s="219" t="s">
        <v>907</v>
      </c>
      <c r="E313" s="249" t="s">
        <v>634</v>
      </c>
      <c r="F313" s="252">
        <f>IF(ISBLANK('1D'!G17),"##BLANK",'1D'!G17)</f>
        <v>2.2204460492503131E-15</v>
      </c>
    </row>
    <row r="314" spans="2:6" ht="13.5" customHeight="1">
      <c r="B314" s="219" t="str">
        <f>'1D'!AB17</f>
        <v>BO5040NA</v>
      </c>
      <c r="C314" s="219" t="s">
        <v>908</v>
      </c>
      <c r="E314" s="249" t="s">
        <v>634</v>
      </c>
      <c r="F314" s="252">
        <f>IF(ISBLANK('1D'!H17),"##BLANK",'1D'!H17)</f>
        <v>-1.2409999999999997</v>
      </c>
    </row>
    <row r="315" spans="2:6" ht="13.5" customHeight="1">
      <c r="B315" s="219" t="str">
        <f>'1D'!AC17</f>
        <v>BO5040ADJ</v>
      </c>
      <c r="C315" s="219" t="s">
        <v>909</v>
      </c>
      <c r="E315" s="249" t="s">
        <v>634</v>
      </c>
      <c r="F315" s="252">
        <f>IF(ISBLANK('1D'!I17),"##BLANK",'1D'!I17)</f>
        <v>1.2410000000000019</v>
      </c>
    </row>
    <row r="316" spans="2:6" ht="13.5" customHeight="1">
      <c r="B316" s="219" t="str">
        <f>'1D'!AD17</f>
        <v>BO5040</v>
      </c>
      <c r="C316" s="219" t="s">
        <v>910</v>
      </c>
      <c r="E316" s="249" t="s">
        <v>634</v>
      </c>
      <c r="F316" s="252">
        <f>IF(ISBLANK('1D'!J17),"##BLANK",'1D'!J17)</f>
        <v>378.6930000000001</v>
      </c>
    </row>
    <row r="317" spans="2:6" ht="13.5" customHeight="1">
      <c r="B317" s="219" t="str">
        <f>'1D'!Z18</f>
        <v>A14008STAT</v>
      </c>
      <c r="C317" s="219" t="s">
        <v>911</v>
      </c>
      <c r="E317" s="249" t="s">
        <v>634</v>
      </c>
      <c r="F317" s="252">
        <f>IF(ISBLANK('1D'!F18),"##BLANK",'1D'!F18)</f>
        <v>-136.45699999999999</v>
      </c>
    </row>
    <row r="318" spans="2:6" ht="13.5" customHeight="1">
      <c r="B318" s="219" t="str">
        <f>'1D'!AA18</f>
        <v>A14008DSR</v>
      </c>
      <c r="C318" s="219" t="s">
        <v>912</v>
      </c>
      <c r="E318" s="249" t="s">
        <v>634</v>
      </c>
      <c r="F318" s="252">
        <f>IF(ISBLANK('1D'!G18),"##BLANK",'1D'!G18)</f>
        <v>0</v>
      </c>
    </row>
    <row r="319" spans="2:6" ht="13.5" customHeight="1">
      <c r="B319" s="219" t="str">
        <f>'1D'!AB18</f>
        <v>A14008NA</v>
      </c>
      <c r="C319" s="219" t="s">
        <v>913</v>
      </c>
      <c r="E319" s="249" t="s">
        <v>634</v>
      </c>
      <c r="F319" s="252">
        <f>IF(ISBLANK('1D'!H18),"##BLANK",'1D'!H18)</f>
        <v>0.9</v>
      </c>
    </row>
    <row r="320" spans="2:6" ht="13.5" customHeight="1">
      <c r="B320" s="219" t="str">
        <f>'1D'!AC18</f>
        <v>A14008ADJ</v>
      </c>
      <c r="C320" s="219" t="s">
        <v>914</v>
      </c>
      <c r="E320" s="249" t="s">
        <v>634</v>
      </c>
      <c r="F320" s="252">
        <f>IF(ISBLANK('1D'!I18),"##BLANK",'1D'!I18)</f>
        <v>-0.9</v>
      </c>
    </row>
    <row r="321" spans="2:6" ht="13.5" customHeight="1">
      <c r="B321" s="219" t="str">
        <f>'1D'!AD18</f>
        <v>A14008</v>
      </c>
      <c r="C321" s="219" t="s">
        <v>915</v>
      </c>
      <c r="E321" s="249" t="s">
        <v>634</v>
      </c>
      <c r="F321" s="252">
        <f>IF(ISBLANK('1D'!J18),"##BLANK",'1D'!J18)</f>
        <v>-137.357</v>
      </c>
    </row>
    <row r="322" spans="2:6" ht="13.5" customHeight="1">
      <c r="B322" s="219" t="str">
        <f>'1D'!Z19</f>
        <v>BO5070STAT</v>
      </c>
      <c r="C322" s="219" t="s">
        <v>916</v>
      </c>
      <c r="E322" s="249" t="s">
        <v>634</v>
      </c>
      <c r="F322" s="252">
        <f>IF(ISBLANK('1D'!F19),"##BLANK",'1D'!F19)</f>
        <v>0.56100000000000005</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0.56100000000000005</v>
      </c>
    </row>
    <row r="327" spans="2:6" ht="13.5" customHeight="1">
      <c r="B327" s="219" t="str">
        <f>'1D'!Z20</f>
        <v>A14010STAT</v>
      </c>
      <c r="C327" s="219" t="s">
        <v>921</v>
      </c>
      <c r="E327" s="249" t="s">
        <v>634</v>
      </c>
      <c r="F327" s="252">
        <f>IF(ISBLANK('1D'!F20),"##BLANK",'1D'!F20)</f>
        <v>241.55600000000013</v>
      </c>
    </row>
    <row r="328" spans="2:6" ht="13.5" customHeight="1">
      <c r="B328" s="219" t="str">
        <f>'1D'!AA20</f>
        <v>A14010DSR</v>
      </c>
      <c r="C328" s="219" t="s">
        <v>922</v>
      </c>
      <c r="E328" s="249" t="s">
        <v>634</v>
      </c>
      <c r="F328" s="252">
        <f>IF(ISBLANK('1D'!G20),"##BLANK",'1D'!G20)</f>
        <v>2.2204460492503131E-15</v>
      </c>
    </row>
    <row r="329" spans="2:6" ht="13.5" customHeight="1">
      <c r="B329" s="219" t="str">
        <f>'1D'!AB20</f>
        <v>A14010NA</v>
      </c>
      <c r="C329" s="219" t="s">
        <v>923</v>
      </c>
      <c r="E329" s="249" t="s">
        <v>634</v>
      </c>
      <c r="F329" s="252">
        <f>IF(ISBLANK('1D'!H20),"##BLANK",'1D'!H20)</f>
        <v>-0.34099999999999964</v>
      </c>
    </row>
    <row r="330" spans="2:6" ht="13.5" customHeight="1">
      <c r="B330" s="219" t="str">
        <f>'1D'!AC20</f>
        <v>A14010ADJ</v>
      </c>
      <c r="C330" s="219" t="s">
        <v>924</v>
      </c>
      <c r="E330" s="249" t="s">
        <v>634</v>
      </c>
      <c r="F330" s="252">
        <f>IF(ISBLANK('1D'!I20),"##BLANK",'1D'!I20)</f>
        <v>0.34100000000000186</v>
      </c>
    </row>
    <row r="331" spans="2:6" ht="13.5" customHeight="1">
      <c r="B331" s="219" t="str">
        <f>'1D'!AD20</f>
        <v>A14010</v>
      </c>
      <c r="C331" s="219" t="s">
        <v>925</v>
      </c>
      <c r="E331" s="249" t="s">
        <v>634</v>
      </c>
      <c r="F331" s="252">
        <f>IF(ISBLANK('1D'!J20),"##BLANK",'1D'!J20)</f>
        <v>241.89700000000013</v>
      </c>
    </row>
    <row r="332" spans="2:6" ht="13.5" customHeight="1">
      <c r="B332" s="219" t="str">
        <f>'1D'!Z23</f>
        <v>BO5080STAT</v>
      </c>
      <c r="C332" s="219" t="s">
        <v>926</v>
      </c>
      <c r="E332" s="249" t="s">
        <v>634</v>
      </c>
      <c r="F332" s="252">
        <f>IF(ISBLANK('1D'!F23),"##BLANK",'1D'!F23)</f>
        <v>-335.14499999999998</v>
      </c>
    </row>
    <row r="333" spans="2:6" ht="13.5" customHeight="1">
      <c r="B333" s="219" t="str">
        <f>'1D'!AA23</f>
        <v>BO5080DSR</v>
      </c>
      <c r="C333" s="219" t="s">
        <v>927</v>
      </c>
      <c r="E333" s="249" t="s">
        <v>634</v>
      </c>
      <c r="F333" s="252">
        <f>IF(ISBLANK('1D'!G23),"##BLANK",'1D'!G23)</f>
        <v>0</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0</v>
      </c>
    </row>
    <row r="336" spans="2:6" ht="13.5" customHeight="1">
      <c r="B336" s="219" t="str">
        <f>'1D'!AD23</f>
        <v>BO5080</v>
      </c>
      <c r="C336" s="219" t="s">
        <v>930</v>
      </c>
      <c r="E336" s="249" t="s">
        <v>634</v>
      </c>
      <c r="F336" s="252">
        <f>IF(ISBLANK('1D'!J23),"##BLANK",'1D'!J23)</f>
        <v>-335.14499999999998</v>
      </c>
    </row>
    <row r="337" spans="2:6" ht="13.5" customHeight="1">
      <c r="B337" s="219" t="str">
        <f>'1D'!Z24</f>
        <v>BO5081STAT</v>
      </c>
      <c r="C337" s="219" t="s">
        <v>931</v>
      </c>
      <c r="E337" s="249" t="s">
        <v>634</v>
      </c>
      <c r="F337" s="252">
        <f>IF(ISBLANK('1D'!F24),"##BLANK",'1D'!F24)</f>
        <v>30.530999999999999</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30.530999999999999</v>
      </c>
    </row>
    <row r="342" spans="2:6" ht="13.5" customHeight="1">
      <c r="B342" s="219" t="str">
        <f>'1D'!Z25</f>
        <v>BO5084STAT</v>
      </c>
      <c r="C342" s="219" t="s">
        <v>936</v>
      </c>
      <c r="E342" s="249" t="s">
        <v>634</v>
      </c>
      <c r="F342" s="252">
        <f>IF(ISBLANK('1D'!F25),"##BLANK",'1D'!F25)</f>
        <v>0.4</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0.4</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-304.214</v>
      </c>
    </row>
    <row r="353" spans="2:6" ht="13.5" customHeight="1">
      <c r="B353" s="219" t="str">
        <f>'1D'!AA27</f>
        <v>BO5086DSR</v>
      </c>
      <c r="C353" s="219" t="s">
        <v>947</v>
      </c>
      <c r="E353" s="249" t="s">
        <v>634</v>
      </c>
      <c r="F353" s="252">
        <f>IF(ISBLANK('1D'!G27),"##BLANK",'1D'!G27)</f>
        <v>0</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0</v>
      </c>
    </row>
    <row r="356" spans="2:6" ht="13.5" customHeight="1">
      <c r="B356" s="219" t="str">
        <f>'1D'!AD27</f>
        <v>BO5086</v>
      </c>
      <c r="C356" s="219" t="s">
        <v>950</v>
      </c>
      <c r="E356" s="249" t="s">
        <v>634</v>
      </c>
      <c r="F356" s="252">
        <f>IF(ISBLANK('1D'!J27),"##BLANK",'1D'!J27)</f>
        <v>-304.214</v>
      </c>
    </row>
    <row r="357" spans="2:6" ht="13.5" customHeight="1">
      <c r="B357" s="219" t="str">
        <f>'1D'!Z29</f>
        <v>A14017STAT</v>
      </c>
      <c r="C357" s="219" t="s">
        <v>951</v>
      </c>
      <c r="E357" s="249" t="s">
        <v>634</v>
      </c>
      <c r="F357" s="252">
        <f>IF(ISBLANK('1D'!F29),"##BLANK",'1D'!F29)</f>
        <v>-62.657999999999873</v>
      </c>
    </row>
    <row r="358" spans="2:6" ht="13.5" customHeight="1">
      <c r="B358" s="219" t="str">
        <f>'1D'!AA29</f>
        <v>A14017DSR</v>
      </c>
      <c r="C358" s="219" t="s">
        <v>952</v>
      </c>
      <c r="E358" s="249" t="s">
        <v>634</v>
      </c>
      <c r="F358" s="252">
        <f>IF(ISBLANK('1D'!G29),"##BLANK",'1D'!G29)</f>
        <v>2.2204460492503131E-15</v>
      </c>
    </row>
    <row r="359" spans="2:6" ht="13.5" customHeight="1">
      <c r="B359" s="219" t="str">
        <f>'1D'!AB29</f>
        <v>A14017NA</v>
      </c>
      <c r="C359" s="219" t="s">
        <v>953</v>
      </c>
      <c r="E359" s="249" t="s">
        <v>634</v>
      </c>
      <c r="F359" s="252">
        <f>IF(ISBLANK('1D'!H29),"##BLANK",'1D'!H29)</f>
        <v>-0.34099999999999964</v>
      </c>
    </row>
    <row r="360" spans="2:6" ht="13.5" customHeight="1">
      <c r="B360" s="219" t="str">
        <f>'1D'!AC29</f>
        <v>A14017ADJ</v>
      </c>
      <c r="C360" s="219" t="s">
        <v>954</v>
      </c>
      <c r="E360" s="249" t="s">
        <v>634</v>
      </c>
      <c r="F360" s="252">
        <f>IF(ISBLANK('1D'!I29),"##BLANK",'1D'!I29)</f>
        <v>0.34100000000000186</v>
      </c>
    </row>
    <row r="361" spans="2:6" ht="13.5" customHeight="1">
      <c r="B361" s="219" t="str">
        <f>'1D'!AD29</f>
        <v>A14017</v>
      </c>
      <c r="C361" s="219" t="s">
        <v>955</v>
      </c>
      <c r="E361" s="249" t="s">
        <v>634</v>
      </c>
      <c r="F361" s="252">
        <f>IF(ISBLANK('1D'!J29),"##BLANK",'1D'!J29)</f>
        <v>-62.316999999999872</v>
      </c>
    </row>
    <row r="362" spans="2:6" ht="13.5" customHeight="1">
      <c r="B362" s="219" t="str">
        <f>'1D'!Z32</f>
        <v>BO5204STAT</v>
      </c>
      <c r="C362" s="219" t="s">
        <v>956</v>
      </c>
      <c r="E362" s="249" t="s">
        <v>634</v>
      </c>
      <c r="F362" s="252">
        <f>IF(ISBLANK('1D'!F32),"##BLANK",'1D'!F32)</f>
        <v>0</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0</v>
      </c>
    </row>
    <row r="365" spans="2:6" ht="13.5" customHeight="1">
      <c r="B365" s="219" t="str">
        <f>'1D'!AC32</f>
        <v>BO5204ADJ</v>
      </c>
      <c r="C365" s="219" t="s">
        <v>959</v>
      </c>
      <c r="E365" s="249" t="s">
        <v>634</v>
      </c>
      <c r="F365" s="252">
        <f>IF(ISBLANK('1D'!I32),"##BLANK",'1D'!I32)</f>
        <v>0</v>
      </c>
    </row>
    <row r="366" spans="2:6" ht="13.5" customHeight="1">
      <c r="B366" s="219" t="str">
        <f>'1D'!AD32</f>
        <v>BO5204</v>
      </c>
      <c r="C366" s="219" t="s">
        <v>960</v>
      </c>
      <c r="E366" s="249" t="s">
        <v>634</v>
      </c>
      <c r="F366" s="252">
        <f>IF(ISBLANK('1D'!J32),"##BLANK",'1D'!J32)</f>
        <v>0</v>
      </c>
    </row>
    <row r="367" spans="2:6" ht="13.5" customHeight="1">
      <c r="B367" s="219" t="str">
        <f>'1D'!Z33</f>
        <v>A14019STAT</v>
      </c>
      <c r="C367" s="219" t="s">
        <v>961</v>
      </c>
      <c r="E367" s="249" t="s">
        <v>634</v>
      </c>
      <c r="F367" s="252">
        <f>IF(ISBLANK('1D'!F33),"##BLANK",'1D'!F33)</f>
        <v>-78.427000000000007</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-78.427000000000007</v>
      </c>
    </row>
    <row r="372" spans="2:6" ht="13.5" customHeight="1">
      <c r="B372" s="219" t="str">
        <f>'1D'!Z34</f>
        <v>BO5095STAT</v>
      </c>
      <c r="C372" s="219" t="s">
        <v>966</v>
      </c>
      <c r="E372" s="249" t="s">
        <v>634</v>
      </c>
      <c r="F372" s="252">
        <f>IF(ISBLANK('1D'!F34),"##BLANK",'1D'!F34)</f>
        <v>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0</v>
      </c>
    </row>
    <row r="377" spans="2:6" ht="13.5" customHeight="1">
      <c r="B377" s="219" t="str">
        <f>'1D'!Z35</f>
        <v>BO5096STAT</v>
      </c>
      <c r="C377" s="219" t="s">
        <v>971</v>
      </c>
      <c r="E377" s="249" t="s">
        <v>634</v>
      </c>
      <c r="F377" s="252">
        <f>IF(ISBLANK('1D'!F35),"##BLANK",'1D'!F35)</f>
        <v>-78.427000000000007</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0</v>
      </c>
    </row>
    <row r="380" spans="2:6" ht="13.5" customHeight="1">
      <c r="B380" s="219" t="str">
        <f>'1D'!AC35</f>
        <v>BO5096ADJ</v>
      </c>
      <c r="C380" s="219" t="s">
        <v>974</v>
      </c>
      <c r="E380" s="249" t="s">
        <v>634</v>
      </c>
      <c r="F380" s="252">
        <f>IF(ISBLANK('1D'!I35),"##BLANK",'1D'!I35)</f>
        <v>0</v>
      </c>
    </row>
    <row r="381" spans="2:6" ht="13.5" customHeight="1">
      <c r="B381" s="219" t="str">
        <f>'1D'!AD35</f>
        <v>BO5096</v>
      </c>
      <c r="C381" s="219" t="s">
        <v>975</v>
      </c>
      <c r="E381" s="249" t="s">
        <v>634</v>
      </c>
      <c r="F381" s="252">
        <f>IF(ISBLANK('1D'!J35),"##BLANK",'1D'!J35)</f>
        <v>-78.427000000000007</v>
      </c>
    </row>
    <row r="382" spans="2:6" ht="13.5" customHeight="1">
      <c r="B382" s="219" t="str">
        <f>'1D'!Z37</f>
        <v>BO5098STAT</v>
      </c>
      <c r="C382" s="219" t="s">
        <v>976</v>
      </c>
      <c r="E382" s="249" t="s">
        <v>634</v>
      </c>
      <c r="F382" s="252">
        <f>IF(ISBLANK('1D'!F37),"##BLANK",'1D'!F37)</f>
        <v>-141.08499999999987</v>
      </c>
    </row>
    <row r="383" spans="2:6" ht="13.5" customHeight="1">
      <c r="B383" s="219" t="str">
        <f>'1D'!AA37</f>
        <v>BO5098DSR</v>
      </c>
      <c r="C383" s="219" t="s">
        <v>977</v>
      </c>
      <c r="E383" s="249" t="s">
        <v>634</v>
      </c>
      <c r="F383" s="252">
        <f>IF(ISBLANK('1D'!G37),"##BLANK",'1D'!G37)</f>
        <v>2.2204460492503131E-15</v>
      </c>
    </row>
    <row r="384" spans="2:6" ht="13.5" customHeight="1">
      <c r="B384" s="219" t="str">
        <f>'1D'!AB37</f>
        <v>BO5098NA</v>
      </c>
      <c r="C384" s="219" t="s">
        <v>978</v>
      </c>
      <c r="E384" s="249" t="s">
        <v>634</v>
      </c>
      <c r="F384" s="252">
        <f>IF(ISBLANK('1D'!H37),"##BLANK",'1D'!H37)</f>
        <v>-0.34099999999999964</v>
      </c>
    </row>
    <row r="385" spans="2:6" ht="13.5" customHeight="1">
      <c r="B385" s="219" t="str">
        <f>'1D'!AC37</f>
        <v>BO5098ADJ</v>
      </c>
      <c r="C385" s="219" t="s">
        <v>979</v>
      </c>
      <c r="E385" s="249" t="s">
        <v>634</v>
      </c>
      <c r="F385" s="252">
        <f>IF(ISBLANK('1D'!I37),"##BLANK",'1D'!I37)</f>
        <v>0.34100000000000186</v>
      </c>
    </row>
    <row r="386" spans="2:6" ht="13.5" customHeight="1">
      <c r="B386" s="219" t="str">
        <f>'1D'!AD37</f>
        <v>BO5098</v>
      </c>
      <c r="C386" s="219" t="s">
        <v>980</v>
      </c>
      <c r="E386" s="249" t="s">
        <v>634</v>
      </c>
      <c r="F386" s="252">
        <f>IF(ISBLANK('1D'!J37),"##BLANK",'1D'!J37)</f>
        <v>-140.74399999999986</v>
      </c>
    </row>
    <row r="387" spans="2:6" ht="13.5" customHeight="1">
      <c r="B387" s="219" t="str">
        <f>'1E'!Z9</f>
        <v>BO5332FX</v>
      </c>
      <c r="C387" s="219" t="s">
        <v>981</v>
      </c>
      <c r="E387" s="249" t="s">
        <v>634</v>
      </c>
      <c r="F387" s="252">
        <f>IF(ISBLANK('1E'!E9),"##BLANK",'1E'!E9)</f>
        <v>495.012</v>
      </c>
    </row>
    <row r="388" spans="2:6" ht="13.5" customHeight="1">
      <c r="B388" s="219" t="str">
        <f>'1E'!AA9</f>
        <v>BO5332FR</v>
      </c>
      <c r="C388" s="219" t="s">
        <v>982</v>
      </c>
      <c r="E388" s="249" t="s">
        <v>634</v>
      </c>
      <c r="F388" s="252">
        <f>IF(ISBLANK('1E'!F9),"##BLANK",'1E'!F9)</f>
        <v>178.244</v>
      </c>
    </row>
    <row r="389" spans="2:6" ht="13.5" customHeight="1">
      <c r="B389" s="219" t="str">
        <f>'1E'!AB9</f>
        <v>BO5332ILR</v>
      </c>
      <c r="C389" s="219" t="s">
        <v>983</v>
      </c>
      <c r="E389" s="249" t="s">
        <v>634</v>
      </c>
      <c r="F389" s="252">
        <f>IF(ISBLANK('1E'!G9),"##BLANK",'1E'!G9)</f>
        <v>3819.3159999999998</v>
      </c>
    </row>
    <row r="390" spans="2:6" ht="13.5" customHeight="1">
      <c r="B390" s="219" t="str">
        <f>'1E'!AC9</f>
        <v>BO5332ILC</v>
      </c>
      <c r="C390" s="219" t="s">
        <v>984</v>
      </c>
      <c r="E390" s="249" t="s">
        <v>634</v>
      </c>
      <c r="F390" s="253">
        <f>IF(ISBLANK('1E'!H9),"##BLANK",'1E'!H9)</f>
        <v>0</v>
      </c>
    </row>
    <row r="391" spans="2:6" ht="13.5" customHeight="1">
      <c r="B391" s="219" t="str">
        <f>'1E'!AD9</f>
        <v>BO5332A</v>
      </c>
      <c r="C391" s="219" t="s">
        <v>985</v>
      </c>
      <c r="E391" s="249" t="s">
        <v>634</v>
      </c>
      <c r="F391" s="252">
        <f>IF(ISBLANK('1E'!I9),"##BLANK",'1E'!I9)</f>
        <v>4492.5720000000001</v>
      </c>
    </row>
    <row r="392" spans="2:6" ht="13.5" customHeight="1">
      <c r="B392" s="219" t="str">
        <f>'1E'!AD11</f>
        <v>BO5348T</v>
      </c>
      <c r="C392" s="219" t="s">
        <v>986</v>
      </c>
      <c r="E392" s="249" t="s">
        <v>634</v>
      </c>
      <c r="F392" s="252">
        <f>IF(ISBLANK('1E'!I11),"##BLANK",'1E'!I11)</f>
        <v>4492.5720000000001</v>
      </c>
    </row>
    <row r="393" spans="2:6" ht="13.5" customHeight="1">
      <c r="B393" s="219" t="str">
        <f>'1E'!AD12</f>
        <v>FT01690</v>
      </c>
      <c r="C393" s="219" t="s">
        <v>987</v>
      </c>
      <c r="E393" s="249" t="s">
        <v>634</v>
      </c>
      <c r="F393" s="252">
        <f>IF(ISBLANK('1E'!I12),"##BLANK",'1E'!I12)</f>
        <v>-26.350999999999999</v>
      </c>
    </row>
    <row r="394" spans="2:6" ht="13.5" customHeight="1">
      <c r="B394" s="219" t="str">
        <f>'1E'!AD13</f>
        <v>PP0021</v>
      </c>
      <c r="C394" s="219" t="s">
        <v>988</v>
      </c>
      <c r="E394" s="249" t="s">
        <v>634</v>
      </c>
      <c r="F394" s="252">
        <f>IF(ISBLANK('1E'!I13),"##BLANK",'1E'!I13)</f>
        <v>-293.96499999999997</v>
      </c>
    </row>
    <row r="395" spans="2:6" ht="13.5" customHeight="1">
      <c r="B395" s="219" t="str">
        <f>'1E'!AD14</f>
        <v>BO4075</v>
      </c>
      <c r="C395" s="219" t="s">
        <v>989</v>
      </c>
      <c r="E395" s="249" t="s">
        <v>634</v>
      </c>
      <c r="F395" s="252">
        <f>IF(ISBLANK('1E'!I14),"##BLANK",'1E'!I14)</f>
        <v>4172.2560000000003</v>
      </c>
    </row>
    <row r="396" spans="2:6" ht="13.5" customHeight="1">
      <c r="B396" s="254" t="str">
        <f>'1E'!AD17</f>
        <v>FI00300</v>
      </c>
      <c r="C396" s="219" t="s">
        <v>990</v>
      </c>
      <c r="E396" s="249" t="s">
        <v>634</v>
      </c>
      <c r="F396" s="252">
        <f>IF(ISBLANK('1E'!I17),"##BLANK",'1E'!I17)</f>
        <v>0.58266800323883206</v>
      </c>
    </row>
    <row r="397" spans="2:6" ht="13.5" customHeight="1">
      <c r="B397" s="219" t="str">
        <f>'1E'!AD18</f>
        <v>FI00300CV</v>
      </c>
      <c r="C397" s="219" t="s">
        <v>991</v>
      </c>
      <c r="E397" s="249" t="s">
        <v>634</v>
      </c>
      <c r="F397" s="252">
        <f>IF(ISBLANK('1E'!I18),"##BLANK",'1E'!I18)</f>
        <v>0.58330000000000004</v>
      </c>
    </row>
    <row r="398" spans="2:6" ht="13.5" customHeight="1">
      <c r="B398" s="219" t="str">
        <f>'1E'!Z21</f>
        <v>BO130FXI</v>
      </c>
      <c r="C398" s="219" t="s">
        <v>992</v>
      </c>
      <c r="E398" s="249" t="s">
        <v>634</v>
      </c>
      <c r="F398" s="252">
        <f>IF(ISBLANK('1E'!E21),"##BLANK",'1E'!E21)</f>
        <v>20.103999999999999</v>
      </c>
    </row>
    <row r="399" spans="2:6" ht="13.5" customHeight="1">
      <c r="B399" s="219" t="str">
        <f>'1E'!AA21</f>
        <v>BO130FRI</v>
      </c>
      <c r="C399" s="219" t="s">
        <v>993</v>
      </c>
      <c r="E399" s="249" t="s">
        <v>634</v>
      </c>
      <c r="F399" s="252">
        <f>IF(ISBLANK('1E'!F21),"##BLANK",'1E'!F21)</f>
        <v>10.276999999999999</v>
      </c>
    </row>
    <row r="400" spans="2:6" ht="13.5" customHeight="1">
      <c r="B400" s="219" t="str">
        <f>'1E'!AB21</f>
        <v>BO130ILIR</v>
      </c>
      <c r="C400" s="219" t="s">
        <v>994</v>
      </c>
      <c r="E400" s="249" t="s">
        <v>634</v>
      </c>
      <c r="F400" s="252">
        <f>IF(ISBLANK('1E'!G21),"##BLANK",'1E'!G21)</f>
        <v>593.32299999999998</v>
      </c>
    </row>
    <row r="401" spans="2:6" ht="13.5" customHeight="1">
      <c r="B401" s="219" t="str">
        <f>'1E'!AC21</f>
        <v>BO130ILIC</v>
      </c>
      <c r="C401" s="219" t="s">
        <v>995</v>
      </c>
      <c r="E401" s="249" t="s">
        <v>634</v>
      </c>
      <c r="F401" s="252">
        <f>IF(ISBLANK('1E'!H21),"##BLANK",'1E'!H21)</f>
        <v>0</v>
      </c>
    </row>
    <row r="402" spans="2:6" ht="13.5" customHeight="1">
      <c r="B402" s="219" t="str">
        <f>'1E'!AD21</f>
        <v>BO160TLI</v>
      </c>
      <c r="C402" s="219" t="s">
        <v>996</v>
      </c>
      <c r="E402" s="249" t="s">
        <v>634</v>
      </c>
      <c r="F402" s="252">
        <f>IF(ISBLANK('1E'!I21),"##BLANK",'1E'!I21)</f>
        <v>623.70399999999995</v>
      </c>
    </row>
    <row r="403" spans="2:6" ht="13.5" customHeight="1">
      <c r="B403" s="219" t="str">
        <f>'1E'!Z22</f>
        <v>BO135FXI</v>
      </c>
      <c r="C403" s="219" t="s">
        <v>997</v>
      </c>
      <c r="E403" s="249" t="s">
        <v>634</v>
      </c>
      <c r="F403" s="252">
        <f>IF(ISBLANK('1E'!E22),"##BLANK",'1E'!E22)</f>
        <v>20.103999999999999</v>
      </c>
    </row>
    <row r="404" spans="2:6" ht="13.5" customHeight="1">
      <c r="B404" s="219" t="str">
        <f>'1E'!AA22</f>
        <v>BO135FRI</v>
      </c>
      <c r="C404" s="219" t="s">
        <v>998</v>
      </c>
      <c r="E404" s="249" t="s">
        <v>634</v>
      </c>
      <c r="F404" s="252">
        <f>IF(ISBLANK('1E'!F22),"##BLANK",'1E'!F22)</f>
        <v>10.276</v>
      </c>
    </row>
    <row r="405" spans="2:6" ht="13.5" customHeight="1">
      <c r="B405" s="219" t="str">
        <f>'1E'!AB22</f>
        <v>BO135ILIR</v>
      </c>
      <c r="C405" s="219" t="s">
        <v>999</v>
      </c>
      <c r="E405" s="249" t="s">
        <v>634</v>
      </c>
      <c r="F405" s="252">
        <f>IF(ISBLANK('1E'!G22),"##BLANK",'1E'!G22)</f>
        <v>73.712999999999994</v>
      </c>
    </row>
    <row r="406" spans="2:6" ht="13.5" customHeight="1">
      <c r="B406" s="219" t="str">
        <f>'1E'!AC22</f>
        <v>BO135ILIC</v>
      </c>
      <c r="C406" s="219" t="s">
        <v>1000</v>
      </c>
      <c r="E406" s="249" t="s">
        <v>634</v>
      </c>
      <c r="F406" s="252">
        <f>IF(ISBLANK('1E'!H22),"##BLANK",'1E'!H22)</f>
        <v>0</v>
      </c>
    </row>
    <row r="407" spans="2:6" ht="13.5" customHeight="1">
      <c r="B407" s="219" t="str">
        <f>'1E'!AD22</f>
        <v>BO165TLI</v>
      </c>
      <c r="C407" s="219" t="s">
        <v>1001</v>
      </c>
      <c r="E407" s="249" t="s">
        <v>634</v>
      </c>
      <c r="F407" s="252">
        <f>IF(ISBLANK('1E'!I22),"##BLANK",'1E'!I22)</f>
        <v>104.09299999999999</v>
      </c>
    </row>
    <row r="408" spans="2:6" ht="13.5" customHeight="1">
      <c r="B408" s="219" t="str">
        <f>'1E'!Z25</f>
        <v>FI00500FX</v>
      </c>
      <c r="C408" s="219" t="s">
        <v>1002</v>
      </c>
      <c r="E408" s="249" t="s">
        <v>634</v>
      </c>
      <c r="F408" s="252">
        <f>IF(ISBLANK('1E'!E25),"##BLANK",'1E'!E25)</f>
        <v>4.0613156852763163E-2</v>
      </c>
    </row>
    <row r="409" spans="2:6" ht="13.5" customHeight="1">
      <c r="B409" s="219" t="str">
        <f>'1E'!AA25</f>
        <v>FI00500FR</v>
      </c>
      <c r="C409" s="219" t="s">
        <v>1003</v>
      </c>
      <c r="E409" s="249" t="s">
        <v>634</v>
      </c>
      <c r="F409" s="252">
        <f>IF(ISBLANK('1E'!F25),"##BLANK",'1E'!F25)</f>
        <v>5.7656919728013283E-2</v>
      </c>
    </row>
    <row r="410" spans="2:6" ht="13.5" customHeight="1">
      <c r="B410" s="219" t="str">
        <f>'1E'!AB25</f>
        <v>FI00500ILR</v>
      </c>
      <c r="C410" s="219" t="s">
        <v>1004</v>
      </c>
      <c r="E410" s="249" t="s">
        <v>634</v>
      </c>
      <c r="F410" s="252">
        <f>IF(ISBLANK('1E'!G25),"##BLANK",'1E'!G25)</f>
        <v>0.15534797330202582</v>
      </c>
    </row>
    <row r="411" spans="2:6" ht="13.5" customHeight="1">
      <c r="B411" s="219" t="str">
        <f>'1E'!AC25</f>
        <v>FI00500ILC</v>
      </c>
      <c r="C411" s="219" t="s">
        <v>1005</v>
      </c>
      <c r="E411" s="249" t="s">
        <v>634</v>
      </c>
      <c r="F411" s="252">
        <f>IF(ISBLANK('1E'!H25),"##BLANK",'1E'!H25)</f>
        <v>0</v>
      </c>
    </row>
    <row r="412" spans="2:6" ht="13.5" customHeight="1">
      <c r="B412" s="219" t="str">
        <f>'1E'!AD25</f>
        <v>FI00500</v>
      </c>
      <c r="C412" s="219" t="s">
        <v>1006</v>
      </c>
      <c r="E412" s="249" t="s">
        <v>634</v>
      </c>
      <c r="F412" s="252">
        <f>IF(ISBLANK('1E'!I25),"##BLANK",'1E'!I25)</f>
        <v>0.13883005102644988</v>
      </c>
    </row>
    <row r="413" spans="2:6" ht="13.5" customHeight="1">
      <c r="B413" s="219" t="str">
        <f>'1E'!Z26</f>
        <v>FI00510FX</v>
      </c>
      <c r="C413" s="219" t="s">
        <v>1007</v>
      </c>
      <c r="E413" s="249" t="s">
        <v>634</v>
      </c>
      <c r="F413" s="252">
        <f>IF(ISBLANK('1E'!E26),"##BLANK",'1E'!E26)</f>
        <v>4.0613156852763163E-2</v>
      </c>
    </row>
    <row r="414" spans="2:6" ht="13.5" customHeight="1">
      <c r="B414" s="219" t="str">
        <f>'1E'!AA26</f>
        <v>FI00510FR</v>
      </c>
      <c r="C414" s="219" t="s">
        <v>1008</v>
      </c>
      <c r="E414" s="249" t="s">
        <v>634</v>
      </c>
      <c r="F414" s="252">
        <f>IF(ISBLANK('1E'!F26),"##BLANK",'1E'!F26)</f>
        <v>5.7651309440990998E-2</v>
      </c>
    </row>
    <row r="415" spans="2:6" ht="13.5" customHeight="1">
      <c r="B415" s="219" t="str">
        <f>'1E'!AB26</f>
        <v>FI00510ILR</v>
      </c>
      <c r="C415" s="219" t="s">
        <v>1009</v>
      </c>
      <c r="E415" s="249" t="s">
        <v>634</v>
      </c>
      <c r="F415" s="252">
        <f>IF(ISBLANK('1E'!G26),"##BLANK",'1E'!G26)</f>
        <v>1.9300052679589747E-2</v>
      </c>
    </row>
    <row r="416" spans="2:6" ht="13.5" customHeight="1">
      <c r="B416" s="219" t="str">
        <f>'1E'!AC26</f>
        <v>FI00510ILC</v>
      </c>
      <c r="C416" s="219" t="s">
        <v>1010</v>
      </c>
      <c r="E416" s="249" t="s">
        <v>634</v>
      </c>
      <c r="F416" s="252">
        <f>IF(ISBLANK('1E'!H26),"##BLANK",'1E'!H26)</f>
        <v>0</v>
      </c>
    </row>
    <row r="417" spans="2:6" ht="13.5" customHeight="1">
      <c r="B417" s="219" t="str">
        <f>'1E'!AD26</f>
        <v>FI00510</v>
      </c>
      <c r="C417" s="219" t="s">
        <v>1011</v>
      </c>
      <c r="E417" s="249" t="s">
        <v>634</v>
      </c>
      <c r="F417" s="252">
        <f>IF(ISBLANK('1E'!I26),"##BLANK",'1E'!I26)</f>
        <v>2.317002376367034E-2</v>
      </c>
    </row>
    <row r="418" spans="2:6" ht="13.5" customHeight="1">
      <c r="B418" s="219" t="str">
        <f>'1E'!Z29</f>
        <v>FI00560FX</v>
      </c>
      <c r="C418" s="219" t="s">
        <v>1012</v>
      </c>
      <c r="E418" s="249" t="s">
        <v>634</v>
      </c>
      <c r="F418" s="252">
        <f>IF(ISBLANK('1E'!E29),"##BLANK",'1E'!E29)</f>
        <v>9.6479999999999997</v>
      </c>
    </row>
    <row r="419" spans="2:6" ht="13.5" customHeight="1">
      <c r="B419" s="219" t="str">
        <f>'1E'!AA29</f>
        <v>FI00560FR</v>
      </c>
      <c r="C419" s="219" t="s">
        <v>1013</v>
      </c>
      <c r="E419" s="249" t="s">
        <v>634</v>
      </c>
      <c r="F419" s="252">
        <f>IF(ISBLANK('1E'!F29),"##BLANK",'1E'!F29)</f>
        <v>4.7050000000000001</v>
      </c>
    </row>
    <row r="420" spans="2:6" ht="13.5" customHeight="1">
      <c r="B420" s="219" t="str">
        <f>'1E'!AB29</f>
        <v>FI00560ILR</v>
      </c>
      <c r="C420" s="219" t="s">
        <v>1014</v>
      </c>
      <c r="E420" s="249" t="s">
        <v>634</v>
      </c>
      <c r="F420" s="252">
        <f>IF(ISBLANK('1E'!G29),"##BLANK",'1E'!G29)</f>
        <v>10.391</v>
      </c>
    </row>
    <row r="421" spans="2:6" ht="13.5" customHeight="1">
      <c r="B421" s="219" t="str">
        <f>'1E'!AC29</f>
        <v>FI00560ILC</v>
      </c>
      <c r="C421" s="219" t="s">
        <v>1015</v>
      </c>
      <c r="E421" s="249" t="s">
        <v>634</v>
      </c>
      <c r="F421" s="252">
        <f>IF(ISBLANK('1E'!H29),"##BLANK",'1E'!H29)</f>
        <v>0</v>
      </c>
    </row>
    <row r="422" spans="2:6" ht="13.5" customHeight="1">
      <c r="B422" s="219" t="str">
        <f>'1E'!AD29</f>
        <v>FI00560</v>
      </c>
      <c r="C422" s="219" t="s">
        <v>1016</v>
      </c>
      <c r="E422" s="249" t="s">
        <v>634</v>
      </c>
      <c r="F422" s="252">
        <f>IF(ISBLANK('1E'!I29),"##BLANK",'1E'!I29)</f>
        <v>10.084</v>
      </c>
    </row>
    <row r="423" spans="2:6" ht="13.5" customHeight="1">
      <c r="B423" s="219" t="str">
        <f>'1F'!AP10</f>
        <v>CR12504NNP</v>
      </c>
      <c r="C423" s="219" t="s">
        <v>1017</v>
      </c>
      <c r="E423" s="249" t="s">
        <v>634</v>
      </c>
      <c r="F423" s="252">
        <f>IF(ISBLANK('1F'!E10),"##BLANK",'1F'!E10)</f>
        <v>2352.9388589634209</v>
      </c>
    </row>
    <row r="424" spans="2:6" ht="13.5" customHeight="1">
      <c r="B424" s="219" t="str">
        <f>'1F'!AR10</f>
        <v>CR12504AAP</v>
      </c>
      <c r="C424" s="219" t="s">
        <v>1018</v>
      </c>
      <c r="E424" s="249" t="s">
        <v>634</v>
      </c>
      <c r="F424" s="252">
        <f>IF(ISBLANK('1F'!G10),"##BLANK",'1F'!G10)</f>
        <v>2205.875</v>
      </c>
    </row>
    <row r="425" spans="2:6" ht="13.5" customHeight="1">
      <c r="B425" s="219" t="str">
        <f>'1F'!AV10</f>
        <v>CR12504NNPA</v>
      </c>
      <c r="C425" s="219" t="s">
        <v>1017</v>
      </c>
      <c r="E425" s="249" t="s">
        <v>634</v>
      </c>
      <c r="F425" s="252">
        <f>IF(ISBLANK('1F'!K10),"##BLANK",'1F'!K10)</f>
        <v>2312.4549999999999</v>
      </c>
    </row>
    <row r="426" spans="2:6" ht="13.5" customHeight="1">
      <c r="B426" s="254" t="str">
        <f>'1F'!AX10</f>
        <v>CR12504AAPA</v>
      </c>
      <c r="C426" s="219" t="s">
        <v>1018</v>
      </c>
      <c r="E426" s="249" t="s">
        <v>634</v>
      </c>
      <c r="F426" s="255">
        <f>IF(ISBLANK('1F'!M10),"##BLANK",'1F'!M10)</f>
        <v>2249.2739999999999</v>
      </c>
    </row>
    <row r="427" spans="2:6" ht="13.5" customHeight="1">
      <c r="B427" s="254" t="str">
        <f>'1F'!AP13</f>
        <v>CR12501NNP</v>
      </c>
      <c r="C427" s="219" t="s">
        <v>1019</v>
      </c>
      <c r="E427" s="249" t="s">
        <v>634</v>
      </c>
      <c r="F427" s="255">
        <f>IF(ISBLANK('1F'!E13),"##BLANK",'1F'!E13)</f>
        <v>3.8293423593798448E-2</v>
      </c>
    </row>
    <row r="428" spans="2:6" ht="13.5" customHeight="1">
      <c r="B428" s="254" t="str">
        <f>'1F'!AQ13</f>
        <v>CR12501ANP</v>
      </c>
      <c r="C428" s="219" t="s">
        <v>1020</v>
      </c>
      <c r="E428" s="249" t="s">
        <v>634</v>
      </c>
      <c r="F428" s="255">
        <f>IF(ISBLANK('1F'!F13),"##BLANK",'1F'!F13)</f>
        <v>3.5900000311603224E-2</v>
      </c>
    </row>
    <row r="429" spans="2:6" ht="13.5" customHeight="1">
      <c r="B429" s="254" t="str">
        <f>'1F'!AS13</f>
        <v>CR12501NNV</v>
      </c>
      <c r="C429" s="219" t="s">
        <v>1019</v>
      </c>
      <c r="E429" s="249" t="s">
        <v>634</v>
      </c>
      <c r="F429" s="255">
        <f>IF(ISBLANK('1F'!H13),"##BLANK",'1F'!H13)</f>
        <v>90.102084416595062</v>
      </c>
    </row>
    <row r="430" spans="2:6" ht="13.5" customHeight="1">
      <c r="B430" s="254" t="str">
        <f>'1F'!AU13</f>
        <v>CR12501AAV</v>
      </c>
      <c r="C430" s="219" t="s">
        <v>1021</v>
      </c>
      <c r="E430" s="249" t="s">
        <v>634</v>
      </c>
      <c r="F430" s="255">
        <f>IF(ISBLANK('1F'!J13),"##BLANK",'1F'!J13)</f>
        <v>84.470505769970146</v>
      </c>
    </row>
    <row r="431" spans="2:6" ht="13.5" customHeight="1">
      <c r="B431" s="254" t="str">
        <f>'1F'!AV13</f>
        <v>CR12501NNPA</v>
      </c>
      <c r="C431" s="219" t="s">
        <v>1019</v>
      </c>
      <c r="E431" s="249" t="s">
        <v>634</v>
      </c>
      <c r="F431" s="255">
        <f>IF(ISBLANK('1F'!K13),"##BLANK",'1F'!K13)</f>
        <v>3.8100000000000002E-2</v>
      </c>
    </row>
    <row r="432" spans="2:6" ht="13.5" customHeight="1">
      <c r="B432" s="254" t="str">
        <f>'1F'!AW13</f>
        <v>CR12501ANPA</v>
      </c>
      <c r="C432" s="219" t="s">
        <v>1020</v>
      </c>
      <c r="E432" s="249" t="s">
        <v>634</v>
      </c>
      <c r="F432" s="255">
        <f>IF(ISBLANK('1F'!L13),"##BLANK",'1F'!L13)</f>
        <v>3.705903007842315E-2</v>
      </c>
    </row>
    <row r="433" spans="2:6" ht="13.5" customHeight="1">
      <c r="B433" s="254" t="str">
        <f>'1F'!AY13</f>
        <v>CR12501NNVA</v>
      </c>
      <c r="C433" s="219" t="s">
        <v>1019</v>
      </c>
      <c r="E433" s="249" t="s">
        <v>634</v>
      </c>
      <c r="F433" s="255">
        <f>IF(ISBLANK('1F'!N13),"##BLANK",'1F'!N13)</f>
        <v>88.104535499999997</v>
      </c>
    </row>
    <row r="434" spans="2:6" ht="13.5" customHeight="1">
      <c r="B434" s="254" t="str">
        <f>'1F'!BA13</f>
        <v>CR12501AAVA</v>
      </c>
      <c r="C434" s="219" t="s">
        <v>1021</v>
      </c>
      <c r="E434" s="249" t="s">
        <v>634</v>
      </c>
      <c r="F434" s="255">
        <f>IF(ISBLANK('1F'!P13),"##BLANK",'1F'!P13)</f>
        <v>85.697339400000004</v>
      </c>
    </row>
    <row r="435" spans="2:6" ht="13.5" customHeight="1">
      <c r="B435" s="2208" t="str">
        <f>'1F'!AQ17</f>
        <v>CR12505ANP</v>
      </c>
      <c r="C435" s="219" t="s">
        <v>1022</v>
      </c>
      <c r="E435" s="249" t="s">
        <v>634</v>
      </c>
      <c r="F435" s="255">
        <f>IF(ISBLANK('1F'!F17),"##BLANK",'1F'!F17)</f>
        <v>2.3934232821952242E-3</v>
      </c>
    </row>
    <row r="436" spans="2:6" ht="13.5" customHeight="1">
      <c r="B436" s="2208" t="str">
        <f>'1F'!AR17</f>
        <v>CR12505AAP</v>
      </c>
      <c r="C436" s="219" t="s">
        <v>1023</v>
      </c>
      <c r="E436" s="249" t="s">
        <v>634</v>
      </c>
      <c r="F436" s="255">
        <f>IF(ISBLANK('1F'!G17),"##BLANK",'1F'!G17)</f>
        <v>-8.4818949396497987E-4</v>
      </c>
    </row>
    <row r="437" spans="2:6" ht="13.5" customHeight="1">
      <c r="B437" s="2208" t="str">
        <f>'1F'!AT17</f>
        <v>CR12505ANV</v>
      </c>
      <c r="C437" s="219" t="s">
        <v>1022</v>
      </c>
      <c r="E437" s="249" t="s">
        <v>634</v>
      </c>
      <c r="F437" s="255">
        <f>IF(ISBLANK('1F'!I17),"##BLANK",'1F'!I17)</f>
        <v>5.6315786466249165</v>
      </c>
    </row>
    <row r="438" spans="2:6" ht="13.5" customHeight="1">
      <c r="B438" s="2208" t="str">
        <f>'1F'!AU17</f>
        <v>CR12505AAV</v>
      </c>
      <c r="C438" s="219" t="s">
        <v>1023</v>
      </c>
      <c r="E438" s="249" t="s">
        <v>634</v>
      </c>
      <c r="F438" s="255">
        <f>IF(ISBLANK('1F'!J17),"##BLANK",'1F'!J17)</f>
        <v>-1.871</v>
      </c>
    </row>
    <row r="439" spans="2:6" ht="13.5" customHeight="1">
      <c r="B439" s="2208" t="str">
        <f>'1F'!AW17</f>
        <v>CR12505ANPA</v>
      </c>
      <c r="C439" s="219" t="s">
        <v>1024</v>
      </c>
      <c r="E439" s="249" t="s">
        <v>634</v>
      </c>
      <c r="F439" s="255">
        <f>IF(ISBLANK('1F'!L17),"##BLANK",'1F'!L17)</f>
        <v>1.0409699215768523E-3</v>
      </c>
    </row>
    <row r="440" spans="2:6" ht="13.5" customHeight="1">
      <c r="B440" s="2208" t="str">
        <f>'1F'!AX17</f>
        <v>CR12505AAPA</v>
      </c>
      <c r="C440" s="219" t="s">
        <v>1025</v>
      </c>
      <c r="E440" s="249" t="s">
        <v>634</v>
      </c>
      <c r="F440" s="255">
        <f>IF(ISBLANK('1F'!M17),"##BLANK",'1F'!M17)</f>
        <v>-4.3338811129370428E-4</v>
      </c>
    </row>
    <row r="441" spans="2:6" ht="13.5" customHeight="1">
      <c r="B441" s="2208" t="str">
        <f>'1F'!AZ17</f>
        <v>CR12505ANVA</v>
      </c>
      <c r="C441" s="219" t="s">
        <v>1024</v>
      </c>
      <c r="E441" s="249" t="s">
        <v>634</v>
      </c>
      <c r="F441" s="255">
        <f>IF(ISBLANK('1F'!O17),"##BLANK",'1F'!O17)</f>
        <v>2.4071960999999931</v>
      </c>
    </row>
    <row r="442" spans="2:6" ht="13.5" customHeight="1">
      <c r="B442" s="2208" t="str">
        <f>'1F'!BA17</f>
        <v>CR12505AAVA</v>
      </c>
      <c r="C442" s="219" t="s">
        <v>1025</v>
      </c>
      <c r="E442" s="249" t="s">
        <v>634</v>
      </c>
      <c r="F442" s="255">
        <f>IF(ISBLANK('1F'!P17),"##BLANK",'1F'!P17)</f>
        <v>-0.95599999999999996</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2.4211423846813029E-2</v>
      </c>
    </row>
    <row r="450" spans="2:6" ht="13.5" customHeight="1">
      <c r="B450" s="254" t="str">
        <f>'1F'!AR19</f>
        <v>CR12506AAP</v>
      </c>
      <c r="C450" s="219" t="s">
        <v>1031</v>
      </c>
      <c r="E450" s="249" t="s">
        <v>634</v>
      </c>
      <c r="F450" s="255">
        <f>IF(ISBLANK('1F'!G19),"##BLANK",'1F'!G19)</f>
        <v>2.5825579418598064E-2</v>
      </c>
    </row>
    <row r="451" spans="2:6" ht="13.5" customHeight="1">
      <c r="B451" s="254" t="str">
        <f>'1F'!AU19</f>
        <v>CR12506AAV</v>
      </c>
      <c r="C451" s="219" t="s">
        <v>1031</v>
      </c>
      <c r="E451" s="249" t="s">
        <v>634</v>
      </c>
      <c r="F451" s="255">
        <f>IF(ISBLANK('1F'!J19),"##BLANK",'1F'!J19)</f>
        <v>56.968000000000004</v>
      </c>
    </row>
    <row r="452" spans="2:6" ht="13.5" customHeight="1">
      <c r="B452" s="254" t="str">
        <f>'1F'!AW19</f>
        <v>CR12506ANPA</v>
      </c>
      <c r="C452" s="219" t="s">
        <v>1030</v>
      </c>
      <c r="E452" s="249" t="s">
        <v>634</v>
      </c>
      <c r="F452" s="255">
        <f>IF(ISBLANK('1F'!L19),"##BLANK",'1F'!L19)</f>
        <v>8.7817836495347832E-3</v>
      </c>
    </row>
    <row r="453" spans="2:6" ht="13.5" customHeight="1">
      <c r="B453" s="254" t="str">
        <f>'1F'!AX19</f>
        <v>CR12506AAPA</v>
      </c>
      <c r="C453" s="219" t="s">
        <v>1031</v>
      </c>
      <c r="E453" s="249" t="s">
        <v>634</v>
      </c>
      <c r="F453" s="255">
        <f>IF(ISBLANK('1F'!M19),"##BLANK",'1F'!M19)</f>
        <v>9.3672578908596364E-3</v>
      </c>
    </row>
    <row r="454" spans="2:6" ht="13.5" customHeight="1">
      <c r="B454" s="254" t="str">
        <f>'1F'!BA19</f>
        <v>CR12506AAVA</v>
      </c>
      <c r="C454" s="219" t="s">
        <v>1031</v>
      </c>
      <c r="E454" s="249" t="s">
        <v>634</v>
      </c>
      <c r="F454" s="255">
        <f>IF(ISBLANK('1F'!P19),"##BLANK",'1F'!P19)</f>
        <v>20.663</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-2.3536523182075999E-3</v>
      </c>
    </row>
    <row r="462" spans="2:6" ht="13.5" customHeight="1">
      <c r="B462" s="254" t="str">
        <f>'1F'!AR21</f>
        <v>CR12508AAP</v>
      </c>
      <c r="C462" s="219" t="s">
        <v>1035</v>
      </c>
      <c r="E462" s="249" t="s">
        <v>634</v>
      </c>
      <c r="F462" s="255">
        <f>IF(ISBLANK('1F'!G21),"##BLANK",'1F'!G21)</f>
        <v>-1.6088853629512099E-3</v>
      </c>
    </row>
    <row r="463" spans="2:6" ht="13.5" customHeight="1">
      <c r="B463" s="254" t="str">
        <f>'1F'!AT21</f>
        <v>CR12508ANV</v>
      </c>
      <c r="C463" s="219" t="s">
        <v>1034</v>
      </c>
      <c r="E463" s="249" t="s">
        <v>634</v>
      </c>
      <c r="F463" s="255">
        <f>IF(ISBLANK('1F'!I21),"##BLANK",'1F'!I21)</f>
        <v>-5.5380000000000003</v>
      </c>
    </row>
    <row r="464" spans="2:6" ht="13.5" customHeight="1">
      <c r="B464" s="254" t="str">
        <f>'1F'!AU21</f>
        <v>CR12508AAV</v>
      </c>
      <c r="C464" s="219" t="s">
        <v>1035</v>
      </c>
      <c r="E464" s="249" t="s">
        <v>634</v>
      </c>
      <c r="F464" s="255">
        <f>IF(ISBLANK('1F'!J21),"##BLANK",'1F'!J21)</f>
        <v>-3.5489999999999999</v>
      </c>
    </row>
    <row r="465" spans="2:6" ht="13.5" customHeight="1">
      <c r="B465" s="254" t="str">
        <f>'1F'!AW21</f>
        <v>CR12508ANPA</v>
      </c>
      <c r="C465" s="219" t="s">
        <v>1034</v>
      </c>
      <c r="E465" s="249" t="s">
        <v>634</v>
      </c>
      <c r="F465" s="255">
        <f>IF(ISBLANK('1F'!L21),"##BLANK",'1F'!L21)</f>
        <v>8.4825833548402823E-3</v>
      </c>
    </row>
    <row r="466" spans="2:6" ht="13.5" customHeight="1">
      <c r="B466" s="254" t="str">
        <f>'1F'!AX21</f>
        <v>CR12508AAPA</v>
      </c>
      <c r="C466" s="219" t="s">
        <v>1035</v>
      </c>
      <c r="E466" s="249" t="s">
        <v>634</v>
      </c>
      <c r="F466" s="255">
        <f>IF(ISBLANK('1F'!M21),"##BLANK",'1F'!M21)</f>
        <v>9.2992576641922151E-3</v>
      </c>
    </row>
    <row r="467" spans="2:6" ht="13.5" customHeight="1">
      <c r="B467" s="254" t="str">
        <f>'1F'!AZ21</f>
        <v>CR12508ANVA</v>
      </c>
      <c r="C467" s="219" t="s">
        <v>1034</v>
      </c>
      <c r="E467" s="249" t="s">
        <v>634</v>
      </c>
      <c r="F467" s="255">
        <f>IF(ISBLANK('1F'!O21),"##BLANK",'1F'!O21)</f>
        <v>19.959</v>
      </c>
    </row>
    <row r="468" spans="2:6" ht="13.5" customHeight="1">
      <c r="B468" s="254" t="str">
        <f>'1F'!BA21</f>
        <v>CR12508AAVA</v>
      </c>
      <c r="C468" s="219" t="s">
        <v>1035</v>
      </c>
      <c r="E468" s="249" t="s">
        <v>634</v>
      </c>
      <c r="F468" s="255">
        <f>IF(ISBLANK('1F'!P21),"##BLANK",'1F'!P21)</f>
        <v>20.513000000000002</v>
      </c>
    </row>
    <row r="469" spans="2:6" ht="13.5" customHeight="1">
      <c r="B469" s="254" t="str">
        <f>'1F'!AQ22</f>
        <v>CR12509ANP</v>
      </c>
      <c r="C469" s="219" t="s">
        <v>1036</v>
      </c>
      <c r="E469" s="249" t="s">
        <v>634</v>
      </c>
      <c r="F469" s="255">
        <f>IF(ISBLANK('1F'!F22),"##BLANK",'1F'!F22)</f>
        <v>-2.286842252403657E-2</v>
      </c>
    </row>
    <row r="470" spans="2:6" ht="13.5" customHeight="1">
      <c r="B470" s="254" t="str">
        <f>'1F'!AR22</f>
        <v>CR12509AAP</v>
      </c>
      <c r="C470" s="219" t="s">
        <v>1037</v>
      </c>
      <c r="E470" s="249" t="s">
        <v>634</v>
      </c>
      <c r="F470" s="255">
        <f>IF(ISBLANK('1F'!G22),"##BLANK",'1F'!G22)</f>
        <v>-2.4393041310137701E-2</v>
      </c>
    </row>
    <row r="471" spans="2:6" ht="13.5" customHeight="1">
      <c r="B471" s="254" t="str">
        <f>'1F'!AT22</f>
        <v>CR12509ANV</v>
      </c>
      <c r="C471" s="219" t="s">
        <v>1036</v>
      </c>
      <c r="E471" s="249" t="s">
        <v>634</v>
      </c>
      <c r="F471" s="255">
        <f>IF(ISBLANK('1F'!I22),"##BLANK",'1F'!I22)</f>
        <v>-53.808</v>
      </c>
    </row>
    <row r="472" spans="2:6" ht="13.5" customHeight="1">
      <c r="B472" s="254" t="str">
        <f>'1F'!AU22</f>
        <v>CR12509AAV</v>
      </c>
      <c r="C472" s="219" t="s">
        <v>1037</v>
      </c>
      <c r="E472" s="249" t="s">
        <v>634</v>
      </c>
      <c r="F472" s="255">
        <f>IF(ISBLANK('1F'!J22),"##BLANK",'1F'!J22)</f>
        <v>-53.808</v>
      </c>
    </row>
    <row r="473" spans="2:6" ht="13.5" customHeight="1">
      <c r="B473" s="254" t="str">
        <f>'1F'!AW22</f>
        <v>CR12509ANPA</v>
      </c>
      <c r="C473" s="219" t="s">
        <v>1036</v>
      </c>
      <c r="E473" s="249" t="s">
        <v>634</v>
      </c>
      <c r="F473" s="255">
        <f>IF(ISBLANK('1F'!L22),"##BLANK",'1F'!L22)</f>
        <v>-1.6769241516705898E-2</v>
      </c>
    </row>
    <row r="474" spans="2:6" ht="13.5" customHeight="1">
      <c r="B474" s="254" t="str">
        <f>'1F'!AX22</f>
        <v>CR12509AAPA</v>
      </c>
      <c r="C474" s="219" t="s">
        <v>1037</v>
      </c>
      <c r="E474" s="249" t="s">
        <v>634</v>
      </c>
      <c r="F474" s="255">
        <f>IF(ISBLANK('1F'!M22),"##BLANK",'1F'!M22)</f>
        <v>-1.788723295744319E-2</v>
      </c>
    </row>
    <row r="475" spans="2:6" ht="13.5" customHeight="1">
      <c r="B475" s="254" t="str">
        <f>'1F'!AZ22</f>
        <v>CR12509ANVA</v>
      </c>
      <c r="C475" s="219" t="s">
        <v>1036</v>
      </c>
      <c r="E475" s="249" t="s">
        <v>634</v>
      </c>
      <c r="F475" s="255">
        <f>IF(ISBLANK('1F'!O22),"##BLANK",'1F'!O22)</f>
        <v>-39.457000000000001</v>
      </c>
    </row>
    <row r="476" spans="2:6" ht="13.5" customHeight="1">
      <c r="B476" s="254" t="str">
        <f>'1F'!BA22</f>
        <v>CR12509AAVA</v>
      </c>
      <c r="C476" s="219" t="s">
        <v>1037</v>
      </c>
      <c r="E476" s="249" t="s">
        <v>634</v>
      </c>
      <c r="F476" s="255">
        <f>IF(ISBLANK('1F'!P22),"##BLANK",'1F'!P22)</f>
        <v>-39.457000000000001</v>
      </c>
    </row>
    <row r="477" spans="2:6" ht="13.5" customHeight="1">
      <c r="B477" s="254" t="str">
        <f>'1F'!AP24</f>
        <v>CR12510NNP</v>
      </c>
      <c r="C477" s="219" t="s">
        <v>1038</v>
      </c>
      <c r="E477" s="249" t="s">
        <v>634</v>
      </c>
      <c r="F477" s="255">
        <f>IF(ISBLANK('1F'!E24),"##BLANK",'1F'!E24)</f>
        <v>3.8293423593798448E-2</v>
      </c>
    </row>
    <row r="478" spans="2:6" ht="13.5" customHeight="1">
      <c r="B478" s="254" t="str">
        <f>'1F'!AQ24</f>
        <v>CR12510ANP</v>
      </c>
      <c r="C478" s="219" t="s">
        <v>1039</v>
      </c>
      <c r="E478" s="249" t="s">
        <v>634</v>
      </c>
      <c r="F478" s="255">
        <f>IF(ISBLANK('1F'!F24),"##BLANK",'1F'!F24)</f>
        <v>3.7282772598367306E-2</v>
      </c>
    </row>
    <row r="479" spans="2:6" ht="13.5" customHeight="1">
      <c r="B479" s="254" t="str">
        <f>'1F'!AR24</f>
        <v>CR12510AAP</v>
      </c>
      <c r="C479" s="219" t="s">
        <v>1040</v>
      </c>
      <c r="E479" s="249" t="s">
        <v>634</v>
      </c>
      <c r="F479" s="255">
        <f>IF(ISBLANK('1F'!G24),"##BLANK",'1F'!G24)</f>
        <v>3.7268886845342616E-2</v>
      </c>
    </row>
    <row r="480" spans="2:6" ht="13.5" customHeight="1">
      <c r="B480" s="254" t="str">
        <f>'1F'!AS24</f>
        <v>CR12510NNV</v>
      </c>
      <c r="C480" s="219" t="s">
        <v>1038</v>
      </c>
      <c r="E480" s="249" t="s">
        <v>634</v>
      </c>
      <c r="F480" s="255">
        <f>IF(ISBLANK('1F'!H24),"##BLANK",'1F'!H24)</f>
        <v>90.102084416595062</v>
      </c>
    </row>
    <row r="481" spans="2:6" ht="13.5" customHeight="1">
      <c r="B481" s="254" t="str">
        <f>'1F'!AT24</f>
        <v>CR12510ANV</v>
      </c>
      <c r="C481" s="219" t="s">
        <v>1039</v>
      </c>
      <c r="E481" s="249" t="s">
        <v>634</v>
      </c>
      <c r="F481" s="255">
        <f>IF(ISBLANK('1F'!I24),"##BLANK",'1F'!I24)</f>
        <v>87.724084416595076</v>
      </c>
    </row>
    <row r="482" spans="2:6" ht="13.5" customHeight="1">
      <c r="B482" s="254" t="str">
        <f>'1F'!AU24</f>
        <v>CR12510AAV</v>
      </c>
      <c r="C482" s="219" t="s">
        <v>1040</v>
      </c>
      <c r="E482" s="249" t="s">
        <v>634</v>
      </c>
      <c r="F482" s="255">
        <f>IF(ISBLANK('1F'!J24),"##BLANK",'1F'!J24)</f>
        <v>82.210505769970155</v>
      </c>
    </row>
    <row r="483" spans="2:6" ht="13.5" customHeight="1">
      <c r="B483" s="254" t="str">
        <f>'1F'!AV24</f>
        <v>CR12510NNPA</v>
      </c>
      <c r="C483" s="219" t="s">
        <v>1038</v>
      </c>
      <c r="E483" s="249" t="s">
        <v>634</v>
      </c>
      <c r="F483" s="255">
        <f>IF(ISBLANK('1F'!K24),"##BLANK",'1F'!K24)</f>
        <v>3.8100000000000002E-2</v>
      </c>
    </row>
    <row r="484" spans="2:6" ht="13.5" customHeight="1">
      <c r="B484" s="254" t="str">
        <f>'1F'!AW24</f>
        <v>CR12510ANPA</v>
      </c>
      <c r="C484" s="219" t="s">
        <v>1039</v>
      </c>
      <c r="E484" s="249" t="s">
        <v>634</v>
      </c>
      <c r="F484" s="255">
        <f>IF(ISBLANK('1F'!L24),"##BLANK",'1F'!L24)</f>
        <v>3.859512548766917E-2</v>
      </c>
    </row>
    <row r="485" spans="2:6" ht="13.5" customHeight="1">
      <c r="B485" s="254" t="str">
        <f>'1F'!AX24</f>
        <v>CR12510AAPA</v>
      </c>
      <c r="C485" s="219" t="s">
        <v>1040</v>
      </c>
      <c r="E485" s="249" t="s">
        <v>634</v>
      </c>
      <c r="F485" s="255">
        <f>IF(ISBLANK('1F'!M24),"##BLANK",'1F'!M24)</f>
        <v>3.8445894486314955E-2</v>
      </c>
    </row>
    <row r="486" spans="2:6" ht="13.5" customHeight="1">
      <c r="B486" s="254" t="str">
        <f>'1F'!AY24</f>
        <v>CR12510NNVA</v>
      </c>
      <c r="C486" s="219" t="s">
        <v>1038</v>
      </c>
      <c r="E486" s="249" t="s">
        <v>634</v>
      </c>
      <c r="F486" s="255">
        <f>IF(ISBLANK('1F'!N24),"##BLANK",'1F'!N24)</f>
        <v>88.104535499999997</v>
      </c>
    </row>
    <row r="487" spans="2:6" ht="13.5" customHeight="1">
      <c r="B487" s="254" t="str">
        <f>'1F'!AZ24</f>
        <v>CR12510ANVA</v>
      </c>
      <c r="C487" s="219" t="s">
        <v>1039</v>
      </c>
      <c r="E487" s="249" t="s">
        <v>634</v>
      </c>
      <c r="F487" s="255">
        <f>IF(ISBLANK('1F'!O24),"##BLANK",'1F'!O24)</f>
        <v>89.269535499999989</v>
      </c>
    </row>
    <row r="488" spans="2:6" ht="13.5" customHeight="1">
      <c r="B488" s="254" t="str">
        <f>'1F'!BA24</f>
        <v>CR12510AAVA</v>
      </c>
      <c r="C488" s="219" t="s">
        <v>1040</v>
      </c>
      <c r="E488" s="249" t="s">
        <v>634</v>
      </c>
      <c r="F488" s="255">
        <f>IF(ISBLANK('1F'!P24),"##BLANK",'1F'!P24)</f>
        <v>86.460339400000009</v>
      </c>
    </row>
    <row r="489" spans="2:6" ht="13.5" customHeight="1">
      <c r="B489" s="254" t="str">
        <f>'1F'!AQ28</f>
        <v>CR12511ANP</v>
      </c>
      <c r="C489" s="219" t="s">
        <v>1041</v>
      </c>
      <c r="E489" s="249" t="s">
        <v>634</v>
      </c>
      <c r="F489" s="255">
        <f>IF(ISBLANK('1F'!F28),"##BLANK",'1F'!F28)</f>
        <v>-2.935477891271197E-2</v>
      </c>
    </row>
    <row r="490" spans="2:6" ht="13.5" customHeight="1">
      <c r="B490" s="254" t="str">
        <f>'1F'!AR28</f>
        <v>CR12511AAP</v>
      </c>
      <c r="C490" s="219" t="s">
        <v>1042</v>
      </c>
      <c r="E490" s="249" t="s">
        <v>634</v>
      </c>
      <c r="F490" s="255">
        <f>IF(ISBLANK('1F'!G28),"##BLANK",'1F'!G28)</f>
        <v>-3.1311837706125681E-2</v>
      </c>
    </row>
    <row r="491" spans="2:6" ht="13.5" customHeight="1">
      <c r="B491" s="254" t="str">
        <f>'1F'!AU28</f>
        <v>CR12511AAV</v>
      </c>
      <c r="C491" s="219" t="s">
        <v>1042</v>
      </c>
      <c r="E491" s="249" t="s">
        <v>634</v>
      </c>
      <c r="F491" s="255">
        <f>IF(ISBLANK('1F'!J28),"##BLANK",'1F'!J28)</f>
        <v>-69.069999999999993</v>
      </c>
    </row>
    <row r="492" spans="2:6" ht="13.5" customHeight="1">
      <c r="B492" s="254" t="str">
        <f>'1F'!AW28</f>
        <v>CR12511ANPA</v>
      </c>
      <c r="C492" s="219" t="s">
        <v>1041</v>
      </c>
      <c r="E492" s="249" t="s">
        <v>634</v>
      </c>
      <c r="F492" s="255">
        <f>IF(ISBLANK('1F'!L28),"##BLANK",'1F'!L28)</f>
        <v>-1.907359378635588E-2</v>
      </c>
    </row>
    <row r="493" spans="2:6" ht="13.5" customHeight="1">
      <c r="B493" s="254" t="str">
        <f>'1F'!AX28</f>
        <v>CR12511AAPA</v>
      </c>
      <c r="C493" s="219" t="s">
        <v>1042</v>
      </c>
      <c r="E493" s="249" t="s">
        <v>634</v>
      </c>
      <c r="F493" s="255">
        <f>IF(ISBLANK('1F'!M28),"##BLANK",'1F'!M28)</f>
        <v>-2.0345214484048278E-2</v>
      </c>
    </row>
    <row r="494" spans="2:6" ht="13.5" customHeight="1">
      <c r="B494" s="254" t="str">
        <f>'1F'!BA28</f>
        <v>CR12511AAVA</v>
      </c>
      <c r="C494" s="219" t="s">
        <v>1042</v>
      </c>
      <c r="E494" s="249" t="s">
        <v>634</v>
      </c>
      <c r="F494" s="255">
        <f>IF(ISBLANK('1F'!P28),"##BLANK",'1F'!P28)</f>
        <v>-44.878999999999998</v>
      </c>
    </row>
    <row r="495" spans="2:6" ht="13.5" customHeight="1">
      <c r="B495" s="254" t="str">
        <f>'1F'!AQ29</f>
        <v>CR12512ANP</v>
      </c>
      <c r="C495" s="219" t="s">
        <v>1043</v>
      </c>
      <c r="E495" s="249" t="s">
        <v>634</v>
      </c>
      <c r="F495" s="255">
        <f>IF(ISBLANK('1F'!F29),"##BLANK",'1F'!F29)</f>
        <v>-8.6840335532567502E-3</v>
      </c>
    </row>
    <row r="496" spans="2:6" ht="13.5" customHeight="1">
      <c r="B496" s="254" t="str">
        <f>'1F'!AR29</f>
        <v>CR12512AAP</v>
      </c>
      <c r="C496" s="219" t="s">
        <v>1044</v>
      </c>
      <c r="E496" s="249" t="s">
        <v>634</v>
      </c>
      <c r="F496" s="255">
        <f>IF(ISBLANK('1F'!G29),"##BLANK",'1F'!G29)</f>
        <v>-9.2629908766362554E-3</v>
      </c>
    </row>
    <row r="497" spans="2:6" ht="13.5" customHeight="1">
      <c r="B497" s="254" t="str">
        <f>'1F'!AU29</f>
        <v>CR12512AAV</v>
      </c>
      <c r="C497" s="219" t="s">
        <v>1044</v>
      </c>
      <c r="E497" s="249" t="s">
        <v>634</v>
      </c>
      <c r="F497" s="255">
        <f>IF(ISBLANK('1F'!J29),"##BLANK",'1F'!J29)</f>
        <v>-20.433</v>
      </c>
    </row>
    <row r="498" spans="2:6" ht="13.5" customHeight="1">
      <c r="B498" s="254" t="str">
        <f>'1F'!AW29</f>
        <v>CR12512ANPA</v>
      </c>
      <c r="C498" s="219" t="s">
        <v>1043</v>
      </c>
      <c r="E498" s="249" t="s">
        <v>634</v>
      </c>
      <c r="F498" s="255">
        <f>IF(ISBLANK('1F'!L29),"##BLANK",'1F'!L29)</f>
        <v>-5.4276803459424447E-3</v>
      </c>
    </row>
    <row r="499" spans="2:6" ht="13.5" customHeight="1">
      <c r="B499" s="254" t="str">
        <f>'1F'!AX29</f>
        <v>CR12512AAPA</v>
      </c>
      <c r="C499" s="219" t="s">
        <v>1044</v>
      </c>
      <c r="E499" s="249" t="s">
        <v>634</v>
      </c>
      <c r="F499" s="255">
        <f>IF(ISBLANK('1F'!M29),"##BLANK",'1F'!M29)</f>
        <v>-5.7895392984643286E-3</v>
      </c>
    </row>
    <row r="500" spans="2:6" ht="13.5" customHeight="1">
      <c r="B500" s="254" t="str">
        <f>'1F'!BA29</f>
        <v>CR12512AAVA</v>
      </c>
      <c r="C500" s="219" t="s">
        <v>1044</v>
      </c>
      <c r="E500" s="249" t="s">
        <v>634</v>
      </c>
      <c r="F500" s="255">
        <f>IF(ISBLANK('1F'!P29),"##BLANK",'1F'!P29)</f>
        <v>-12.771000000000001</v>
      </c>
    </row>
    <row r="501" spans="2:6" ht="13.5" customHeight="1">
      <c r="B501" s="254" t="str">
        <f>'1F'!AQ30</f>
        <v>CR_CMEX_12512ANP</v>
      </c>
      <c r="C501" s="219" t="s">
        <v>1045</v>
      </c>
      <c r="E501" s="249" t="s">
        <v>634</v>
      </c>
      <c r="F501" s="255">
        <f>IF(ISBLANK('1F'!F30),"##BLANK",'1F'!F30)</f>
        <v>6.3410062455141543E-4</v>
      </c>
    </row>
    <row r="502" spans="2:6" ht="13.5" customHeight="1">
      <c r="B502" s="254" t="str">
        <f>'1F'!AR30</f>
        <v>CR_CMEX_12512AAP</v>
      </c>
      <c r="C502" s="219" t="s">
        <v>1046</v>
      </c>
      <c r="E502" s="249" t="s">
        <v>634</v>
      </c>
      <c r="F502" s="255">
        <f>IF(ISBLANK('1F'!G30),"##BLANK",'1F'!G30)</f>
        <v>6.7637558791862644E-4</v>
      </c>
    </row>
    <row r="503" spans="2:6" ht="13.5" customHeight="1">
      <c r="B503" s="254" t="str">
        <f>'1F'!AU30</f>
        <v>CR_CMEX_12512AAV</v>
      </c>
      <c r="C503" s="219" t="s">
        <v>1046</v>
      </c>
      <c r="E503" s="249" t="s">
        <v>634</v>
      </c>
      <c r="F503" s="255">
        <f>IF(ISBLANK('1F'!J30),"##BLANK",'1F'!J30)</f>
        <v>1.492</v>
      </c>
    </row>
    <row r="504" spans="2:6" ht="13.5" customHeight="1">
      <c r="B504" s="254" t="str">
        <f>'1F'!AW30</f>
        <v>CR_CMEX_12512ANPA</v>
      </c>
      <c r="C504" s="219" t="s">
        <v>1047</v>
      </c>
      <c r="E504" s="249" t="s">
        <v>634</v>
      </c>
      <c r="F504" s="255">
        <f>IF(ISBLANK('1F'!L30),"##BLANK",'1F'!L30)</f>
        <v>4.9682548934356881E-4</v>
      </c>
    </row>
    <row r="505" spans="2:6" ht="13.5" customHeight="1">
      <c r="B505" s="254" t="str">
        <f>'1F'!AX30</f>
        <v>CR_CMEX_12512AAPA</v>
      </c>
      <c r="C505" s="219" t="s">
        <v>1048</v>
      </c>
      <c r="E505" s="249" t="s">
        <v>634</v>
      </c>
      <c r="F505" s="255">
        <f>IF(ISBLANK('1F'!M30),"##BLANK",'1F'!M30)</f>
        <v>5.2994843316144392E-4</v>
      </c>
    </row>
    <row r="506" spans="2:6" ht="13.5" customHeight="1">
      <c r="B506" s="254" t="str">
        <f>'1F'!BA30</f>
        <v>CR_CMEX_12512AAVA</v>
      </c>
      <c r="C506" s="219" t="s">
        <v>1048</v>
      </c>
      <c r="E506" s="249" t="s">
        <v>634</v>
      </c>
      <c r="F506" s="255">
        <f>IF(ISBLANK('1F'!P30),"##BLANK",'1F'!P30)</f>
        <v>1.169</v>
      </c>
    </row>
    <row r="507" spans="2:6" ht="13.5" customHeight="1">
      <c r="B507" s="254" t="str">
        <f>'1F'!AQ31</f>
        <v>CR_DMEX_12512ANP</v>
      </c>
      <c r="C507" s="219" t="s">
        <v>1049</v>
      </c>
      <c r="E507" s="249" t="s">
        <v>634</v>
      </c>
      <c r="F507" s="255">
        <f>IF(ISBLANK('1F'!F31),"##BLANK",'1F'!F31)</f>
        <v>-5.4825053999418629E-5</v>
      </c>
    </row>
    <row r="508" spans="2:6" ht="13.5" customHeight="1">
      <c r="B508" s="254" t="str">
        <f>'1F'!AR31</f>
        <v>CR_DMEX_12512AAP</v>
      </c>
      <c r="C508" s="219" t="s">
        <v>1050</v>
      </c>
      <c r="E508" s="249" t="s">
        <v>634</v>
      </c>
      <c r="F508" s="255">
        <f>IF(ISBLANK('1F'!G31),"##BLANK",'1F'!G31)</f>
        <v>-5.8480194933983115E-5</v>
      </c>
    </row>
    <row r="509" spans="2:6" ht="13.5" customHeight="1">
      <c r="B509" s="254" t="str">
        <f>'1F'!AU31</f>
        <v>CR_DMEX_12512AAV</v>
      </c>
      <c r="C509" s="219" t="s">
        <v>1050</v>
      </c>
      <c r="E509" s="249" t="s">
        <v>634</v>
      </c>
      <c r="F509" s="255">
        <f>IF(ISBLANK('1F'!J31),"##BLANK",'1F'!J31)</f>
        <v>-0.129</v>
      </c>
    </row>
    <row r="510" spans="2:6" ht="13.5" customHeight="1">
      <c r="B510" s="254" t="str">
        <f>'1F'!AW31</f>
        <v>CR_DMEX_12512ANPA</v>
      </c>
      <c r="C510" s="219" t="s">
        <v>1051</v>
      </c>
      <c r="E510" s="249" t="s">
        <v>634</v>
      </c>
      <c r="F510" s="255">
        <f>IF(ISBLANK('1F'!L31),"##BLANK",'1F'!L31)</f>
        <v>-6.8425067394623244E-5</v>
      </c>
    </row>
    <row r="511" spans="2:6" ht="13.5" customHeight="1">
      <c r="B511" s="254" t="str">
        <f>'1F'!AX31</f>
        <v>CR_DMEX_12512AAPA</v>
      </c>
      <c r="C511" s="219" t="s">
        <v>1052</v>
      </c>
      <c r="E511" s="249" t="s">
        <v>634</v>
      </c>
      <c r="F511" s="255">
        <f>IF(ISBLANK('1F'!M31),"##BLANK",'1F'!M31)</f>
        <v>-7.2986909956366519E-5</v>
      </c>
    </row>
    <row r="512" spans="2:6" ht="13.5" customHeight="1">
      <c r="B512" s="254" t="str">
        <f>'1F'!BA31</f>
        <v>CR_DMEX_12512AAVA</v>
      </c>
      <c r="C512" s="219" t="s">
        <v>1052</v>
      </c>
      <c r="E512" s="249" t="s">
        <v>634</v>
      </c>
      <c r="F512" s="255">
        <f>IF(ISBLANK('1F'!P31),"##BLANK",'1F'!P31)</f>
        <v>-0.161</v>
      </c>
    </row>
    <row r="513" spans="2:6" ht="13.5" customHeight="1">
      <c r="B513" s="254" t="str">
        <f>'1F'!AQ32</f>
        <v>CR12513ANP</v>
      </c>
      <c r="C513" s="219" t="s">
        <v>1053</v>
      </c>
      <c r="E513" s="249" t="s">
        <v>634</v>
      </c>
      <c r="F513" s="255">
        <f>IF(ISBLANK('1F'!F32),"##BLANK",'1F'!F32)</f>
        <v>-1.2134611951871323E-2</v>
      </c>
    </row>
    <row r="514" spans="2:6" ht="13.5" customHeight="1">
      <c r="B514" s="254" t="str">
        <f>'1F'!AR32</f>
        <v>CR12513AAP</v>
      </c>
      <c r="C514" s="219" t="s">
        <v>1054</v>
      </c>
      <c r="E514" s="249" t="s">
        <v>634</v>
      </c>
      <c r="F514" s="255">
        <f>IF(ISBLANK('1F'!G32),"##BLANK",'1F'!G32)</f>
        <v>-1.2943616478721595E-2</v>
      </c>
    </row>
    <row r="515" spans="2:6" ht="13.5" customHeight="1">
      <c r="B515" s="254" t="str">
        <f>'1F'!AU32</f>
        <v>CR12513AAV</v>
      </c>
      <c r="C515" s="219" t="s">
        <v>1054</v>
      </c>
      <c r="E515" s="249" t="s">
        <v>634</v>
      </c>
      <c r="F515" s="255">
        <f>IF(ISBLANK('1F'!J32),"##BLANK",'1F'!J32)</f>
        <v>-28.552</v>
      </c>
    </row>
    <row r="516" spans="2:6" ht="13.5" customHeight="1">
      <c r="B516" s="254" t="str">
        <f>'1F'!AW32</f>
        <v>CR12513ANPA</v>
      </c>
      <c r="C516" s="219" t="s">
        <v>1053</v>
      </c>
      <c r="E516" s="249" t="s">
        <v>634</v>
      </c>
      <c r="F516" s="255">
        <f>IF(ISBLANK('1F'!L32),"##BLANK",'1F'!L32)</f>
        <v>-1.0701085539933035E-2</v>
      </c>
    </row>
    <row r="517" spans="2:6" ht="13.5" customHeight="1">
      <c r="B517" s="254" t="str">
        <f>'1F'!AX32</f>
        <v>CR12513AAPA</v>
      </c>
      <c r="C517" s="219" t="s">
        <v>1054</v>
      </c>
      <c r="E517" s="249" t="s">
        <v>634</v>
      </c>
      <c r="F517" s="255">
        <f>IF(ISBLANK('1F'!M32),"##BLANK",'1F'!M32)</f>
        <v>-1.1414518048393494E-2</v>
      </c>
    </row>
    <row r="518" spans="2:6" ht="13.5" customHeight="1">
      <c r="B518" s="254" t="str">
        <f>'1F'!BA32</f>
        <v>CR12513AAVA</v>
      </c>
      <c r="C518" s="219" t="s">
        <v>1054</v>
      </c>
      <c r="E518" s="249" t="s">
        <v>634</v>
      </c>
      <c r="F518" s="255">
        <f>IF(ISBLANK('1F'!P32),"##BLANK",'1F'!P32)</f>
        <v>-25.178999999999998</v>
      </c>
    </row>
    <row r="519" spans="2:6" ht="13.5" customHeight="1">
      <c r="B519" s="254" t="str">
        <f>'1F'!AQ33</f>
        <v>CR12523ANP</v>
      </c>
      <c r="C519" s="219" t="s">
        <v>1055</v>
      </c>
      <c r="E519" s="249" t="s">
        <v>634</v>
      </c>
      <c r="F519" s="255">
        <f>IF(ISBLANK('1F'!F33),"##BLANK",'1F'!F33)</f>
        <v>0</v>
      </c>
    </row>
    <row r="520" spans="2:6" ht="13.5" customHeight="1">
      <c r="B520" s="254" t="str">
        <f>'1F'!AR33</f>
        <v>CR12523AAP</v>
      </c>
      <c r="C520" s="219" t="s">
        <v>1056</v>
      </c>
      <c r="E520" s="249" t="s">
        <v>634</v>
      </c>
      <c r="F520" s="255">
        <f>IF(ISBLANK('1F'!G33),"##BLANK",'1F'!G33)</f>
        <v>0</v>
      </c>
    </row>
    <row r="521" spans="2:6" ht="13.5" customHeight="1">
      <c r="B521" s="254" t="str">
        <f>'1F'!AU33</f>
        <v>CR12523AAV</v>
      </c>
      <c r="C521" s="219" t="s">
        <v>1056</v>
      </c>
      <c r="E521" s="249" t="s">
        <v>634</v>
      </c>
      <c r="F521" s="255">
        <f>IF(ISBLANK('1F'!J33),"##BLANK",'1F'!J33)</f>
        <v>0</v>
      </c>
    </row>
    <row r="522" spans="2:6" ht="13.5" customHeight="1">
      <c r="B522" s="254" t="str">
        <f>'1F'!AW33</f>
        <v>CR12523ANPA</v>
      </c>
      <c r="C522" s="219" t="s">
        <v>1055</v>
      </c>
      <c r="E522" s="249" t="s">
        <v>634</v>
      </c>
      <c r="F522" s="255">
        <f>IF(ISBLANK('1F'!L33),"##BLANK",'1F'!L33)</f>
        <v>0</v>
      </c>
    </row>
    <row r="523" spans="2:6" ht="13.5" customHeight="1">
      <c r="B523" s="254" t="str">
        <f>'1F'!AX33</f>
        <v>CR12523AAPA</v>
      </c>
      <c r="C523" s="219" t="s">
        <v>1056</v>
      </c>
      <c r="E523" s="249" t="s">
        <v>634</v>
      </c>
      <c r="F523" s="255">
        <f>IF(ISBLANK('1F'!M33),"##BLANK",'1F'!M33)</f>
        <v>0</v>
      </c>
    </row>
    <row r="524" spans="2:6" ht="13.5" customHeight="1">
      <c r="B524" s="254" t="str">
        <f>'1F'!BA33</f>
        <v>CR12523AAVA</v>
      </c>
      <c r="C524" s="219" t="s">
        <v>1056</v>
      </c>
      <c r="E524" s="249" t="s">
        <v>634</v>
      </c>
      <c r="F524" s="255">
        <f>IF(ISBLANK('1F'!P33),"##BLANK",'1F'!P33)</f>
        <v>0</v>
      </c>
    </row>
    <row r="525" spans="2:6" ht="13.5" customHeight="1">
      <c r="B525" s="254" t="str">
        <f>'1F'!AQ34</f>
        <v>CR12514ANP</v>
      </c>
      <c r="C525" s="219" t="s">
        <v>1057</v>
      </c>
      <c r="E525" s="249" t="s">
        <v>634</v>
      </c>
      <c r="F525" s="255">
        <f>IF(ISBLANK('1F'!F34),"##BLANK",'1F'!F34)</f>
        <v>-4.9594148847288043E-2</v>
      </c>
    </row>
    <row r="526" spans="2:6" ht="13.5" customHeight="1">
      <c r="B526" s="254" t="str">
        <f>'1F'!AR34</f>
        <v>CR12514AAP</v>
      </c>
      <c r="C526" s="219" t="s">
        <v>1058</v>
      </c>
      <c r="E526" s="249" t="s">
        <v>634</v>
      </c>
      <c r="F526" s="255">
        <f>IF(ISBLANK('1F'!G34),"##BLANK",'1F'!G34)</f>
        <v>-5.2900549668498893E-2</v>
      </c>
    </row>
    <row r="527" spans="2:6" ht="13.5" customHeight="1">
      <c r="B527" s="254" t="str">
        <f>'1F'!AT34</f>
        <v>CR12514ANV</v>
      </c>
      <c r="C527" s="219" t="s">
        <v>1057</v>
      </c>
      <c r="E527" s="249" t="s">
        <v>634</v>
      </c>
      <c r="F527" s="255">
        <f>IF(ISBLANK('1F'!I34),"##BLANK",'1F'!I34)</f>
        <v>-116.69199999999998</v>
      </c>
    </row>
    <row r="528" spans="2:6" ht="13.5" customHeight="1">
      <c r="B528" s="254" t="str">
        <f>'1F'!AU34</f>
        <v>CR12514AAV</v>
      </c>
      <c r="C528" s="219" t="s">
        <v>1058</v>
      </c>
      <c r="E528" s="249" t="s">
        <v>634</v>
      </c>
      <c r="F528" s="255">
        <f>IF(ISBLANK('1F'!J34),"##BLANK",'1F'!J34)</f>
        <v>-116.69199999999998</v>
      </c>
    </row>
    <row r="529" spans="2:6" ht="13.5" customHeight="1">
      <c r="B529" s="254" t="str">
        <f>'1F'!AW34</f>
        <v>CR12514ANPA</v>
      </c>
      <c r="C529" s="219" t="s">
        <v>1057</v>
      </c>
      <c r="E529" s="249" t="s">
        <v>634</v>
      </c>
      <c r="F529" s="255">
        <f>IF(ISBLANK('1F'!L34),"##BLANK",'1F'!L34)</f>
        <v>-3.4773959250282413E-2</v>
      </c>
    </row>
    <row r="530" spans="2:6" ht="13.5" customHeight="1">
      <c r="B530" s="254" t="str">
        <f>'1F'!AX34</f>
        <v>CR12514AAPA</v>
      </c>
      <c r="C530" s="219" t="s">
        <v>1058</v>
      </c>
      <c r="E530" s="249" t="s">
        <v>634</v>
      </c>
      <c r="F530" s="255">
        <f>IF(ISBLANK('1F'!M34),"##BLANK",'1F'!M34)</f>
        <v>-3.7092310307701028E-2</v>
      </c>
    </row>
    <row r="531" spans="2:6" ht="13.5" customHeight="1">
      <c r="B531" s="254" t="str">
        <f>'1F'!AZ34</f>
        <v>CR12514ANVA</v>
      </c>
      <c r="C531" s="219" t="s">
        <v>1057</v>
      </c>
      <c r="E531" s="249" t="s">
        <v>634</v>
      </c>
      <c r="F531" s="255">
        <f>IF(ISBLANK('1F'!O34),"##BLANK",'1F'!O34)</f>
        <v>-81.820999999999998</v>
      </c>
    </row>
    <row r="532" spans="2:6" ht="13.5" customHeight="1">
      <c r="B532" s="254" t="str">
        <f>'1F'!BA34</f>
        <v>CR12514AAVA</v>
      </c>
      <c r="C532" s="219" t="s">
        <v>1058</v>
      </c>
      <c r="E532" s="249" t="s">
        <v>634</v>
      </c>
      <c r="F532" s="255">
        <f>IF(ISBLANK('1F'!P34),"##BLANK",'1F'!P34)</f>
        <v>-81.820999999999998</v>
      </c>
    </row>
    <row r="533" spans="2:6" ht="13.5" customHeight="1">
      <c r="B533" s="254" t="str">
        <f>'1F'!AP36</f>
        <v>CR_RORE_12516NNP</v>
      </c>
      <c r="C533" s="219" t="s">
        <v>1059</v>
      </c>
      <c r="E533" s="249" t="s">
        <v>634</v>
      </c>
      <c r="F533" s="255">
        <f>IF(ISBLANK('1F'!E36),"##BLANK",'1F'!E36)</f>
        <v>3.8293423593798448E-2</v>
      </c>
    </row>
    <row r="534" spans="2:6" ht="13.5" customHeight="1">
      <c r="B534" s="254" t="str">
        <f>'1F'!AQ36</f>
        <v>CR_RORE_12516ANP</v>
      </c>
      <c r="C534" s="219" t="s">
        <v>1060</v>
      </c>
      <c r="E534" s="249" t="s">
        <v>634</v>
      </c>
      <c r="F534" s="255">
        <f>IF(ISBLANK('1F'!F36),"##BLANK",'1F'!F36)</f>
        <v>-1.2311376248920737E-2</v>
      </c>
    </row>
    <row r="535" spans="2:6" ht="13.5" customHeight="1">
      <c r="B535" s="254" t="str">
        <f>'1F'!AR36</f>
        <v>CR_RORE_12516AAP</v>
      </c>
      <c r="C535" s="219" t="s">
        <v>1061</v>
      </c>
      <c r="E535" s="249" t="s">
        <v>634</v>
      </c>
      <c r="F535" s="255">
        <f>IF(ISBLANK('1F'!G36),"##BLANK",'1F'!G36)</f>
        <v>-1.5631662823156277E-2</v>
      </c>
    </row>
    <row r="536" spans="2:6" ht="13.5" customHeight="1">
      <c r="B536" s="254" t="str">
        <f>'1F'!AS36</f>
        <v>CR_RORE_12516NNV</v>
      </c>
      <c r="C536" s="219" t="s">
        <v>1059</v>
      </c>
      <c r="E536" s="249" t="s">
        <v>634</v>
      </c>
      <c r="F536" s="255">
        <f>IF(ISBLANK('1F'!H36),"##BLANK",'1F'!H36)</f>
        <v>90.102084416595062</v>
      </c>
    </row>
    <row r="537" spans="2:6" ht="13.5" customHeight="1">
      <c r="B537" s="254" t="str">
        <f>'1F'!AT36</f>
        <v>CR_RORE_12516ANV</v>
      </c>
      <c r="C537" s="219" t="s">
        <v>1060</v>
      </c>
      <c r="E537" s="249" t="s">
        <v>634</v>
      </c>
      <c r="F537" s="255">
        <f>IF(ISBLANK('1F'!I36),"##BLANK",'1F'!I36)</f>
        <v>-28.967915583404903</v>
      </c>
    </row>
    <row r="538" spans="2:6" ht="13.5" customHeight="1">
      <c r="B538" s="254" t="str">
        <f>'1F'!AU36</f>
        <v>CR_RORE_12516AAV</v>
      </c>
      <c r="C538" s="219" t="s">
        <v>1061</v>
      </c>
      <c r="E538" s="249" t="s">
        <v>634</v>
      </c>
      <c r="F538" s="255">
        <f>IF(ISBLANK('1F'!J36),"##BLANK",'1F'!J36)</f>
        <v>-34.481494230029824</v>
      </c>
    </row>
    <row r="539" spans="2:6" ht="13.5" customHeight="1">
      <c r="B539" s="254" t="str">
        <f>'1F'!AV36</f>
        <v>CR_RORE_12516NNPA</v>
      </c>
      <c r="C539" s="219" t="s">
        <v>1059</v>
      </c>
      <c r="E539" s="249" t="s">
        <v>634</v>
      </c>
      <c r="F539" s="255">
        <f>IF(ISBLANK('1F'!K36),"##BLANK",'1F'!K36)</f>
        <v>3.8100000000000002E-2</v>
      </c>
    </row>
    <row r="540" spans="2:6" ht="13.5" customHeight="1">
      <c r="B540" s="254" t="str">
        <f>'1F'!AW36</f>
        <v>CR_RORE_12516ANPA</v>
      </c>
      <c r="C540" s="219" t="s">
        <v>1060</v>
      </c>
      <c r="E540" s="249" t="s">
        <v>634</v>
      </c>
      <c r="F540" s="255">
        <f>IF(ISBLANK('1F'!L36),"##BLANK",'1F'!L36)</f>
        <v>3.8211662373867569E-3</v>
      </c>
    </row>
    <row r="541" spans="2:6" ht="13.5" customHeight="1">
      <c r="B541" s="254" t="str">
        <f>'1F'!AX36</f>
        <v>CR_RORE_12516AAPA</v>
      </c>
      <c r="C541" s="219" t="s">
        <v>1061</v>
      </c>
      <c r="E541" s="249" t="s">
        <v>634</v>
      </c>
      <c r="F541" s="255">
        <f>IF(ISBLANK('1F'!M36),"##BLANK",'1F'!M36)</f>
        <v>1.3535841786139272E-3</v>
      </c>
    </row>
    <row r="542" spans="2:6" ht="13.5" customHeight="1">
      <c r="B542" s="254" t="str">
        <f>'1F'!AY36</f>
        <v>CR_RORE_12516NNVA</v>
      </c>
      <c r="C542" s="219" t="s">
        <v>1059</v>
      </c>
      <c r="E542" s="249" t="s">
        <v>634</v>
      </c>
      <c r="F542" s="255">
        <f>IF(ISBLANK('1F'!N36),"##BLANK",'1F'!N36)</f>
        <v>88.104535499999997</v>
      </c>
    </row>
    <row r="543" spans="2:6" ht="13.5" customHeight="1">
      <c r="B543" s="254" t="str">
        <f>'1F'!AZ36</f>
        <v>CR_RORE_12516ANVA</v>
      </c>
      <c r="C543" s="219" t="s">
        <v>1060</v>
      </c>
      <c r="E543" s="249" t="s">
        <v>634</v>
      </c>
      <c r="F543" s="255">
        <f>IF(ISBLANK('1F'!O36),"##BLANK",'1F'!O36)</f>
        <v>7.4485354999999913</v>
      </c>
    </row>
    <row r="544" spans="2:6" ht="13.5" customHeight="1">
      <c r="B544" s="254" t="str">
        <f>'1F'!BA36</f>
        <v>CR_RORE_12516AAVA</v>
      </c>
      <c r="C544" s="219" t="s">
        <v>1061</v>
      </c>
      <c r="E544" s="249" t="s">
        <v>634</v>
      </c>
      <c r="F544" s="255">
        <f>IF(ISBLANK('1F'!P36),"##BLANK",'1F'!P36)</f>
        <v>4.6393394000000114</v>
      </c>
    </row>
    <row r="545" spans="2:6" ht="13.5" customHeight="1">
      <c r="B545" s="2208" t="str">
        <f>'1F'!AP38</f>
        <v>CR12517NNP</v>
      </c>
      <c r="C545" s="219" t="s">
        <v>1062</v>
      </c>
      <c r="E545" s="249" t="s">
        <v>634</v>
      </c>
      <c r="F545" s="255">
        <f>IF(ISBLANK('1F'!E38),"##BLANK",'1F'!E38)</f>
        <v>0.10730000000000001</v>
      </c>
    </row>
    <row r="546" spans="2:6" ht="13.5" customHeight="1">
      <c r="B546" s="2208" t="str">
        <f>'1F'!AS38</f>
        <v>CR12517NNV</v>
      </c>
      <c r="C546" s="219" t="s">
        <v>1062</v>
      </c>
      <c r="E546" s="249" t="s">
        <v>634</v>
      </c>
      <c r="F546" s="255">
        <f>IF(ISBLANK('1F'!H38),"##BLANK",'1F'!H38)</f>
        <v>252.47033956677507</v>
      </c>
    </row>
    <row r="547" spans="2:6" ht="13.5" customHeight="1">
      <c r="B547" s="2208" t="str">
        <f>'1F'!AT38</f>
        <v>CR12517ANV</v>
      </c>
      <c r="C547" s="219" t="s">
        <v>1063</v>
      </c>
      <c r="E547" s="249" t="s">
        <v>634</v>
      </c>
      <c r="F547" s="255">
        <f>IF(ISBLANK('1F'!I38),"##BLANK",'1F'!I38)</f>
        <v>252.47033956677507</v>
      </c>
    </row>
    <row r="548" spans="2:6" ht="13.5" customHeight="1">
      <c r="B548" s="2208" t="str">
        <f>'1F'!AU38</f>
        <v>CR12517AAV</v>
      </c>
      <c r="C548" s="219" t="s">
        <v>1064</v>
      </c>
      <c r="E548" s="249" t="s">
        <v>634</v>
      </c>
      <c r="F548" s="255">
        <f>IF(ISBLANK('1F'!J38),"##BLANK",'1F'!J38)</f>
        <v>236.69038750000001</v>
      </c>
    </row>
    <row r="549" spans="2:6" ht="13.5" customHeight="1">
      <c r="B549" s="2208" t="str">
        <f>'1F'!AV38</f>
        <v>CR12517NNPA</v>
      </c>
      <c r="C549" s="219" t="s">
        <v>1065</v>
      </c>
      <c r="E549" s="249" t="s">
        <v>634</v>
      </c>
      <c r="F549" s="255">
        <f>IF(ISBLANK('1F'!K38),"##BLANK",'1F'!K38)</f>
        <v>6.3700000000000007E-2</v>
      </c>
    </row>
    <row r="550" spans="2:6" ht="13.5" customHeight="1">
      <c r="B550" s="2208" t="str">
        <f>'1F'!AY38</f>
        <v>CR12517NNVA</v>
      </c>
      <c r="C550" s="219" t="s">
        <v>1065</v>
      </c>
      <c r="E550" s="249" t="s">
        <v>634</v>
      </c>
      <c r="F550" s="255">
        <f>IF(ISBLANK('1F'!N38),"##BLANK",'1F'!N38)</f>
        <v>147.30338350000002</v>
      </c>
    </row>
    <row r="551" spans="2:6" ht="13.5" customHeight="1">
      <c r="B551" s="2208" t="str">
        <f>'1F'!AZ38</f>
        <v>CR12517ANVA</v>
      </c>
      <c r="C551" s="219" t="s">
        <v>1066</v>
      </c>
      <c r="E551" s="249" t="s">
        <v>634</v>
      </c>
      <c r="F551" s="255">
        <f>IF(ISBLANK('1F'!O38),"##BLANK",'1F'!O38)</f>
        <v>147.30338350000002</v>
      </c>
    </row>
    <row r="552" spans="2:6" ht="13.5" customHeight="1">
      <c r="B552" s="2208" t="str">
        <f>'1F'!BA38</f>
        <v>CR12517AAVA</v>
      </c>
      <c r="C552" s="219" t="s">
        <v>1067</v>
      </c>
      <c r="E552" s="249" t="s">
        <v>634</v>
      </c>
      <c r="F552" s="255">
        <f>IF(ISBLANK('1F'!P38),"##BLANK",'1F'!P38)</f>
        <v>143.2787538</v>
      </c>
    </row>
    <row r="553" spans="2:6" ht="13.5" customHeight="1">
      <c r="B553" s="254" t="str">
        <f>'1F'!AQ40</f>
        <v>CR_VSA_12517ANP</v>
      </c>
      <c r="C553" s="219" t="s">
        <v>1068</v>
      </c>
      <c r="E553" s="249" t="s">
        <v>634</v>
      </c>
      <c r="F553" s="255">
        <f>IF(ISBLANK('1F'!F40),"##BLANK",'1F'!F40)</f>
        <v>-4.4387043718599082E-3</v>
      </c>
    </row>
    <row r="554" spans="2:6" ht="13.5" customHeight="1">
      <c r="B554" s="254" t="str">
        <f>'1F'!AR40</f>
        <v>CR_VSA_12517AAP</v>
      </c>
      <c r="C554" s="219" t="s">
        <v>1069</v>
      </c>
      <c r="E554" s="249" t="s">
        <v>634</v>
      </c>
      <c r="F554" s="255">
        <f>IF(ISBLANK('1F'!G40),"##BLANK",'1F'!G40)</f>
        <v>-4.7346291154303855E-3</v>
      </c>
    </row>
    <row r="555" spans="2:6" ht="13.5" customHeight="1">
      <c r="B555" s="254" t="str">
        <f>'1F'!AU40</f>
        <v>CR_VSA_12517AAV</v>
      </c>
      <c r="C555" s="219" t="s">
        <v>1069</v>
      </c>
      <c r="E555" s="249" t="s">
        <v>634</v>
      </c>
      <c r="F555" s="255">
        <f>IF(ISBLANK('1F'!J40),"##BLANK",'1F'!J40)</f>
        <v>-10.444000000000001</v>
      </c>
    </row>
    <row r="556" spans="2:6" ht="13.5" customHeight="1">
      <c r="B556" s="254" t="str">
        <f>'1F'!AW40</f>
        <v>CR_VSA_12517ANPA</v>
      </c>
      <c r="C556" s="219" t="s">
        <v>1070</v>
      </c>
      <c r="E556" s="249" t="s">
        <v>634</v>
      </c>
      <c r="F556" s="255">
        <f>IF(ISBLANK('1F'!L40),"##BLANK",'1F'!L40)</f>
        <v>-4.7434436562008775E-3</v>
      </c>
    </row>
    <row r="557" spans="2:6" ht="13.5" customHeight="1">
      <c r="B557" s="254" t="str">
        <f>'1F'!AX40</f>
        <v>CR_VSA_12517AAPA</v>
      </c>
      <c r="C557" s="219" t="s">
        <v>1071</v>
      </c>
      <c r="E557" s="249" t="s">
        <v>634</v>
      </c>
      <c r="F557" s="255">
        <f>IF(ISBLANK('1F'!M40),"##BLANK",'1F'!M40)</f>
        <v>-4.8766846546930255E-3</v>
      </c>
    </row>
    <row r="558" spans="2:6" ht="13.5" customHeight="1">
      <c r="B558" s="254" t="str">
        <f>'1F'!BA40</f>
        <v>CR_VSA_12517AAVA</v>
      </c>
      <c r="C558" s="219" t="s">
        <v>1071</v>
      </c>
      <c r="E558" s="249" t="s">
        <v>634</v>
      </c>
      <c r="F558" s="255">
        <f>IF(ISBLANK('1F'!P40),"##BLANK",'1F'!P40)</f>
        <v>-10.968999999999999</v>
      </c>
    </row>
    <row r="559" spans="2:6" ht="13.5" customHeight="1">
      <c r="B559" s="254" t="str">
        <f>'1F'!AP42</f>
        <v>CR12518NNP</v>
      </c>
      <c r="C559" s="219" t="s">
        <v>1072</v>
      </c>
      <c r="E559" s="249" t="s">
        <v>634</v>
      </c>
      <c r="F559" s="255">
        <f>IF(ISBLANK('1F'!E42),"##BLANK",'1F'!E42)</f>
        <v>0.14559342359379845</v>
      </c>
    </row>
    <row r="560" spans="2:6" ht="13.5" customHeight="1">
      <c r="B560" s="254" t="str">
        <f>'1F'!AQ42</f>
        <v>CR12518ANP</v>
      </c>
      <c r="C560" s="219" t="s">
        <v>1073</v>
      </c>
      <c r="E560" s="249" t="s">
        <v>634</v>
      </c>
      <c r="F560" s="255">
        <f>IF(ISBLANK('1F'!F42),"##BLANK",'1F'!F42)</f>
        <v>9.0549919379219371E-2</v>
      </c>
    </row>
    <row r="561" spans="2:6" ht="13.5" customHeight="1">
      <c r="B561" s="254" t="str">
        <f>'1F'!AR42</f>
        <v>CR12518AAP</v>
      </c>
      <c r="C561" s="219" t="s">
        <v>1074</v>
      </c>
      <c r="E561" s="249" t="s">
        <v>634</v>
      </c>
      <c r="F561" s="255">
        <f>IF(ISBLANK('1F'!G42),"##BLANK",'1F'!G42)</f>
        <v>8.6933708061413331E-2</v>
      </c>
    </row>
    <row r="562" spans="2:6" ht="13.5" customHeight="1">
      <c r="B562" s="254" t="str">
        <f>'1F'!AS42</f>
        <v>CR12518NNV</v>
      </c>
      <c r="C562" s="219" t="s">
        <v>1072</v>
      </c>
      <c r="E562" s="249" t="s">
        <v>634</v>
      </c>
      <c r="F562" s="255">
        <f>IF(ISBLANK('1F'!H42),"##BLANK",'1F'!H42)</f>
        <v>342.57242398337013</v>
      </c>
    </row>
    <row r="563" spans="2:6" ht="13.5" customHeight="1">
      <c r="B563" s="254" t="str">
        <f>'1F'!AT42</f>
        <v>CR12518ANV</v>
      </c>
      <c r="C563" s="219" t="s">
        <v>1073</v>
      </c>
      <c r="E563" s="249" t="s">
        <v>634</v>
      </c>
      <c r="F563" s="255">
        <f>IF(ISBLANK('1F'!I42),"##BLANK",'1F'!I42)</f>
        <v>213.05842398337018</v>
      </c>
    </row>
    <row r="564" spans="2:6" ht="13.5" customHeight="1">
      <c r="B564" s="254" t="str">
        <f>'1F'!AU42</f>
        <v>CR12518AAV</v>
      </c>
      <c r="C564" s="219" t="s">
        <v>1074</v>
      </c>
      <c r="E564" s="249" t="s">
        <v>634</v>
      </c>
      <c r="F564" s="255">
        <f>IF(ISBLANK('1F'!J42),"##BLANK",'1F'!J42)</f>
        <v>191.7648932699702</v>
      </c>
    </row>
    <row r="565" spans="2:6" ht="13.5" customHeight="1">
      <c r="B565" s="254" t="str">
        <f>'1F'!AV42</f>
        <v>CR12518NNPA</v>
      </c>
      <c r="C565" s="219" t="s">
        <v>1072</v>
      </c>
      <c r="E565" s="249" t="s">
        <v>634</v>
      </c>
      <c r="F565" s="255">
        <f>IF(ISBLANK('1F'!K42),"##BLANK",'1F'!K42)</f>
        <v>0.1018</v>
      </c>
    </row>
    <row r="566" spans="2:6" ht="13.5" customHeight="1">
      <c r="B566" s="254" t="str">
        <f>'1F'!AW42</f>
        <v>CR12518ANPA</v>
      </c>
      <c r="C566" s="219" t="s">
        <v>1073</v>
      </c>
      <c r="E566" s="249" t="s">
        <v>634</v>
      </c>
      <c r="F566" s="255">
        <f>IF(ISBLANK('1F'!L42),"##BLANK",'1F'!L42)</f>
        <v>6.2777722581185899E-2</v>
      </c>
    </row>
    <row r="567" spans="2:6" ht="13.5" customHeight="1">
      <c r="B567" s="254" t="str">
        <f>'1F'!AX42</f>
        <v>CR12518AAPA</v>
      </c>
      <c r="C567" s="219" t="s">
        <v>1074</v>
      </c>
      <c r="E567" s="249" t="s">
        <v>634</v>
      </c>
      <c r="F567" s="255">
        <f>IF(ISBLANK('1F'!M42),"##BLANK",'1F'!M42)</f>
        <v>6.0176899523920899E-2</v>
      </c>
    </row>
    <row r="568" spans="2:6" ht="13.5" customHeight="1">
      <c r="B568" s="254" t="str">
        <f>'1F'!AY42</f>
        <v>CR12518NNVA</v>
      </c>
      <c r="C568" s="219" t="s">
        <v>1072</v>
      </c>
      <c r="E568" s="249" t="s">
        <v>634</v>
      </c>
      <c r="F568" s="255">
        <f>IF(ISBLANK('1F'!N42),"##BLANK",'1F'!N42)</f>
        <v>235.40791900000002</v>
      </c>
    </row>
    <row r="569" spans="2:6" ht="13.5" customHeight="1">
      <c r="B569" s="254" t="str">
        <f>'1F'!AZ42</f>
        <v>CR12518ANVA</v>
      </c>
      <c r="C569" s="219" t="s">
        <v>1073</v>
      </c>
      <c r="E569" s="249" t="s">
        <v>634</v>
      </c>
      <c r="F569" s="255">
        <f>IF(ISBLANK('1F'!O42),"##BLANK",'1F'!O42)</f>
        <v>143.78291900000002</v>
      </c>
    </row>
    <row r="570" spans="2:6" ht="13.5" customHeight="1">
      <c r="B570" s="254" t="str">
        <f>'1F'!BA42</f>
        <v>CR12518AAVA</v>
      </c>
      <c r="C570" s="219" t="s">
        <v>1074</v>
      </c>
      <c r="E570" s="249" t="s">
        <v>634</v>
      </c>
      <c r="F570" s="255">
        <f>IF(ISBLANK('1F'!P42),"##BLANK",'1F'!P42)</f>
        <v>136.94909320000002</v>
      </c>
    </row>
    <row r="571" spans="2:6" ht="13.5" customHeight="1">
      <c r="B571" s="2208" t="str">
        <f>'1F'!AP45</f>
        <v>CR12520NNP</v>
      </c>
      <c r="C571" s="219" t="s">
        <v>1075</v>
      </c>
      <c r="E571" s="249" t="s">
        <v>634</v>
      </c>
      <c r="F571" s="255">
        <f>IF(ISBLANK('1F'!E45),"##BLANK",'1F'!E45)</f>
        <v>0.03</v>
      </c>
    </row>
    <row r="572" spans="2:6" ht="13.5" customHeight="1">
      <c r="B572" s="2208" t="str">
        <f>'1F'!AQ45</f>
        <v>CR12520ANP</v>
      </c>
      <c r="C572" s="219" t="s">
        <v>1076</v>
      </c>
      <c r="E572" s="249" t="s">
        <v>634</v>
      </c>
      <c r="F572" s="255">
        <f>IF(ISBLANK('1F'!F45),"##BLANK",'1F'!F45)</f>
        <v>0</v>
      </c>
    </row>
    <row r="573" spans="2:6" ht="13.5" customHeight="1">
      <c r="B573" s="2208" t="str">
        <f>'1F'!AR45</f>
        <v>CR12520AAP</v>
      </c>
      <c r="C573" s="219" t="s">
        <v>1077</v>
      </c>
      <c r="E573" s="249" t="s">
        <v>634</v>
      </c>
      <c r="F573" s="255">
        <f>IF(ISBLANK('1F'!G45),"##BLANK",'1F'!G45)</f>
        <v>0</v>
      </c>
    </row>
    <row r="574" spans="2:6" ht="13.5" customHeight="1">
      <c r="B574" s="2208" t="str">
        <f>'1F'!AS45</f>
        <v>CR12520NNV</v>
      </c>
      <c r="C574" s="219" t="s">
        <v>1075</v>
      </c>
      <c r="E574" s="249" t="s">
        <v>634</v>
      </c>
      <c r="F574" s="255">
        <f>IF(ISBLANK('1F'!H45),"##BLANK",'1F'!H45)</f>
        <v>70.588165768902627</v>
      </c>
    </row>
    <row r="575" spans="2:6" ht="13.5" customHeight="1">
      <c r="B575" s="2208" t="str">
        <f>'1F'!AU45</f>
        <v>CR12520AAV</v>
      </c>
      <c r="C575" s="219" t="s">
        <v>1077</v>
      </c>
      <c r="E575" s="249" t="s">
        <v>634</v>
      </c>
      <c r="F575" s="255">
        <f>IF(ISBLANK('1F'!J45),"##BLANK",'1F'!J45)</f>
        <v>0</v>
      </c>
    </row>
    <row r="576" spans="2:6" ht="13.5" customHeight="1">
      <c r="B576" s="2208" t="str">
        <f>'1F'!AV45</f>
        <v>CR12520NNPA</v>
      </c>
      <c r="C576" s="219" t="s">
        <v>1078</v>
      </c>
      <c r="E576" s="249" t="s">
        <v>634</v>
      </c>
      <c r="F576" s="255">
        <f>IF(ISBLANK('1F'!K45),"##BLANK",'1F'!K45)</f>
        <v>0.03</v>
      </c>
    </row>
    <row r="577" spans="2:6" ht="13.5" customHeight="1">
      <c r="B577" s="2208" t="str">
        <f>'1F'!AW45</f>
        <v>CR12520ANPA</v>
      </c>
      <c r="C577" s="219" t="s">
        <v>1079</v>
      </c>
      <c r="E577" s="249" t="s">
        <v>634</v>
      </c>
      <c r="F577" s="255">
        <f>IF(ISBLANK('1F'!L45),"##BLANK",'1F'!L45)</f>
        <v>0</v>
      </c>
    </row>
    <row r="578" spans="2:6" ht="13.5" customHeight="1">
      <c r="B578" s="2208" t="str">
        <f>'1F'!AX45</f>
        <v>CR12520AAPA</v>
      </c>
      <c r="C578" s="219" t="s">
        <v>1080</v>
      </c>
      <c r="E578" s="249" t="s">
        <v>634</v>
      </c>
      <c r="F578" s="255">
        <f>IF(ISBLANK('1F'!M45),"##BLANK",'1F'!M45)</f>
        <v>0</v>
      </c>
    </row>
    <row r="579" spans="2:6" ht="13.5" customHeight="1">
      <c r="B579" s="2208" t="str">
        <f>'1F'!AY45</f>
        <v>CR12520NNVA</v>
      </c>
      <c r="C579" s="219" t="s">
        <v>1078</v>
      </c>
      <c r="E579" s="249" t="s">
        <v>634</v>
      </c>
      <c r="F579" s="255">
        <f>IF(ISBLANK('1F'!N45),"##BLANK",'1F'!N45)</f>
        <v>69.373649999999998</v>
      </c>
    </row>
    <row r="580" spans="2:6" ht="13.5" customHeight="1">
      <c r="B580" s="2208" t="str">
        <f>'1F'!BA45</f>
        <v>CR12520AAVA</v>
      </c>
      <c r="C580" s="219" t="s">
        <v>1080</v>
      </c>
      <c r="E580" s="249" t="s">
        <v>634</v>
      </c>
      <c r="F580" s="255">
        <f>IF(ISBLANK('1F'!P45),"##BLANK",'1F'!P45)</f>
        <v>0</v>
      </c>
    </row>
    <row r="581" spans="2:6" ht="13.5" customHeight="1">
      <c r="B581" s="2208" t="str">
        <f>'1F'!AQ46</f>
        <v>CR12521ANP</v>
      </c>
      <c r="C581" s="219" t="s">
        <v>1081</v>
      </c>
      <c r="E581" s="249" t="s">
        <v>634</v>
      </c>
      <c r="F581" s="255">
        <f>IF(ISBLANK('1F'!F46),"##BLANK",'1F'!F46)</f>
        <v>0</v>
      </c>
    </row>
    <row r="582" spans="2:6" ht="13.5" customHeight="1">
      <c r="B582" s="2208" t="str">
        <f>'1F'!AR46</f>
        <v>CR12521AAP</v>
      </c>
      <c r="C582" s="219" t="s">
        <v>1082</v>
      </c>
      <c r="E582" s="249" t="s">
        <v>634</v>
      </c>
      <c r="F582" s="255">
        <f>IF(ISBLANK('1F'!G46),"##BLANK",'1F'!G46)</f>
        <v>0</v>
      </c>
    </row>
    <row r="583" spans="2:6" ht="13.5" customHeight="1">
      <c r="B583" s="2208" t="str">
        <f>'1F'!AU46</f>
        <v>CR12521AAV</v>
      </c>
      <c r="C583" s="219" t="s">
        <v>1081</v>
      </c>
      <c r="E583" s="249" t="s">
        <v>634</v>
      </c>
      <c r="F583" s="255">
        <f>IF(ISBLANK('1F'!J46),"##BLANK",'1F'!J46)</f>
        <v>0</v>
      </c>
    </row>
    <row r="584" spans="2:6" ht="13.5" customHeight="1">
      <c r="B584" s="2208" t="str">
        <f>'1F'!AW46</f>
        <v>CR12521ANPA</v>
      </c>
      <c r="C584" s="219" t="s">
        <v>1083</v>
      </c>
      <c r="E584" s="249" t="s">
        <v>634</v>
      </c>
      <c r="F584" s="255">
        <f>IF(ISBLANK('1F'!L46),"##BLANK",'1F'!L46)</f>
        <v>0</v>
      </c>
    </row>
    <row r="585" spans="2:6" ht="13.5" customHeight="1">
      <c r="B585" s="2208" t="str">
        <f>'1F'!AX46</f>
        <v>CR12521AAPA</v>
      </c>
      <c r="C585" s="219" t="s">
        <v>1084</v>
      </c>
      <c r="E585" s="249" t="s">
        <v>634</v>
      </c>
      <c r="F585" s="255">
        <f>IF(ISBLANK('1F'!M46),"##BLANK",'1F'!M46)</f>
        <v>0</v>
      </c>
    </row>
    <row r="586" spans="2:6" ht="13.5" customHeight="1">
      <c r="B586" s="2208" t="str">
        <f>'1F'!BA46</f>
        <v>CR12521AAVA</v>
      </c>
      <c r="C586" s="219" t="s">
        <v>1084</v>
      </c>
      <c r="E586" s="249" t="s">
        <v>634</v>
      </c>
      <c r="F586" s="255">
        <f>IF(ISBLANK('1F'!P46),"##BLANK",'1F'!P46)</f>
        <v>0</v>
      </c>
    </row>
    <row r="587" spans="2:6" ht="13.5" customHeight="1">
      <c r="B587" s="2208" t="str">
        <f>'1F'!AP48</f>
        <v>CR12519NNP</v>
      </c>
      <c r="C587" s="219" t="s">
        <v>1085</v>
      </c>
      <c r="E587" s="249" t="s">
        <v>634</v>
      </c>
      <c r="F587" s="255">
        <f>IF(ISBLANK('1F'!E48),"##BLANK",'1F'!E48)</f>
        <v>0.11559342359379846</v>
      </c>
    </row>
    <row r="588" spans="2:6" ht="13.5" customHeight="1">
      <c r="B588" s="2208" t="str">
        <f>'1F'!AQ48</f>
        <v>CR12519ANP</v>
      </c>
      <c r="C588" s="219" t="s">
        <v>1086</v>
      </c>
      <c r="E588" s="249" t="s">
        <v>634</v>
      </c>
      <c r="F588" s="255">
        <f>IF(ISBLANK('1F'!F48),"##BLANK",'1F'!F48)</f>
        <v>9.0549919379219371E-2</v>
      </c>
    </row>
    <row r="589" spans="2:6" ht="13.5" customHeight="1">
      <c r="B589" s="2208" t="str">
        <f>'1F'!AR48</f>
        <v>CR12519AAP</v>
      </c>
      <c r="C589" s="219" t="s">
        <v>1087</v>
      </c>
      <c r="E589" s="249" t="s">
        <v>634</v>
      </c>
      <c r="F589" s="255">
        <f>IF(ISBLANK('1F'!G48),"##BLANK",'1F'!G48)</f>
        <v>8.6933708061413331E-2</v>
      </c>
    </row>
    <row r="590" spans="2:6" ht="13.5" customHeight="1">
      <c r="B590" s="2208" t="str">
        <f>'1F'!AS48</f>
        <v>CR12519NNV</v>
      </c>
      <c r="C590" s="219" t="s">
        <v>1085</v>
      </c>
      <c r="E590" s="249" t="s">
        <v>634</v>
      </c>
      <c r="F590" s="255">
        <f>IF(ISBLANK('1F'!H48),"##BLANK",'1F'!H48)</f>
        <v>271.9842582144675</v>
      </c>
    </row>
    <row r="591" spans="2:6" ht="13.5" customHeight="1">
      <c r="B591" s="2208" t="str">
        <f>'1F'!AT48</f>
        <v>CR12519ANV</v>
      </c>
      <c r="C591" s="219" t="s">
        <v>1086</v>
      </c>
      <c r="E591" s="249" t="s">
        <v>634</v>
      </c>
      <c r="F591" s="255">
        <f>IF(ISBLANK('1F'!I48),"##BLANK",'1F'!I48)</f>
        <v>213.05842398337018</v>
      </c>
    </row>
    <row r="592" spans="2:6" ht="13.5" customHeight="1">
      <c r="B592" s="2208" t="str">
        <f>'1F'!AU48</f>
        <v>CR12519AAV</v>
      </c>
      <c r="C592" s="219" t="s">
        <v>1087</v>
      </c>
      <c r="E592" s="249" t="s">
        <v>634</v>
      </c>
      <c r="F592" s="255">
        <f>IF(ISBLANK('1F'!J48),"##BLANK",'1F'!J48)</f>
        <v>191.7648932699702</v>
      </c>
    </row>
    <row r="593" spans="2:6" ht="13.5" customHeight="1">
      <c r="B593" s="2208" t="str">
        <f>'1F'!AV48</f>
        <v>CR12519NNPA</v>
      </c>
      <c r="C593" s="219" t="s">
        <v>1088</v>
      </c>
      <c r="E593" s="249" t="s">
        <v>634</v>
      </c>
      <c r="F593" s="255">
        <f>IF(ISBLANK('1F'!K48),"##BLANK",'1F'!K48)</f>
        <v>7.1800000000000003E-2</v>
      </c>
    </row>
    <row r="594" spans="2:6" ht="13.5" customHeight="1">
      <c r="B594" s="2208" t="str">
        <f>'1F'!AW48</f>
        <v>CR12519ANPA</v>
      </c>
      <c r="C594" s="219" t="s">
        <v>1089</v>
      </c>
      <c r="E594" s="249" t="s">
        <v>634</v>
      </c>
      <c r="F594" s="255">
        <f>IF(ISBLANK('1F'!L48),"##BLANK",'1F'!L48)</f>
        <v>6.2777722581185899E-2</v>
      </c>
    </row>
    <row r="595" spans="2:6" ht="13.5" customHeight="1">
      <c r="B595" s="2208" t="str">
        <f>'1F'!AX48</f>
        <v>CR12519AAPA</v>
      </c>
      <c r="C595" s="219" t="s">
        <v>1090</v>
      </c>
      <c r="E595" s="249" t="s">
        <v>634</v>
      </c>
      <c r="F595" s="255">
        <f>IF(ISBLANK('1F'!M48),"##BLANK",'1F'!M48)</f>
        <v>6.0176899523920899E-2</v>
      </c>
    </row>
    <row r="596" spans="2:6" ht="13.5" customHeight="1">
      <c r="B596" s="2208" t="str">
        <f>'1F'!AY48</f>
        <v>CR12519NNVA</v>
      </c>
      <c r="C596" s="219" t="s">
        <v>1088</v>
      </c>
      <c r="E596" s="249" t="s">
        <v>634</v>
      </c>
      <c r="F596" s="255">
        <f>IF(ISBLANK('1F'!N48),"##BLANK",'1F'!N48)</f>
        <v>166.03426900000002</v>
      </c>
    </row>
    <row r="597" spans="2:6" ht="13.5" customHeight="1">
      <c r="B597" s="2208" t="str">
        <f>'1F'!AZ48</f>
        <v>CR12519ANVA</v>
      </c>
      <c r="C597" s="219" t="s">
        <v>1089</v>
      </c>
      <c r="E597" s="249" t="s">
        <v>634</v>
      </c>
      <c r="F597" s="255">
        <f>IF(ISBLANK('1F'!O48),"##BLANK",'1F'!O48)</f>
        <v>143.78291900000002</v>
      </c>
    </row>
    <row r="598" spans="2:6" ht="13.5" customHeight="1">
      <c r="B598" s="2208" t="str">
        <f>'1F'!BA48</f>
        <v>CR12519AAVA</v>
      </c>
      <c r="C598" s="219" t="s">
        <v>1090</v>
      </c>
      <c r="E598" s="249" t="s">
        <v>634</v>
      </c>
      <c r="F598" s="255">
        <f>IF(ISBLANK('1F'!P48),"##BLANK",'1F'!P48)</f>
        <v>136.94909320000002</v>
      </c>
    </row>
    <row r="599" spans="2:6" ht="13.5" customHeight="1">
      <c r="B599" s="254" t="str">
        <f>'1F'!AQ52</f>
        <v>CR13041ANP</v>
      </c>
      <c r="C599" s="219" t="s">
        <v>1091</v>
      </c>
      <c r="E599" s="249" t="s">
        <v>634</v>
      </c>
      <c r="F599" s="255">
        <f>IF(ISBLANK('1F'!F52),"##BLANK",'1F'!F52)</f>
        <v>2.1525020633089377E-3</v>
      </c>
    </row>
    <row r="600" spans="2:6" ht="13.5" customHeight="1">
      <c r="B600" s="254" t="str">
        <f>'1F'!AR52</f>
        <v>CR13042AAP</v>
      </c>
      <c r="C600" s="219" t="s">
        <v>1092</v>
      </c>
      <c r="E600" s="249" t="s">
        <v>634</v>
      </c>
      <c r="F600" s="255">
        <f>IF(ISBLANK('1F'!G52),"##BLANK",'1F'!G52)</f>
        <v>2.2960075927958476E-3</v>
      </c>
    </row>
    <row r="601" spans="2:6" ht="13.5" customHeight="1">
      <c r="B601" s="254" t="str">
        <f>'1F'!AU52</f>
        <v>CR13042AAV</v>
      </c>
      <c r="C601" s="219" t="s">
        <v>1092</v>
      </c>
      <c r="E601" s="249" t="s">
        <v>634</v>
      </c>
      <c r="F601" s="255">
        <f>IF(ISBLANK('1F'!J52),"##BLANK",'1F'!J52)</f>
        <v>5.0647057487585405</v>
      </c>
    </row>
    <row r="602" spans="2:6" ht="13.5" customHeight="1">
      <c r="B602" s="254" t="str">
        <f>'1F'!AW52</f>
        <v>CR13043ANPA</v>
      </c>
      <c r="C602" s="219" t="s">
        <v>1093</v>
      </c>
      <c r="E602" s="249" t="s">
        <v>634</v>
      </c>
      <c r="F602" s="255">
        <f>IF(ISBLANK('1F'!L52),"##BLANK",'1F'!L52)</f>
        <v>2.1903128925752071E-3</v>
      </c>
    </row>
    <row r="603" spans="2:6" ht="13.5" customHeight="1">
      <c r="B603" s="254" t="str">
        <f>'1F'!AX52</f>
        <v>CR13044AAPA</v>
      </c>
      <c r="C603" s="219" t="s">
        <v>1094</v>
      </c>
      <c r="E603" s="249" t="s">
        <v>634</v>
      </c>
      <c r="F603" s="255">
        <f>IF(ISBLANK('1F'!M52),"##BLANK",'1F'!M52)</f>
        <v>2.2518377040769604E-3</v>
      </c>
    </row>
    <row r="604" spans="2:6" ht="13.5" customHeight="1">
      <c r="B604" s="254" t="str">
        <f>'1F'!BA52</f>
        <v>CR13045AAVA</v>
      </c>
      <c r="C604" s="219" t="s">
        <v>1094</v>
      </c>
      <c r="E604" s="249" t="s">
        <v>634</v>
      </c>
      <c r="F604" s="255">
        <f>IF(ISBLANK('1F'!P52),"##BLANK",'1F'!P52)</f>
        <v>5.0650000000000004</v>
      </c>
    </row>
    <row r="605" spans="2:6" ht="13.5" customHeight="1">
      <c r="B605" s="254" t="str">
        <f>'1F'!AQ53</f>
        <v>CR13046ANP</v>
      </c>
      <c r="C605" s="219" t="s">
        <v>1095</v>
      </c>
      <c r="E605" s="249" t="s">
        <v>634</v>
      </c>
      <c r="F605" s="255">
        <f>IF(ISBLANK('1F'!F53),"##BLANK",'1F'!F53)</f>
        <v>8.0512093318461497E-6</v>
      </c>
    </row>
    <row r="606" spans="2:6" ht="13.5" customHeight="1">
      <c r="B606" s="254" t="str">
        <f>'1F'!AR53</f>
        <v>CR13048AAP</v>
      </c>
      <c r="C606" s="219" t="s">
        <v>1096</v>
      </c>
      <c r="E606" s="249" t="s">
        <v>634</v>
      </c>
      <c r="F606" s="255">
        <f>IF(ISBLANK('1F'!G53),"##BLANK",'1F'!G53)</f>
        <v>8.5879767885985049E-6</v>
      </c>
    </row>
    <row r="607" spans="2:6" ht="13.5" customHeight="1">
      <c r="B607" s="254" t="str">
        <f>'1F'!AU53</f>
        <v>CR13051AAV</v>
      </c>
      <c r="C607" s="219" t="s">
        <v>1096</v>
      </c>
      <c r="E607" s="249" t="s">
        <v>634</v>
      </c>
      <c r="F607" s="255">
        <f>IF(ISBLANK('1F'!J53),"##BLANK",'1F'!J53)</f>
        <v>1.8944003298549728E-2</v>
      </c>
    </row>
    <row r="608" spans="2:6" ht="13.5" customHeight="1">
      <c r="B608" s="254" t="str">
        <f>'1F'!AW53</f>
        <v>CR13053ANPA</v>
      </c>
      <c r="C608" s="219" t="s">
        <v>1097</v>
      </c>
      <c r="E608" s="249" t="s">
        <v>634</v>
      </c>
      <c r="F608" s="255">
        <f>IF(ISBLANK('1F'!L53),"##BLANK",'1F'!L53)</f>
        <v>8.2163761024538857E-6</v>
      </c>
    </row>
    <row r="609" spans="2:6" ht="13.5" customHeight="1">
      <c r="B609" s="254" t="str">
        <f>'1F'!AX53</f>
        <v>CR13055AAPA</v>
      </c>
      <c r="C609" s="219" t="s">
        <v>1098</v>
      </c>
      <c r="E609" s="249" t="s">
        <v>634</v>
      </c>
      <c r="F609" s="255">
        <f>IF(ISBLANK('1F'!M53),"##BLANK",'1F'!M53)</f>
        <v>8.4471700646519723E-6</v>
      </c>
    </row>
    <row r="610" spans="2:6" ht="13.5" customHeight="1">
      <c r="B610" s="254" t="str">
        <f>'1F'!BA53</f>
        <v>CR13058AAVA</v>
      </c>
      <c r="C610" s="219" t="s">
        <v>1098</v>
      </c>
      <c r="E610" s="249" t="s">
        <v>634</v>
      </c>
      <c r="F610" s="255">
        <f>IF(ISBLANK('1F'!P53),"##BLANK",'1F'!P53)</f>
        <v>1.9E-2</v>
      </c>
    </row>
    <row r="611" spans="2:6" ht="13.5" customHeight="1">
      <c r="B611" s="254" t="str">
        <f>'1F'!AQ54</f>
        <v>CR13047ANP</v>
      </c>
      <c r="C611" s="219" t="s">
        <v>1099</v>
      </c>
      <c r="E611" s="249" t="s">
        <v>634</v>
      </c>
      <c r="F611" s="255">
        <f>IF(ISBLANK('1F'!F54),"##BLANK",'1F'!F54)</f>
        <v>2.160553272640784E-3</v>
      </c>
    </row>
    <row r="612" spans="2:6" ht="13.5" customHeight="1">
      <c r="B612" s="254" t="str">
        <f>'1F'!AR54</f>
        <v>CR13049AAP</v>
      </c>
      <c r="C612" s="219" t="s">
        <v>1100</v>
      </c>
      <c r="E612" s="249" t="s">
        <v>634</v>
      </c>
      <c r="F612" s="255">
        <f>IF(ISBLANK('1F'!G54),"##BLANK",'1F'!G54)</f>
        <v>2.304595569584446E-3</v>
      </c>
    </row>
    <row r="613" spans="2:6" ht="13.5" customHeight="1">
      <c r="B613" s="254" t="str">
        <f>'1F'!AT54</f>
        <v>CR13050ANV</v>
      </c>
      <c r="C613" s="219" t="s">
        <v>1099</v>
      </c>
      <c r="E613" s="249" t="s">
        <v>634</v>
      </c>
      <c r="F613" s="255">
        <f>IF(ISBLANK('1F'!I54),"##BLANK",'1F'!I54)</f>
        <v>5.0836497520570898</v>
      </c>
    </row>
    <row r="614" spans="2:6" ht="13.5" customHeight="1">
      <c r="B614" s="254" t="str">
        <f>'1F'!AU54</f>
        <v>CR13052AAV</v>
      </c>
      <c r="C614" s="219" t="s">
        <v>1100</v>
      </c>
      <c r="E614" s="249" t="s">
        <v>634</v>
      </c>
      <c r="F614" s="255">
        <f>IF(ISBLANK('1F'!J54),"##BLANK",'1F'!J54)</f>
        <v>5.0836497520570898</v>
      </c>
    </row>
    <row r="615" spans="2:6" ht="13.5" customHeight="1">
      <c r="B615" s="254" t="str">
        <f>'1F'!AW54</f>
        <v>CR13054ANPA</v>
      </c>
      <c r="C615" s="219" t="s">
        <v>1101</v>
      </c>
      <c r="E615" s="249" t="s">
        <v>634</v>
      </c>
      <c r="F615" s="255">
        <f>IF(ISBLANK('1F'!L54),"##BLANK",'1F'!L54)</f>
        <v>2.1985292686776611E-3</v>
      </c>
    </row>
    <row r="616" spans="2:6" ht="13.5" customHeight="1">
      <c r="B616" s="254" t="str">
        <f>'1F'!AX54</f>
        <v>CR13056AAPA</v>
      </c>
      <c r="C616" s="219" t="s">
        <v>1102</v>
      </c>
      <c r="E616" s="249" t="s">
        <v>634</v>
      </c>
      <c r="F616" s="255">
        <f>IF(ISBLANK('1F'!M54),"##BLANK",'1F'!M54)</f>
        <v>2.2602848741416124E-3</v>
      </c>
    </row>
    <row r="617" spans="2:6" ht="13.5" customHeight="1">
      <c r="B617" s="254" t="str">
        <f>'1F'!AZ54</f>
        <v>CR13057ANVA</v>
      </c>
      <c r="C617" s="219" t="s">
        <v>1101</v>
      </c>
      <c r="E617" s="249" t="s">
        <v>634</v>
      </c>
      <c r="F617" s="255">
        <f>IF(ISBLANK('1F'!O54),"##BLANK",'1F'!O54)</f>
        <v>5.0840000000000005</v>
      </c>
    </row>
    <row r="618" spans="2:6" ht="13.5" customHeight="1">
      <c r="B618" s="254" t="str">
        <f>'1F'!BA54</f>
        <v>CR13059AAVA</v>
      </c>
      <c r="C618" s="219" t="s">
        <v>1102</v>
      </c>
      <c r="E618" s="249" t="s">
        <v>634</v>
      </c>
      <c r="F618" s="255">
        <f>IF(ISBLANK('1F'!P54),"##BLANK",'1F'!P54)</f>
        <v>5.0840000000000005</v>
      </c>
    </row>
  </sheetData>
  <sheetProtection sort="0"/>
  <conditionalFormatting sqref="E4:E618">
    <cfRule type="expression" dxfId="249"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8" zoomScale="80" zoomScaleNormal="80" zoomScaleSheetLayoutView="100" workbookViewId="0">
      <selection activeCell="X45" sqref="X45"/>
    </sheetView>
  </sheetViews>
  <sheetFormatPr defaultColWidth="8.59765625" defaultRowHeight="15"/>
  <cols>
    <col min="1" max="1" width="1.59765625" style="106" customWidth="1"/>
    <col min="2" max="2" width="53.19921875" style="106" bestFit="1" customWidth="1"/>
    <col min="3" max="3" width="7" style="106" customWidth="1"/>
    <col min="4" max="4" width="5.09765625" style="106" customWidth="1"/>
    <col min="5" max="15" width="12.59765625" style="106" customWidth="1"/>
    <col min="16" max="16" width="12.59765625" style="455" customWidth="1"/>
    <col min="17" max="17" width="13.69921875" style="455" customWidth="1"/>
    <col min="18" max="20" width="12.59765625" style="455" customWidth="1"/>
    <col min="21" max="21" width="1.59765625" style="455" customWidth="1"/>
    <col min="22" max="22" width="12.59765625" style="455" customWidth="1"/>
    <col min="23" max="23" width="1.59765625" style="106" customWidth="1"/>
    <col min="24" max="24" width="33.59765625" style="106" customWidth="1"/>
    <col min="25" max="26" width="1.59765625" style="106" customWidth="1"/>
    <col min="27" max="27" width="25.09765625" style="106" customWidth="1"/>
    <col min="28" max="28" width="1.59765625" style="106" customWidth="1"/>
    <col min="29" max="44" width="6.09765625" style="106" hidden="1" customWidth="1"/>
    <col min="45" max="45" width="1.59765625" style="106" hidden="1" customWidth="1"/>
    <col min="46" max="46" width="1.59765625" style="106" customWidth="1"/>
    <col min="47" max="47" width="36.09765625" style="106" customWidth="1"/>
    <col min="48" max="48" width="7" style="106" customWidth="1"/>
    <col min="49" max="49" width="5.5" style="106" customWidth="1"/>
    <col min="50" max="65" width="15" style="106" customWidth="1"/>
    <col min="66" max="16384" width="8.59765625" style="106"/>
  </cols>
  <sheetData>
    <row r="1" spans="1:65" ht="29.25" customHeight="1">
      <c r="B1" s="2819" t="s">
        <v>11527</v>
      </c>
      <c r="C1" s="2819"/>
      <c r="D1" s="2819"/>
      <c r="E1" s="2819"/>
      <c r="F1" s="723"/>
      <c r="G1" s="723"/>
      <c r="H1" s="723"/>
      <c r="I1" s="723"/>
      <c r="J1" s="723"/>
      <c r="K1" s="723"/>
      <c r="L1" s="723"/>
      <c r="M1" s="723"/>
      <c r="N1" s="723"/>
      <c r="O1" s="723"/>
      <c r="P1" s="723"/>
      <c r="Q1" s="723"/>
      <c r="R1" s="723"/>
      <c r="S1" s="723"/>
      <c r="T1" s="723"/>
      <c r="U1" s="723"/>
      <c r="V1" s="723"/>
      <c r="Z1" s="1165"/>
      <c r="AA1" s="284"/>
      <c r="AB1" s="1165"/>
      <c r="AS1" s="1165"/>
      <c r="AU1" s="2819" t="s">
        <v>4198</v>
      </c>
      <c r="AV1" s="2819"/>
      <c r="AW1" s="2819"/>
      <c r="AX1" s="2819"/>
    </row>
    <row r="2" spans="1:65" ht="29.25" customHeight="1">
      <c r="B2" s="2819" t="str">
        <f>SelectCompany!B4</f>
        <v>Dŵr Cymru</v>
      </c>
      <c r="C2" s="2819"/>
      <c r="D2" s="2819"/>
      <c r="E2" s="2819"/>
      <c r="F2" s="529"/>
      <c r="G2" s="529"/>
      <c r="H2" s="529"/>
      <c r="I2" s="529"/>
      <c r="J2" s="529"/>
      <c r="K2" s="529"/>
      <c r="L2" s="529"/>
      <c r="M2" s="529"/>
      <c r="N2" s="529"/>
      <c r="O2" s="529"/>
      <c r="P2" s="529"/>
      <c r="Q2" s="529"/>
      <c r="R2" s="529"/>
      <c r="S2" s="529"/>
      <c r="T2" s="529"/>
      <c r="U2" s="529"/>
      <c r="V2" s="529"/>
      <c r="Z2" s="1165"/>
      <c r="AA2" s="284"/>
      <c r="AB2" s="1165"/>
      <c r="AS2" s="1165"/>
      <c r="AU2" s="2819"/>
      <c r="AV2" s="2819"/>
      <c r="AW2" s="2819"/>
      <c r="AX2" s="2819"/>
    </row>
    <row r="3" spans="1:65" ht="45" customHeight="1">
      <c r="B3" s="2829" t="s">
        <v>11528</v>
      </c>
      <c r="C3" s="2829"/>
      <c r="D3" s="2829"/>
      <c r="E3" s="2829"/>
      <c r="F3" s="2829"/>
      <c r="G3" s="2829"/>
      <c r="H3" s="2829"/>
      <c r="I3" s="2829"/>
      <c r="J3" s="2829"/>
      <c r="K3" s="2829"/>
      <c r="L3" s="2829"/>
      <c r="M3" s="2829"/>
      <c r="N3" s="2829"/>
      <c r="O3" s="2829"/>
      <c r="P3" s="2829"/>
      <c r="Q3" s="2829"/>
      <c r="R3" s="2829"/>
      <c r="S3" s="2829"/>
      <c r="T3" s="2829"/>
      <c r="U3" s="2829"/>
      <c r="V3" s="2829"/>
      <c r="W3" s="2829"/>
      <c r="X3" s="2829"/>
      <c r="Z3" s="1165"/>
      <c r="AA3" s="650" t="s">
        <v>4200</v>
      </c>
      <c r="AB3" s="1165"/>
      <c r="AS3" s="1165"/>
      <c r="AU3" s="2905" t="s">
        <v>11528</v>
      </c>
      <c r="AV3" s="2905"/>
      <c r="AW3" s="2905"/>
      <c r="AX3" s="2905"/>
      <c r="AY3" s="2905"/>
      <c r="AZ3" s="2905"/>
      <c r="BA3" s="2905"/>
      <c r="BB3" s="2905"/>
      <c r="BC3" s="2905"/>
      <c r="BD3" s="2905"/>
      <c r="BE3" s="2905"/>
      <c r="BF3" s="2905"/>
      <c r="BG3" s="2905"/>
      <c r="BH3" s="2905"/>
      <c r="BI3" s="2905"/>
      <c r="BJ3" s="2905"/>
      <c r="BK3" s="2905"/>
      <c r="BL3" s="2905"/>
      <c r="BM3" s="2905"/>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2" thickTop="1" thickBot="1">
      <c r="B5" s="445" t="s">
        <v>4202</v>
      </c>
      <c r="C5" s="446" t="s">
        <v>4203</v>
      </c>
      <c r="D5" s="446" t="s">
        <v>4204</v>
      </c>
      <c r="E5" s="446" t="s">
        <v>6187</v>
      </c>
      <c r="F5" s="446" t="s">
        <v>6195</v>
      </c>
      <c r="G5" s="446" t="s">
        <v>4425</v>
      </c>
      <c r="H5" s="447" t="s">
        <v>11529</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11529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710" t="s">
        <v>4201</v>
      </c>
      <c r="AD6" s="2710"/>
      <c r="AE6" s="2710"/>
      <c r="AF6" s="2710"/>
      <c r="AG6" s="2710"/>
      <c r="AH6" s="2710"/>
      <c r="AI6" s="2710"/>
      <c r="AJ6" s="2710"/>
      <c r="AK6" s="2710"/>
      <c r="AL6" s="2710"/>
      <c r="AM6" s="2710"/>
      <c r="AN6" s="2710"/>
      <c r="AO6" s="2710"/>
      <c r="AP6" s="2710"/>
      <c r="AQ6" s="2710"/>
      <c r="AR6" s="2710"/>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11530</v>
      </c>
      <c r="C7" s="482"/>
      <c r="D7" s="482"/>
      <c r="E7" s="482"/>
      <c r="F7" s="482"/>
      <c r="G7" s="349"/>
      <c r="H7" s="349"/>
      <c r="I7" s="349"/>
      <c r="P7" s="106"/>
      <c r="Q7" s="106"/>
      <c r="R7" s="106"/>
      <c r="S7" s="106"/>
      <c r="V7" s="106"/>
      <c r="W7" s="282"/>
      <c r="X7" s="282"/>
      <c r="Y7" s="282"/>
      <c r="Z7" s="1165"/>
      <c r="AA7" s="284"/>
      <c r="AB7" s="1165"/>
      <c r="AC7" s="269" t="s">
        <v>4210</v>
      </c>
      <c r="AS7" s="1165"/>
      <c r="AU7" s="393" t="s">
        <v>11530</v>
      </c>
      <c r="AV7" s="482"/>
      <c r="AW7" s="482"/>
      <c r="AX7" s="482"/>
      <c r="AY7" s="482"/>
      <c r="AZ7" s="349"/>
      <c r="BA7" s="349"/>
      <c r="BB7" s="349"/>
      <c r="BM7" s="455"/>
    </row>
    <row r="8" spans="1:65" s="224" customFormat="1" ht="15.75" customHeight="1" thickTop="1">
      <c r="A8" s="197"/>
      <c r="B8" s="451" t="s">
        <v>11531</v>
      </c>
      <c r="C8" s="277" t="s">
        <v>5981</v>
      </c>
      <c r="D8" s="277">
        <v>3</v>
      </c>
      <c r="E8" s="809">
        <v>52.1</v>
      </c>
      <c r="F8" s="809">
        <v>33.220999999999997</v>
      </c>
      <c r="G8" s="1166">
        <f t="shared" ref="G8:G15" si="0">IFERROR(E8 + F8, 0)</f>
        <v>85.320999999999998</v>
      </c>
      <c r="H8" s="810">
        <v>2.9790000000000001</v>
      </c>
      <c r="I8" s="436"/>
      <c r="J8" s="436"/>
      <c r="K8" s="436"/>
      <c r="L8" s="436"/>
      <c r="M8" s="436"/>
      <c r="N8" s="436"/>
      <c r="O8" s="436"/>
      <c r="P8" s="436"/>
      <c r="Q8" s="436"/>
      <c r="R8" s="436"/>
      <c r="S8" s="436"/>
      <c r="T8" s="436"/>
      <c r="U8" s="197"/>
      <c r="V8" s="281" t="s">
        <v>11532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11531</v>
      </c>
      <c r="AV8" s="277" t="s">
        <v>5981</v>
      </c>
      <c r="AW8" s="277">
        <v>3</v>
      </c>
      <c r="AX8" s="809" t="s">
        <v>11533</v>
      </c>
      <c r="AY8" s="809" t="s">
        <v>11534</v>
      </c>
      <c r="AZ8" s="1166" t="s">
        <v>11535</v>
      </c>
      <c r="BA8" s="810" t="s">
        <v>11536</v>
      </c>
      <c r="BB8" s="436"/>
      <c r="BC8" s="436"/>
      <c r="BD8" s="436"/>
      <c r="BE8" s="436"/>
      <c r="BF8" s="436"/>
      <c r="BG8" s="436"/>
      <c r="BH8" s="436"/>
      <c r="BI8" s="436"/>
      <c r="BJ8" s="436"/>
      <c r="BK8" s="436"/>
      <c r="BL8" s="436"/>
      <c r="BM8" s="436"/>
    </row>
    <row r="9" spans="1:65" s="224" customFormat="1" ht="15.75" customHeight="1">
      <c r="A9" s="197"/>
      <c r="B9" s="460" t="s">
        <v>11537</v>
      </c>
      <c r="C9" s="286" t="s">
        <v>5981</v>
      </c>
      <c r="D9" s="286">
        <v>3</v>
      </c>
      <c r="E9" s="799">
        <v>46.997999999999998</v>
      </c>
      <c r="F9" s="799">
        <v>83.611999999999995</v>
      </c>
      <c r="G9" s="797">
        <f t="shared" si="0"/>
        <v>130.60999999999999</v>
      </c>
      <c r="H9" s="800">
        <v>4.03</v>
      </c>
      <c r="I9" s="436"/>
      <c r="J9" s="436"/>
      <c r="K9" s="436"/>
      <c r="L9" s="436"/>
      <c r="M9" s="436"/>
      <c r="N9" s="436"/>
      <c r="O9" s="436"/>
      <c r="P9" s="436"/>
      <c r="Q9" s="436"/>
      <c r="R9" s="436"/>
      <c r="S9" s="436"/>
      <c r="T9" s="436"/>
      <c r="U9" s="197"/>
      <c r="V9" s="290" t="s">
        <v>11538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11537</v>
      </c>
      <c r="AV9" s="286" t="s">
        <v>5981</v>
      </c>
      <c r="AW9" s="286">
        <v>3</v>
      </c>
      <c r="AX9" s="799" t="s">
        <v>11539</v>
      </c>
      <c r="AY9" s="799" t="s">
        <v>11540</v>
      </c>
      <c r="AZ9" s="797" t="s">
        <v>11541</v>
      </c>
      <c r="BA9" s="800" t="s">
        <v>11542</v>
      </c>
      <c r="BB9" s="436"/>
      <c r="BC9" s="436"/>
      <c r="BD9" s="436"/>
      <c r="BE9" s="436"/>
      <c r="BF9" s="436"/>
      <c r="BG9" s="436"/>
      <c r="BH9" s="436"/>
      <c r="BI9" s="436"/>
      <c r="BJ9" s="436"/>
      <c r="BK9" s="436"/>
      <c r="BL9" s="436"/>
      <c r="BM9" s="436"/>
    </row>
    <row r="10" spans="1:65" s="224" customFormat="1" ht="15.75" customHeight="1">
      <c r="A10" s="197"/>
      <c r="B10" s="460" t="s">
        <v>11543</v>
      </c>
      <c r="C10" s="286" t="s">
        <v>5981</v>
      </c>
      <c r="D10" s="286">
        <v>3</v>
      </c>
      <c r="E10" s="799">
        <v>629.47299999999996</v>
      </c>
      <c r="F10" s="799">
        <v>598.971</v>
      </c>
      <c r="G10" s="797">
        <f t="shared" si="0"/>
        <v>1228.444</v>
      </c>
      <c r="H10" s="800">
        <v>43.648000000000003</v>
      </c>
      <c r="I10" s="436"/>
      <c r="J10" s="436"/>
      <c r="K10" s="436"/>
      <c r="L10" s="436"/>
      <c r="M10" s="436"/>
      <c r="N10" s="436"/>
      <c r="O10" s="436"/>
      <c r="P10" s="436"/>
      <c r="Q10" s="436"/>
      <c r="R10" s="436"/>
      <c r="S10" s="436"/>
      <c r="T10" s="436"/>
      <c r="U10" s="197"/>
      <c r="V10" s="290" t="s">
        <v>11544</v>
      </c>
      <c r="W10" s="282"/>
      <c r="X10" s="291"/>
      <c r="Y10" s="282"/>
      <c r="Z10" s="345"/>
      <c r="AA10" s="284">
        <f t="shared" si="3"/>
        <v>0</v>
      </c>
      <c r="AB10" s="345"/>
      <c r="AC10" s="285">
        <f t="shared" si="4"/>
        <v>0</v>
      </c>
      <c r="AD10" s="285">
        <f t="shared" si="2"/>
        <v>0</v>
      </c>
      <c r="AF10" s="285">
        <f t="shared" si="1"/>
        <v>0</v>
      </c>
      <c r="AS10" s="1165"/>
      <c r="AU10" s="460" t="s">
        <v>11543</v>
      </c>
      <c r="AV10" s="286" t="s">
        <v>5981</v>
      </c>
      <c r="AW10" s="286">
        <v>3</v>
      </c>
      <c r="AX10" s="799" t="s">
        <v>11545</v>
      </c>
      <c r="AY10" s="799" t="s">
        <v>11546</v>
      </c>
      <c r="AZ10" s="797" t="s">
        <v>11547</v>
      </c>
      <c r="BA10" s="800" t="s">
        <v>11548</v>
      </c>
      <c r="BB10" s="436"/>
      <c r="BC10" s="436"/>
      <c r="BD10" s="436"/>
      <c r="BE10" s="436"/>
      <c r="BF10" s="436"/>
      <c r="BG10" s="436"/>
      <c r="BH10" s="436"/>
      <c r="BI10" s="436"/>
      <c r="BJ10" s="436"/>
      <c r="BK10" s="436"/>
      <c r="BL10" s="436"/>
      <c r="BM10" s="436"/>
    </row>
    <row r="11" spans="1:65" s="224" customFormat="1" ht="15.75" customHeight="1">
      <c r="A11" s="197"/>
      <c r="B11" s="460" t="s">
        <v>11549</v>
      </c>
      <c r="C11" s="286" t="s">
        <v>5981</v>
      </c>
      <c r="D11" s="286">
        <v>3</v>
      </c>
      <c r="E11" s="797">
        <f>IFERROR(SUM(E8:E10), 0)</f>
        <v>728.57099999999991</v>
      </c>
      <c r="F11" s="797">
        <f>IFERROR(SUM(F8:F10), 0)</f>
        <v>715.80399999999997</v>
      </c>
      <c r="G11" s="797">
        <f t="shared" si="0"/>
        <v>1444.375</v>
      </c>
      <c r="H11" s="798">
        <f>IFERROR(SUM(H8:H10), 0)</f>
        <v>50.657000000000004</v>
      </c>
      <c r="I11" s="436"/>
      <c r="J11" s="436"/>
      <c r="K11" s="436"/>
      <c r="L11" s="436"/>
      <c r="M11" s="436"/>
      <c r="N11" s="436"/>
      <c r="O11" s="436"/>
      <c r="P11" s="436"/>
      <c r="Q11" s="436"/>
      <c r="R11" s="436"/>
      <c r="S11" s="436"/>
      <c r="T11" s="436"/>
      <c r="U11" s="197"/>
      <c r="V11" s="290" t="s">
        <v>11550</v>
      </c>
      <c r="W11" s="282"/>
      <c r="X11" s="291"/>
      <c r="Y11" s="282"/>
      <c r="Z11" s="345"/>
      <c r="AA11" s="284"/>
      <c r="AB11" s="345"/>
      <c r="AS11" s="1165"/>
      <c r="AU11" s="460" t="s">
        <v>11549</v>
      </c>
      <c r="AV11" s="286" t="s">
        <v>5981</v>
      </c>
      <c r="AW11" s="286">
        <v>3</v>
      </c>
      <c r="AX11" s="797" t="s">
        <v>11551</v>
      </c>
      <c r="AY11" s="797" t="s">
        <v>11552</v>
      </c>
      <c r="AZ11" s="797" t="s">
        <v>11553</v>
      </c>
      <c r="BA11" s="798" t="s">
        <v>11554</v>
      </c>
      <c r="BB11" s="436"/>
      <c r="BC11" s="436"/>
      <c r="BD11" s="436"/>
      <c r="BE11" s="436"/>
      <c r="BF11" s="436"/>
      <c r="BG11" s="436"/>
      <c r="BH11" s="436"/>
      <c r="BI11" s="436"/>
      <c r="BJ11" s="436"/>
      <c r="BK11" s="436"/>
      <c r="BL11" s="436"/>
      <c r="BM11" s="436"/>
    </row>
    <row r="12" spans="1:65" s="224" customFormat="1" ht="15.75" customHeight="1">
      <c r="A12" s="197"/>
      <c r="B12" s="460" t="s">
        <v>11555</v>
      </c>
      <c r="C12" s="286" t="s">
        <v>5981</v>
      </c>
      <c r="D12" s="286">
        <v>3</v>
      </c>
      <c r="E12" s="799">
        <v>1.7230000000000001</v>
      </c>
      <c r="F12" s="799">
        <v>32.311999999999998</v>
      </c>
      <c r="G12" s="797">
        <f t="shared" si="0"/>
        <v>34.034999999999997</v>
      </c>
      <c r="H12" s="800">
        <v>2.3050000000000002</v>
      </c>
      <c r="I12" s="436"/>
      <c r="J12" s="436"/>
      <c r="K12" s="436"/>
      <c r="L12" s="436"/>
      <c r="M12" s="436"/>
      <c r="N12" s="436"/>
      <c r="O12" s="436"/>
      <c r="P12" s="436"/>
      <c r="Q12" s="436"/>
      <c r="R12" s="436"/>
      <c r="S12" s="436"/>
      <c r="T12" s="436"/>
      <c r="U12" s="197"/>
      <c r="V12" s="290" t="s">
        <v>11556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11555</v>
      </c>
      <c r="AV12" s="286" t="s">
        <v>5981</v>
      </c>
      <c r="AW12" s="286">
        <v>3</v>
      </c>
      <c r="AX12" s="799" t="s">
        <v>11557</v>
      </c>
      <c r="AY12" s="799" t="s">
        <v>11558</v>
      </c>
      <c r="AZ12" s="797" t="s">
        <v>11559</v>
      </c>
      <c r="BA12" s="800" t="s">
        <v>11560</v>
      </c>
      <c r="BB12" s="436"/>
      <c r="BC12" s="436"/>
      <c r="BD12" s="436"/>
      <c r="BE12" s="436"/>
      <c r="BF12" s="436"/>
      <c r="BG12" s="436"/>
      <c r="BH12" s="436"/>
      <c r="BI12" s="436"/>
      <c r="BJ12" s="436"/>
      <c r="BK12" s="436"/>
      <c r="BL12" s="436"/>
      <c r="BM12" s="436"/>
    </row>
    <row r="13" spans="1:65" s="224" customFormat="1" ht="15.75" customHeight="1">
      <c r="A13" s="197"/>
      <c r="B13" s="460" t="s">
        <v>11561</v>
      </c>
      <c r="C13" s="286" t="s">
        <v>5981</v>
      </c>
      <c r="D13" s="286">
        <v>3</v>
      </c>
      <c r="E13" s="799">
        <v>1.0249999999999999</v>
      </c>
      <c r="F13" s="799">
        <v>5.7489999999999997</v>
      </c>
      <c r="G13" s="797">
        <f t="shared" si="0"/>
        <v>6.7739999999999991</v>
      </c>
      <c r="H13" s="800">
        <v>1.827</v>
      </c>
      <c r="I13" s="436"/>
      <c r="J13" s="436"/>
      <c r="K13" s="436"/>
      <c r="L13" s="436"/>
      <c r="M13" s="436"/>
      <c r="N13" s="436"/>
      <c r="O13" s="436"/>
      <c r="P13" s="436"/>
      <c r="Q13" s="436"/>
      <c r="R13" s="436"/>
      <c r="S13" s="436"/>
      <c r="T13" s="436"/>
      <c r="U13" s="197"/>
      <c r="V13" s="290" t="s">
        <v>11562</v>
      </c>
      <c r="W13" s="282"/>
      <c r="X13" s="291"/>
      <c r="Y13" s="282"/>
      <c r="Z13" s="345"/>
      <c r="AA13" s="284">
        <f t="shared" si="5"/>
        <v>0</v>
      </c>
      <c r="AB13" s="345"/>
      <c r="AC13" s="285">
        <f t="shared" si="6"/>
        <v>0</v>
      </c>
      <c r="AD13" s="285">
        <f t="shared" si="7"/>
        <v>0</v>
      </c>
      <c r="AF13" s="285">
        <f t="shared" si="8"/>
        <v>0</v>
      </c>
      <c r="AS13" s="1165"/>
      <c r="AU13" s="460" t="s">
        <v>11561</v>
      </c>
      <c r="AV13" s="286" t="s">
        <v>5981</v>
      </c>
      <c r="AW13" s="286">
        <v>3</v>
      </c>
      <c r="AX13" s="799" t="s">
        <v>11563</v>
      </c>
      <c r="AY13" s="799" t="s">
        <v>11564</v>
      </c>
      <c r="AZ13" s="797" t="s">
        <v>11565</v>
      </c>
      <c r="BA13" s="800" t="s">
        <v>11566</v>
      </c>
      <c r="BB13" s="436"/>
      <c r="BC13" s="436"/>
      <c r="BD13" s="436"/>
      <c r="BE13" s="436"/>
      <c r="BF13" s="436"/>
      <c r="BG13" s="436"/>
      <c r="BH13" s="436"/>
      <c r="BI13" s="436"/>
      <c r="BJ13" s="436"/>
      <c r="BK13" s="436"/>
      <c r="BL13" s="436"/>
      <c r="BM13" s="436"/>
    </row>
    <row r="14" spans="1:65" ht="15.75" customHeight="1">
      <c r="B14" s="460" t="s">
        <v>11567</v>
      </c>
      <c r="C14" s="286" t="s">
        <v>5981</v>
      </c>
      <c r="D14" s="286">
        <v>3</v>
      </c>
      <c r="E14" s="799">
        <v>5.4779999999999998</v>
      </c>
      <c r="F14" s="799">
        <v>59.350999999999999</v>
      </c>
      <c r="G14" s="797">
        <f t="shared" si="0"/>
        <v>64.828999999999994</v>
      </c>
      <c r="H14" s="800">
        <v>8.0839999999999996</v>
      </c>
      <c r="I14" s="436"/>
      <c r="J14" s="436"/>
      <c r="K14" s="436"/>
      <c r="L14" s="436"/>
      <c r="M14" s="436"/>
      <c r="N14" s="436"/>
      <c r="O14" s="436"/>
      <c r="P14" s="436"/>
      <c r="Q14" s="436"/>
      <c r="R14" s="436"/>
      <c r="S14" s="436"/>
      <c r="T14" s="436"/>
      <c r="V14" s="290" t="s">
        <v>11568</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11567</v>
      </c>
      <c r="AV14" s="286" t="s">
        <v>5981</v>
      </c>
      <c r="AW14" s="286">
        <v>3</v>
      </c>
      <c r="AX14" s="799" t="s">
        <v>11569</v>
      </c>
      <c r="AY14" s="799" t="s">
        <v>11570</v>
      </c>
      <c r="AZ14" s="797" t="s">
        <v>11571</v>
      </c>
      <c r="BA14" s="800" t="s">
        <v>11572</v>
      </c>
      <c r="BB14" s="436"/>
      <c r="BC14" s="436"/>
      <c r="BD14" s="436"/>
      <c r="BE14" s="436"/>
      <c r="BF14" s="436"/>
      <c r="BG14" s="436"/>
      <c r="BH14" s="436"/>
      <c r="BI14" s="436"/>
      <c r="BJ14" s="436"/>
      <c r="BK14" s="436"/>
      <c r="BL14" s="436"/>
      <c r="BM14" s="436"/>
    </row>
    <row r="15" spans="1:65" ht="15.75" customHeight="1">
      <c r="B15" s="460" t="s">
        <v>11573</v>
      </c>
      <c r="C15" s="286" t="s">
        <v>5981</v>
      </c>
      <c r="D15" s="286">
        <v>3</v>
      </c>
      <c r="E15" s="797">
        <f>IFERROR(SUM(E12:E14), 0)</f>
        <v>8.2259999999999991</v>
      </c>
      <c r="F15" s="797">
        <f>IFERROR(SUM(F12:F14), 0)</f>
        <v>97.412000000000006</v>
      </c>
      <c r="G15" s="797">
        <f t="shared" si="0"/>
        <v>105.63800000000001</v>
      </c>
      <c r="H15" s="798">
        <f>IFERROR(SUM(H12:H14), 0)</f>
        <v>12.215999999999999</v>
      </c>
      <c r="I15" s="436"/>
      <c r="J15" s="436"/>
      <c r="K15" s="436"/>
      <c r="L15" s="436"/>
      <c r="M15" s="436"/>
      <c r="N15" s="436"/>
      <c r="O15" s="436"/>
      <c r="P15" s="436"/>
      <c r="Q15" s="436"/>
      <c r="R15" s="436"/>
      <c r="S15" s="436"/>
      <c r="T15" s="436"/>
      <c r="V15" s="290" t="s">
        <v>11574</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11573</v>
      </c>
      <c r="AV15" s="286" t="s">
        <v>5981</v>
      </c>
      <c r="AW15" s="286">
        <v>3</v>
      </c>
      <c r="AX15" s="797" t="s">
        <v>11575</v>
      </c>
      <c r="AY15" s="797" t="s">
        <v>11576</v>
      </c>
      <c r="AZ15" s="797" t="s">
        <v>11577</v>
      </c>
      <c r="BA15" s="798" t="s">
        <v>11578</v>
      </c>
      <c r="BB15" s="436"/>
      <c r="BC15" s="436"/>
      <c r="BD15" s="436"/>
      <c r="BE15" s="436"/>
      <c r="BF15" s="436"/>
      <c r="BG15" s="436"/>
      <c r="BH15" s="436"/>
      <c r="BI15" s="436"/>
      <c r="BJ15" s="436"/>
      <c r="BK15" s="436"/>
      <c r="BL15" s="436"/>
      <c r="BM15" s="436"/>
    </row>
    <row r="16" spans="1:65" ht="15.75" customHeight="1" thickBot="1">
      <c r="B16" s="463" t="s">
        <v>11579</v>
      </c>
      <c r="C16" s="355" t="s">
        <v>5981</v>
      </c>
      <c r="D16" s="355">
        <v>3</v>
      </c>
      <c r="E16" s="806">
        <f>IFERROR(E11 + E15, 0)</f>
        <v>736.79699999999991</v>
      </c>
      <c r="F16" s="806">
        <f>IFERROR(F11 + F15, 0)</f>
        <v>813.21600000000001</v>
      </c>
      <c r="G16" s="806">
        <f>IFERROR(E16 + F16, 0)</f>
        <v>1550.0129999999999</v>
      </c>
      <c r="H16" s="807">
        <f>IFERROR(H11 + H15, 0)</f>
        <v>62.873000000000005</v>
      </c>
      <c r="I16" s="436"/>
      <c r="J16" s="436"/>
      <c r="K16" s="436"/>
      <c r="L16" s="436"/>
      <c r="M16" s="436"/>
      <c r="N16" s="436"/>
      <c r="O16" s="436"/>
      <c r="P16" s="436"/>
      <c r="Q16" s="436"/>
      <c r="R16" s="436"/>
      <c r="S16" s="436"/>
      <c r="T16" s="436"/>
      <c r="V16" s="356" t="s">
        <v>11580</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11579</v>
      </c>
      <c r="AV16" s="355" t="s">
        <v>5981</v>
      </c>
      <c r="AW16" s="355">
        <v>3</v>
      </c>
      <c r="AX16" s="806" t="s">
        <v>11581</v>
      </c>
      <c r="AY16" s="806" t="s">
        <v>11582</v>
      </c>
      <c r="AZ16" s="806" t="s">
        <v>11583</v>
      </c>
      <c r="BA16" s="807" t="s">
        <v>11584</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34" t="s">
        <v>4202</v>
      </c>
      <c r="C18" s="2715" t="s">
        <v>4203</v>
      </c>
      <c r="D18" s="2715" t="s">
        <v>8309</v>
      </c>
      <c r="E18" s="2715" t="s">
        <v>6380</v>
      </c>
      <c r="F18" s="2715"/>
      <c r="G18" s="2715"/>
      <c r="H18" s="2715" t="s">
        <v>6381</v>
      </c>
      <c r="I18" s="2715"/>
      <c r="J18" s="2717"/>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34" t="s">
        <v>4202</v>
      </c>
      <c r="AV18" s="2715" t="s">
        <v>4203</v>
      </c>
      <c r="AW18" s="2715" t="s">
        <v>8309</v>
      </c>
      <c r="AX18" s="2715" t="s">
        <v>6380</v>
      </c>
      <c r="AY18" s="2715"/>
      <c r="AZ18" s="2715"/>
      <c r="BA18" s="2715" t="s">
        <v>6381</v>
      </c>
      <c r="BB18" s="2715"/>
      <c r="BC18" s="2717"/>
      <c r="BF18" s="242"/>
      <c r="BG18" s="242"/>
      <c r="BH18" s="242"/>
      <c r="BI18" s="715"/>
      <c r="BJ18" s="715"/>
      <c r="BK18" s="715"/>
      <c r="BL18" s="715"/>
      <c r="BM18" s="715"/>
    </row>
    <row r="19" spans="2:65" s="436" customFormat="1" ht="15.75" customHeight="1" thickBot="1">
      <c r="B19" s="2735"/>
      <c r="C19" s="2716"/>
      <c r="D19" s="2716"/>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35"/>
      <c r="AV19" s="2716"/>
      <c r="AW19" s="2716"/>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11585</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11585</v>
      </c>
      <c r="AV21" s="482"/>
      <c r="AW21" s="482"/>
      <c r="AX21" s="482"/>
      <c r="AY21" s="482"/>
      <c r="AZ21" s="482"/>
      <c r="BA21" s="482"/>
      <c r="BB21" s="482"/>
      <c r="BC21" s="482"/>
    </row>
    <row r="22" spans="2:65" s="436" customFormat="1" ht="15.75" customHeight="1" thickTop="1">
      <c r="B22" s="451" t="s">
        <v>11586</v>
      </c>
      <c r="C22" s="277" t="s">
        <v>5981</v>
      </c>
      <c r="D22" s="277">
        <v>3</v>
      </c>
      <c r="E22" s="809">
        <v>681.57299999999998</v>
      </c>
      <c r="F22" s="809">
        <v>632.19200000000001</v>
      </c>
      <c r="G22" s="1166">
        <f>IFERROR(E22 + F22, 0)</f>
        <v>1313.7649999999999</v>
      </c>
      <c r="H22" s="809">
        <v>676.471</v>
      </c>
      <c r="I22" s="809">
        <v>682.58299999999997</v>
      </c>
      <c r="J22" s="1168">
        <f>IFERROR(H22 + I22, 0)</f>
        <v>1359.0540000000001</v>
      </c>
      <c r="U22" s="730"/>
      <c r="V22" s="281" t="s">
        <v>11587</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11586</v>
      </c>
      <c r="AV22" s="277" t="s">
        <v>5981</v>
      </c>
      <c r="AW22" s="277">
        <v>3</v>
      </c>
      <c r="AX22" s="809" t="s">
        <v>11588</v>
      </c>
      <c r="AY22" s="809" t="s">
        <v>11589</v>
      </c>
      <c r="AZ22" s="1166" t="s">
        <v>11590</v>
      </c>
      <c r="BA22" s="809" t="s">
        <v>11591</v>
      </c>
      <c r="BB22" s="809" t="s">
        <v>11592</v>
      </c>
      <c r="BC22" s="1168" t="s">
        <v>11593</v>
      </c>
    </row>
    <row r="23" spans="2:65" s="436" customFormat="1" ht="15.75" customHeight="1">
      <c r="B23" s="460" t="s">
        <v>11594</v>
      </c>
      <c r="C23" s="286" t="s">
        <v>5981</v>
      </c>
      <c r="D23" s="286">
        <v>3</v>
      </c>
      <c r="E23" s="1169"/>
      <c r="F23" s="1169"/>
      <c r="G23" s="799">
        <v>46.627000000000002</v>
      </c>
      <c r="H23" s="1169"/>
      <c r="I23" s="1170"/>
      <c r="J23" s="800">
        <v>47.677999999999997</v>
      </c>
      <c r="U23" s="730"/>
      <c r="V23" s="290" t="s">
        <v>11595</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11594</v>
      </c>
      <c r="AV23" s="286" t="s">
        <v>5981</v>
      </c>
      <c r="AW23" s="286">
        <v>3</v>
      </c>
      <c r="AX23" s="1169"/>
      <c r="AY23" s="1169"/>
      <c r="AZ23" s="799" t="s">
        <v>11596</v>
      </c>
      <c r="BA23" s="1169"/>
      <c r="BB23" s="1170"/>
      <c r="BC23" s="800" t="s">
        <v>11597</v>
      </c>
    </row>
    <row r="24" spans="2:65" s="436" customFormat="1" ht="15.75" customHeight="1">
      <c r="B24" s="460" t="s">
        <v>11598</v>
      </c>
      <c r="C24" s="286" t="s">
        <v>5981</v>
      </c>
      <c r="D24" s="286">
        <v>3</v>
      </c>
      <c r="E24" s="1169"/>
      <c r="F24" s="1169"/>
      <c r="G24" s="797">
        <f>IFERROR(G22 + G23, 0)</f>
        <v>1360.3919999999998</v>
      </c>
      <c r="H24" s="1169"/>
      <c r="I24" s="1170"/>
      <c r="J24" s="798">
        <f>IFERROR(J22 + J23, 0)</f>
        <v>1406.732</v>
      </c>
      <c r="U24" s="730"/>
      <c r="V24" s="290" t="s">
        <v>11599</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11598</v>
      </c>
      <c r="AV24" s="286" t="s">
        <v>5981</v>
      </c>
      <c r="AW24" s="286">
        <v>3</v>
      </c>
      <c r="AX24" s="1169"/>
      <c r="AY24" s="1169"/>
      <c r="AZ24" s="797" t="s">
        <v>11600</v>
      </c>
      <c r="BA24" s="1169"/>
      <c r="BB24" s="1170"/>
      <c r="BC24" s="1171" t="s">
        <v>11601</v>
      </c>
    </row>
    <row r="25" spans="2:65" s="436" customFormat="1" ht="15.75" customHeight="1">
      <c r="B25" s="460" t="s">
        <v>11602</v>
      </c>
      <c r="C25" s="286" t="s">
        <v>5981</v>
      </c>
      <c r="D25" s="286">
        <v>3</v>
      </c>
      <c r="E25" s="799">
        <v>7.2009999999999996</v>
      </c>
      <c r="F25" s="799">
        <v>91.662999999999997</v>
      </c>
      <c r="G25" s="797">
        <f>IFERROR(E25 + F25, 0)</f>
        <v>98.86399999999999</v>
      </c>
      <c r="H25" s="799">
        <v>6.5030000000000001</v>
      </c>
      <c r="I25" s="799">
        <v>65.099999999999994</v>
      </c>
      <c r="J25" s="798">
        <f>IFERROR(H25+I25,0)</f>
        <v>71.602999999999994</v>
      </c>
      <c r="U25" s="730"/>
      <c r="V25" s="290" t="s">
        <v>11603</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11602</v>
      </c>
      <c r="AV25" s="286" t="s">
        <v>5981</v>
      </c>
      <c r="AW25" s="286">
        <v>3</v>
      </c>
      <c r="AX25" s="799" t="s">
        <v>11604</v>
      </c>
      <c r="AY25" s="799" t="s">
        <v>11605</v>
      </c>
      <c r="AZ25" s="797" t="s">
        <v>11606</v>
      </c>
      <c r="BA25" s="799" t="s">
        <v>11607</v>
      </c>
      <c r="BB25" s="799" t="s">
        <v>11608</v>
      </c>
      <c r="BC25" s="798" t="s">
        <v>11609</v>
      </c>
    </row>
    <row r="26" spans="2:65" s="436" customFormat="1" ht="15.75" customHeight="1">
      <c r="B26" s="460" t="s">
        <v>11610</v>
      </c>
      <c r="C26" s="286" t="s">
        <v>5981</v>
      </c>
      <c r="D26" s="286">
        <v>3</v>
      </c>
      <c r="E26" s="1169"/>
      <c r="F26" s="1169"/>
      <c r="G26" s="799">
        <v>10.388999999999999</v>
      </c>
      <c r="H26" s="1169"/>
      <c r="I26" s="1170"/>
      <c r="J26" s="800">
        <v>9.9109999999999996</v>
      </c>
      <c r="U26" s="730"/>
      <c r="V26" s="290" t="s">
        <v>11611</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11610</v>
      </c>
      <c r="AV26" s="286" t="s">
        <v>5981</v>
      </c>
      <c r="AW26" s="286">
        <v>3</v>
      </c>
      <c r="AX26" s="1169"/>
      <c r="AY26" s="1169"/>
      <c r="AZ26" s="799" t="s">
        <v>11612</v>
      </c>
      <c r="BA26" s="1169"/>
      <c r="BB26" s="1170"/>
      <c r="BC26" s="800" t="s">
        <v>11613</v>
      </c>
    </row>
    <row r="27" spans="2:65" s="436" customFormat="1" ht="15.75" customHeight="1">
      <c r="B27" s="460" t="s">
        <v>11614</v>
      </c>
      <c r="C27" s="286" t="s">
        <v>5981</v>
      </c>
      <c r="D27" s="286">
        <v>3</v>
      </c>
      <c r="E27" s="1169"/>
      <c r="F27" s="1169"/>
      <c r="G27" s="797">
        <f>IFERROR(G25 + G26, 0)</f>
        <v>109.25299999999999</v>
      </c>
      <c r="H27" s="1169"/>
      <c r="I27" s="1170"/>
      <c r="J27" s="798">
        <f>IFERROR(J25 + J26, 0)</f>
        <v>81.513999999999996</v>
      </c>
      <c r="U27" s="730"/>
      <c r="V27" s="290" t="s">
        <v>11615</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11614</v>
      </c>
      <c r="AV27" s="286" t="s">
        <v>5981</v>
      </c>
      <c r="AW27" s="286">
        <v>3</v>
      </c>
      <c r="AX27" s="1169"/>
      <c r="AY27" s="1169"/>
      <c r="AZ27" s="797" t="s">
        <v>11616</v>
      </c>
      <c r="BA27" s="1169"/>
      <c r="BB27" s="1170"/>
      <c r="BC27" s="1171" t="s">
        <v>11617</v>
      </c>
    </row>
    <row r="28" spans="2:65" s="436" customFormat="1" ht="15.75" customHeight="1" thickBot="1">
      <c r="B28" s="463" t="s">
        <v>11618</v>
      </c>
      <c r="C28" s="355" t="s">
        <v>5981</v>
      </c>
      <c r="D28" s="355">
        <v>3</v>
      </c>
      <c r="E28" s="1172"/>
      <c r="F28" s="1172"/>
      <c r="G28" s="806">
        <f>IFERROR(G27 + G24, 0)</f>
        <v>1469.6449999999998</v>
      </c>
      <c r="H28" s="1172"/>
      <c r="I28" s="1173"/>
      <c r="J28" s="807">
        <f>IFERROR(J27 + J24, 0)</f>
        <v>1488.2459999999999</v>
      </c>
      <c r="U28" s="730"/>
      <c r="V28" s="356" t="s">
        <v>11619</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11618</v>
      </c>
      <c r="AV28" s="355" t="s">
        <v>5981</v>
      </c>
      <c r="AW28" s="355">
        <v>3</v>
      </c>
      <c r="AX28" s="1172"/>
      <c r="AY28" s="1172"/>
      <c r="AZ28" s="806" t="s">
        <v>11620</v>
      </c>
      <c r="BA28" s="1172"/>
      <c r="BB28" s="1173"/>
      <c r="BC28" s="807" t="s">
        <v>11621</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2" thickTop="1">
      <c r="B30" s="2734" t="s">
        <v>4202</v>
      </c>
      <c r="C30" s="2715" t="s">
        <v>4203</v>
      </c>
      <c r="D30" s="2715" t="s">
        <v>8309</v>
      </c>
      <c r="E30" s="2715" t="s">
        <v>6380</v>
      </c>
      <c r="F30" s="2715"/>
      <c r="G30" s="2715"/>
      <c r="H30" s="2715"/>
      <c r="I30" s="2715"/>
      <c r="J30" s="2715"/>
      <c r="K30" s="2715"/>
      <c r="L30" s="2715"/>
      <c r="M30" s="2715"/>
      <c r="N30" s="2715"/>
      <c r="O30" s="2715"/>
      <c r="P30" s="2715"/>
      <c r="Q30" s="2715"/>
      <c r="R30" s="2715"/>
      <c r="S30" s="2715"/>
      <c r="T30" s="2717"/>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34" t="s">
        <v>4202</v>
      </c>
      <c r="AV30" s="2715" t="s">
        <v>4203</v>
      </c>
      <c r="AW30" s="2715" t="s">
        <v>8309</v>
      </c>
      <c r="AX30" s="2715" t="s">
        <v>6380</v>
      </c>
      <c r="AY30" s="2715"/>
      <c r="AZ30" s="2715"/>
      <c r="BA30" s="2715"/>
      <c r="BB30" s="2715"/>
      <c r="BC30" s="2715"/>
      <c r="BD30" s="2715"/>
      <c r="BE30" s="2715"/>
      <c r="BF30" s="2715"/>
      <c r="BG30" s="2715"/>
      <c r="BH30" s="2715"/>
      <c r="BI30" s="2715"/>
      <c r="BJ30" s="2715"/>
      <c r="BK30" s="2715"/>
      <c r="BL30" s="2715"/>
      <c r="BM30" s="2717"/>
    </row>
    <row r="31" spans="2:65" s="1151" customFormat="1" ht="15.6">
      <c r="B31" s="2817"/>
      <c r="C31" s="2818"/>
      <c r="D31" s="2818"/>
      <c r="E31" s="2818" t="s">
        <v>6187</v>
      </c>
      <c r="F31" s="2818"/>
      <c r="G31" s="2818"/>
      <c r="H31" s="2818"/>
      <c r="I31" s="2818"/>
      <c r="J31" s="2818"/>
      <c r="K31" s="2818" t="s">
        <v>6195</v>
      </c>
      <c r="L31" s="2818"/>
      <c r="M31" s="2818"/>
      <c r="N31" s="2818"/>
      <c r="O31" s="2818"/>
      <c r="P31" s="2818"/>
      <c r="Q31" s="2818" t="s">
        <v>11622</v>
      </c>
      <c r="R31" s="2818"/>
      <c r="S31" s="2818"/>
      <c r="T31" s="2859"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17"/>
      <c r="AV31" s="2818"/>
      <c r="AW31" s="2818"/>
      <c r="AX31" s="2818" t="s">
        <v>6187</v>
      </c>
      <c r="AY31" s="2818"/>
      <c r="AZ31" s="2818"/>
      <c r="BA31" s="2818"/>
      <c r="BB31" s="2818"/>
      <c r="BC31" s="2818"/>
      <c r="BD31" s="2818" t="s">
        <v>6195</v>
      </c>
      <c r="BE31" s="2818"/>
      <c r="BF31" s="2818"/>
      <c r="BG31" s="2818"/>
      <c r="BH31" s="2818"/>
      <c r="BI31" s="2818"/>
      <c r="BJ31" s="2818" t="s">
        <v>11622</v>
      </c>
      <c r="BK31" s="2818"/>
      <c r="BL31" s="2818"/>
      <c r="BM31" s="2859" t="s">
        <v>4425</v>
      </c>
    </row>
    <row r="32" spans="2:65" s="1151" customFormat="1" ht="30.6" thickBot="1">
      <c r="B32" s="2735"/>
      <c r="C32" s="2716"/>
      <c r="D32" s="2716"/>
      <c r="E32" s="271" t="s">
        <v>11623</v>
      </c>
      <c r="F32" s="271" t="s">
        <v>11624</v>
      </c>
      <c r="G32" s="271" t="s">
        <v>11625</v>
      </c>
      <c r="H32" s="271" t="s">
        <v>11626</v>
      </c>
      <c r="I32" s="271" t="s">
        <v>11627</v>
      </c>
      <c r="J32" s="271" t="s">
        <v>4425</v>
      </c>
      <c r="K32" s="271" t="s">
        <v>11623</v>
      </c>
      <c r="L32" s="271" t="s">
        <v>11624</v>
      </c>
      <c r="M32" s="271" t="s">
        <v>11625</v>
      </c>
      <c r="N32" s="271" t="s">
        <v>11626</v>
      </c>
      <c r="O32" s="271" t="s">
        <v>11627</v>
      </c>
      <c r="P32" s="271" t="s">
        <v>4425</v>
      </c>
      <c r="Q32" s="271" t="s">
        <v>11628</v>
      </c>
      <c r="R32" s="271" t="s">
        <v>4722</v>
      </c>
      <c r="S32" s="271" t="s">
        <v>4425</v>
      </c>
      <c r="T32" s="2718"/>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35"/>
      <c r="AV32" s="2716"/>
      <c r="AW32" s="2716"/>
      <c r="AX32" s="271" t="s">
        <v>11623</v>
      </c>
      <c r="AY32" s="271" t="s">
        <v>11624</v>
      </c>
      <c r="AZ32" s="271" t="s">
        <v>11625</v>
      </c>
      <c r="BA32" s="271" t="s">
        <v>11626</v>
      </c>
      <c r="BB32" s="271" t="s">
        <v>11627</v>
      </c>
      <c r="BC32" s="271" t="s">
        <v>4425</v>
      </c>
      <c r="BD32" s="271" t="s">
        <v>11623</v>
      </c>
      <c r="BE32" s="271" t="s">
        <v>11624</v>
      </c>
      <c r="BF32" s="271" t="s">
        <v>11625</v>
      </c>
      <c r="BG32" s="271" t="s">
        <v>11626</v>
      </c>
      <c r="BH32" s="271" t="s">
        <v>11627</v>
      </c>
      <c r="BI32" s="271" t="s">
        <v>4425</v>
      </c>
      <c r="BJ32" s="1175" t="s">
        <v>11628</v>
      </c>
      <c r="BK32" s="271" t="s">
        <v>4722</v>
      </c>
      <c r="BL32" s="271" t="s">
        <v>4425</v>
      </c>
      <c r="BM32" s="2718"/>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11629</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11631</v>
      </c>
      <c r="C35" s="277" t="s">
        <v>5981</v>
      </c>
      <c r="D35" s="277">
        <v>3</v>
      </c>
      <c r="E35" s="809">
        <v>0</v>
      </c>
      <c r="F35" s="809">
        <v>0</v>
      </c>
      <c r="G35" s="809">
        <v>0</v>
      </c>
      <c r="H35" s="809">
        <v>0</v>
      </c>
      <c r="I35" s="809">
        <v>0</v>
      </c>
      <c r="J35" s="1166">
        <f>IFERROR(E35 + F35 + G35+H35+I35, 0)</f>
        <v>0</v>
      </c>
      <c r="K35" s="809">
        <v>0</v>
      </c>
      <c r="L35" s="809">
        <v>5.9749999999999996</v>
      </c>
      <c r="M35" s="809">
        <v>4.2000000000000003E-2</v>
      </c>
      <c r="N35" s="809">
        <v>1.905</v>
      </c>
      <c r="O35" s="809">
        <v>0</v>
      </c>
      <c r="P35" s="1166">
        <f>IFERROR(K35 + L35 + M35+N35+O35, 0)</f>
        <v>7.9219999999999997</v>
      </c>
      <c r="Q35" s="1176"/>
      <c r="R35" s="1176"/>
      <c r="S35" s="1176"/>
      <c r="T35" s="1168">
        <f>IFERROR(J35 + P35, 0)</f>
        <v>7.9219999999999997</v>
      </c>
      <c r="U35" s="282"/>
      <c r="V35" s="281" t="s">
        <v>11632</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11631</v>
      </c>
      <c r="AV35" s="277" t="s">
        <v>5981</v>
      </c>
      <c r="AW35" s="277">
        <v>3</v>
      </c>
      <c r="AX35" s="809" t="s">
        <v>11633</v>
      </c>
      <c r="AY35" s="809" t="s">
        <v>11634</v>
      </c>
      <c r="AZ35" s="809" t="s">
        <v>11635</v>
      </c>
      <c r="BA35" s="809" t="s">
        <v>11636</v>
      </c>
      <c r="BB35" s="809" t="s">
        <v>11637</v>
      </c>
      <c r="BC35" s="1166" t="s">
        <v>11638</v>
      </c>
      <c r="BD35" s="809" t="s">
        <v>11639</v>
      </c>
      <c r="BE35" s="809" t="s">
        <v>11640</v>
      </c>
      <c r="BF35" s="809" t="s">
        <v>11641</v>
      </c>
      <c r="BG35" s="809" t="s">
        <v>11642</v>
      </c>
      <c r="BH35" s="809" t="s">
        <v>11643</v>
      </c>
      <c r="BI35" s="1166" t="s">
        <v>11644</v>
      </c>
      <c r="BJ35" s="1176"/>
      <c r="BK35" s="1176"/>
      <c r="BL35" s="1176"/>
      <c r="BM35" s="1168" t="s">
        <v>11645</v>
      </c>
    </row>
    <row r="36" spans="2:65" ht="15.75" customHeight="1">
      <c r="B36" s="460" t="s">
        <v>11646</v>
      </c>
      <c r="C36" s="286" t="s">
        <v>5981</v>
      </c>
      <c r="D36" s="286">
        <v>3</v>
      </c>
      <c r="E36" s="799">
        <v>0</v>
      </c>
      <c r="F36" s="799">
        <v>0</v>
      </c>
      <c r="G36" s="799">
        <v>0</v>
      </c>
      <c r="H36" s="799">
        <v>0</v>
      </c>
      <c r="I36" s="799">
        <v>0</v>
      </c>
      <c r="J36" s="797">
        <f t="shared" ref="J36:J37" si="32">IFERROR(E36 + F36 + G36+H36+I36, 0)</f>
        <v>0</v>
      </c>
      <c r="K36" s="799">
        <v>0</v>
      </c>
      <c r="L36" s="799">
        <v>0.57499999999999996</v>
      </c>
      <c r="M36" s="799">
        <v>1E-3</v>
      </c>
      <c r="N36" s="799">
        <v>2.5000000000000001E-2</v>
      </c>
      <c r="O36" s="799">
        <v>0</v>
      </c>
      <c r="P36" s="797">
        <f t="shared" ref="P36:P37" si="33">IFERROR(K36 + L36 + M36+N36+O36, 0)</f>
        <v>0.60099999999999998</v>
      </c>
      <c r="Q36" s="1178"/>
      <c r="R36" s="1178"/>
      <c r="S36" s="1178"/>
      <c r="T36" s="798">
        <f>IFERROR(J36 + P36, 0)</f>
        <v>0.60099999999999998</v>
      </c>
      <c r="U36" s="282"/>
      <c r="V36" s="290" t="s">
        <v>11647</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11648</v>
      </c>
      <c r="AV36" s="286" t="s">
        <v>5981</v>
      </c>
      <c r="AW36" s="286">
        <v>3</v>
      </c>
      <c r="AX36" s="799" t="s">
        <v>11649</v>
      </c>
      <c r="AY36" s="799" t="s">
        <v>11650</v>
      </c>
      <c r="AZ36" s="799" t="s">
        <v>11651</v>
      </c>
      <c r="BA36" s="799" t="s">
        <v>11652</v>
      </c>
      <c r="BB36" s="799" t="s">
        <v>11653</v>
      </c>
      <c r="BC36" s="797" t="s">
        <v>11654</v>
      </c>
      <c r="BD36" s="799" t="s">
        <v>11655</v>
      </c>
      <c r="BE36" s="799" t="s">
        <v>11656</v>
      </c>
      <c r="BF36" s="799" t="s">
        <v>11657</v>
      </c>
      <c r="BG36" s="799" t="s">
        <v>11658</v>
      </c>
      <c r="BH36" s="799" t="s">
        <v>11659</v>
      </c>
      <c r="BI36" s="797" t="s">
        <v>11660</v>
      </c>
      <c r="BJ36" s="1178"/>
      <c r="BK36" s="1178"/>
      <c r="BL36" s="1178"/>
      <c r="BM36" s="798" t="s">
        <v>11661</v>
      </c>
    </row>
    <row r="37" spans="2:65" ht="15.75" customHeight="1">
      <c r="B37" s="460" t="s">
        <v>11662</v>
      </c>
      <c r="C37" s="286" t="s">
        <v>5981</v>
      </c>
      <c r="D37" s="286">
        <v>3</v>
      </c>
      <c r="E37" s="799">
        <v>677.98699999999997</v>
      </c>
      <c r="F37" s="799">
        <v>0</v>
      </c>
      <c r="G37" s="799">
        <v>0</v>
      </c>
      <c r="H37" s="799">
        <v>0</v>
      </c>
      <c r="I37" s="799">
        <v>0</v>
      </c>
      <c r="J37" s="797">
        <f t="shared" si="32"/>
        <v>677.98699999999997</v>
      </c>
      <c r="K37" s="799">
        <v>0</v>
      </c>
      <c r="L37" s="799">
        <v>623.69100000000003</v>
      </c>
      <c r="M37" s="799">
        <v>2.456</v>
      </c>
      <c r="N37" s="799">
        <v>10.709000000000001</v>
      </c>
      <c r="O37" s="799">
        <v>0</v>
      </c>
      <c r="P37" s="797">
        <f t="shared" si="33"/>
        <v>636.85599999999999</v>
      </c>
      <c r="Q37" s="1178"/>
      <c r="R37" s="1178"/>
      <c r="S37" s="1178"/>
      <c r="T37" s="798">
        <f>IFERROR(J37 + P37, 0)</f>
        <v>1314.8429999999998</v>
      </c>
      <c r="U37" s="282"/>
      <c r="V37" s="290" t="s">
        <v>11663</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11662</v>
      </c>
      <c r="AV37" s="286" t="s">
        <v>5981</v>
      </c>
      <c r="AW37" s="286">
        <v>3</v>
      </c>
      <c r="AX37" s="799" t="s">
        <v>11664</v>
      </c>
      <c r="AY37" s="799" t="s">
        <v>11665</v>
      </c>
      <c r="AZ37" s="799" t="s">
        <v>11666</v>
      </c>
      <c r="BA37" s="799" t="s">
        <v>11667</v>
      </c>
      <c r="BB37" s="799" t="s">
        <v>11668</v>
      </c>
      <c r="BC37" s="797" t="s">
        <v>11669</v>
      </c>
      <c r="BD37" s="799" t="s">
        <v>11670</v>
      </c>
      <c r="BE37" s="799" t="s">
        <v>11671</v>
      </c>
      <c r="BF37" s="799" t="s">
        <v>11672</v>
      </c>
      <c r="BG37" s="799" t="s">
        <v>11673</v>
      </c>
      <c r="BH37" s="799" t="s">
        <v>11674</v>
      </c>
      <c r="BI37" s="797" t="s">
        <v>11675</v>
      </c>
      <c r="BJ37" s="1178"/>
      <c r="BK37" s="1178"/>
      <c r="BL37" s="1178"/>
      <c r="BM37" s="798" t="s">
        <v>11676</v>
      </c>
    </row>
    <row r="38" spans="2:65" ht="15.75" customHeight="1">
      <c r="B38" s="460" t="s">
        <v>11677</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11678</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11677</v>
      </c>
      <c r="AV38" s="286" t="s">
        <v>5981</v>
      </c>
      <c r="AW38" s="286">
        <v>3</v>
      </c>
      <c r="AX38" s="1178"/>
      <c r="AY38" s="1178"/>
      <c r="AZ38" s="1178"/>
      <c r="BA38" s="1178"/>
      <c r="BB38" s="1178"/>
      <c r="BC38" s="1178"/>
      <c r="BD38" s="1178"/>
      <c r="BE38" s="1178"/>
      <c r="BF38" s="1178"/>
      <c r="BG38" s="1178"/>
      <c r="BH38" s="1178"/>
      <c r="BI38" s="1178"/>
      <c r="BJ38" s="799" t="s">
        <v>11679</v>
      </c>
      <c r="BK38" s="799" t="s">
        <v>11680</v>
      </c>
      <c r="BL38" s="797" t="s">
        <v>11681</v>
      </c>
      <c r="BM38" s="2035" t="s">
        <v>11682</v>
      </c>
    </row>
    <row r="39" spans="2:65" ht="15.75" customHeight="1">
      <c r="B39" s="460" t="s">
        <v>11683</v>
      </c>
      <c r="C39" s="286" t="s">
        <v>5981</v>
      </c>
      <c r="D39" s="286">
        <v>3</v>
      </c>
      <c r="E39" s="1178"/>
      <c r="F39" s="1178"/>
      <c r="G39" s="1178"/>
      <c r="H39" s="1178"/>
      <c r="I39" s="1178"/>
      <c r="J39" s="799">
        <v>25.312999999999999</v>
      </c>
      <c r="K39" s="1178"/>
      <c r="L39" s="1178"/>
      <c r="M39" s="1178"/>
      <c r="N39" s="1178"/>
      <c r="O39" s="1178"/>
      <c r="P39" s="799">
        <v>17.975000000000001</v>
      </c>
      <c r="Q39" s="1178"/>
      <c r="R39" s="1178"/>
      <c r="S39" s="1178"/>
      <c r="T39" s="798">
        <f t="shared" ref="T39:T43" si="34">IFERROR(J39 + P39, 0)</f>
        <v>43.287999999999997</v>
      </c>
      <c r="U39" s="282"/>
      <c r="V39" s="290" t="s">
        <v>11684</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11683</v>
      </c>
      <c r="AV39" s="286" t="s">
        <v>5981</v>
      </c>
      <c r="AW39" s="286">
        <v>3</v>
      </c>
      <c r="AX39" s="1178"/>
      <c r="AY39" s="1178"/>
      <c r="AZ39" s="1178"/>
      <c r="BA39" s="1178"/>
      <c r="BB39" s="1178"/>
      <c r="BC39" s="799" t="s">
        <v>11685</v>
      </c>
      <c r="BD39" s="1178"/>
      <c r="BE39" s="1178"/>
      <c r="BF39" s="1178"/>
      <c r="BG39" s="1178"/>
      <c r="BH39" s="1178"/>
      <c r="BI39" s="799" t="s">
        <v>11686</v>
      </c>
      <c r="BJ39" s="1178"/>
      <c r="BK39" s="1178"/>
      <c r="BL39" s="1178"/>
      <c r="BM39" s="798" t="s">
        <v>11687</v>
      </c>
    </row>
    <row r="40" spans="2:65" ht="15.75" customHeight="1">
      <c r="B40" s="460" t="s">
        <v>11688</v>
      </c>
      <c r="C40" s="286" t="s">
        <v>5981</v>
      </c>
      <c r="D40" s="286">
        <v>3</v>
      </c>
      <c r="E40" s="1178"/>
      <c r="F40" s="1178"/>
      <c r="G40" s="1178"/>
      <c r="H40" s="1178"/>
      <c r="I40" s="1178"/>
      <c r="J40" s="797">
        <f>IFERROR(J37+J39, 0)</f>
        <v>703.3</v>
      </c>
      <c r="K40" s="1178"/>
      <c r="L40" s="1178"/>
      <c r="M40" s="1178"/>
      <c r="N40" s="1178"/>
      <c r="O40" s="1178"/>
      <c r="P40" s="797">
        <f>IFERROR(P37+P39, 0)</f>
        <v>654.83100000000002</v>
      </c>
      <c r="Q40" s="1178"/>
      <c r="R40" s="1178"/>
      <c r="S40" s="1178"/>
      <c r="T40" s="798">
        <f>IFERROR(T37+T38+T39, 0)</f>
        <v>1358.1309999999999</v>
      </c>
      <c r="U40" s="282"/>
      <c r="V40" s="290" t="s">
        <v>11689</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11688</v>
      </c>
      <c r="AV40" s="286" t="s">
        <v>5981</v>
      </c>
      <c r="AW40" s="286">
        <v>3</v>
      </c>
      <c r="AX40" s="1178"/>
      <c r="AY40" s="1178"/>
      <c r="AZ40" s="1178"/>
      <c r="BA40" s="1178"/>
      <c r="BB40" s="1178"/>
      <c r="BC40" s="797" t="s">
        <v>11690</v>
      </c>
      <c r="BD40" s="1178"/>
      <c r="BE40" s="1178"/>
      <c r="BF40" s="1178"/>
      <c r="BG40" s="1178"/>
      <c r="BH40" s="1178"/>
      <c r="BI40" s="797" t="s">
        <v>11691</v>
      </c>
      <c r="BJ40" s="1178"/>
      <c r="BK40" s="1178"/>
      <c r="BL40" s="1178"/>
      <c r="BM40" s="798" t="s">
        <v>11692</v>
      </c>
    </row>
    <row r="41" spans="2:65" ht="15.75" customHeight="1">
      <c r="B41" s="460" t="s">
        <v>11693</v>
      </c>
      <c r="C41" s="286" t="s">
        <v>5981</v>
      </c>
      <c r="D41" s="286">
        <v>3</v>
      </c>
      <c r="E41" s="799">
        <v>7.3529999999999998</v>
      </c>
      <c r="F41" s="799">
        <v>0</v>
      </c>
      <c r="G41" s="799">
        <v>0</v>
      </c>
      <c r="H41" s="799">
        <v>0</v>
      </c>
      <c r="I41" s="799">
        <v>0</v>
      </c>
      <c r="J41" s="797">
        <f>IFERROR(E41 + F41 + G41+H41+I41, 0)</f>
        <v>7.3529999999999998</v>
      </c>
      <c r="K41" s="799">
        <v>0</v>
      </c>
      <c r="L41" s="799">
        <v>90.638000000000005</v>
      </c>
      <c r="M41" s="799">
        <v>0.52099999999999991</v>
      </c>
      <c r="N41" s="799">
        <v>0.11600000000000001</v>
      </c>
      <c r="O41" s="799">
        <v>0</v>
      </c>
      <c r="P41" s="797">
        <f t="shared" ref="P41" si="36">IFERROR(K41 + L41 + M41+N41+O41, 0)</f>
        <v>91.275000000000006</v>
      </c>
      <c r="Q41" s="1178"/>
      <c r="R41" s="1178"/>
      <c r="S41" s="1178"/>
      <c r="T41" s="798">
        <f>IFERROR(J41 + P41, 0)</f>
        <v>98.628</v>
      </c>
      <c r="U41" s="282"/>
      <c r="V41" s="290" t="s">
        <v>11694</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11693</v>
      </c>
      <c r="AV41" s="286" t="s">
        <v>5981</v>
      </c>
      <c r="AW41" s="286">
        <v>3</v>
      </c>
      <c r="AX41" s="799" t="s">
        <v>11695</v>
      </c>
      <c r="AY41" s="799" t="s">
        <v>11696</v>
      </c>
      <c r="AZ41" s="799" t="s">
        <v>11697</v>
      </c>
      <c r="BA41" s="799" t="s">
        <v>11698</v>
      </c>
      <c r="BB41" s="799" t="s">
        <v>11699</v>
      </c>
      <c r="BC41" s="797" t="s">
        <v>11700</v>
      </c>
      <c r="BD41" s="799" t="s">
        <v>11701</v>
      </c>
      <c r="BE41" s="799" t="s">
        <v>11702</v>
      </c>
      <c r="BF41" s="799" t="s">
        <v>11703</v>
      </c>
      <c r="BG41" s="799" t="s">
        <v>11704</v>
      </c>
      <c r="BH41" s="799" t="s">
        <v>11705</v>
      </c>
      <c r="BI41" s="797" t="s">
        <v>11706</v>
      </c>
      <c r="BJ41" s="1178"/>
      <c r="BK41" s="1178"/>
      <c r="BL41" s="1178"/>
      <c r="BM41" s="798" t="s">
        <v>11707</v>
      </c>
    </row>
    <row r="42" spans="2:65" ht="15.75" customHeight="1">
      <c r="B42" s="460" t="s">
        <v>11708</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11709</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11710</v>
      </c>
      <c r="AV42" s="286" t="s">
        <v>5981</v>
      </c>
      <c r="AW42" s="286">
        <v>3</v>
      </c>
      <c r="AX42" s="1178"/>
      <c r="AY42" s="1178"/>
      <c r="AZ42" s="1178"/>
      <c r="BA42" s="1178"/>
      <c r="BB42" s="1178"/>
      <c r="BC42" s="1178"/>
      <c r="BD42" s="1178"/>
      <c r="BE42" s="1178"/>
      <c r="BF42" s="1178"/>
      <c r="BG42" s="1178"/>
      <c r="BH42" s="1178"/>
      <c r="BI42" s="1178"/>
      <c r="BJ42" s="1180" t="s">
        <v>11711</v>
      </c>
      <c r="BK42" s="1180" t="s">
        <v>11712</v>
      </c>
      <c r="BL42" s="797" t="s">
        <v>11713</v>
      </c>
      <c r="BM42" s="2035" t="s">
        <v>11714</v>
      </c>
    </row>
    <row r="43" spans="2:65" ht="15.75" customHeight="1">
      <c r="B43" s="460" t="s">
        <v>11715</v>
      </c>
      <c r="C43" s="286" t="s">
        <v>5981</v>
      </c>
      <c r="D43" s="286">
        <v>3</v>
      </c>
      <c r="E43" s="1178"/>
      <c r="F43" s="1178"/>
      <c r="G43" s="1178"/>
      <c r="H43" s="1178"/>
      <c r="I43" s="1178"/>
      <c r="J43" s="799">
        <v>1.94</v>
      </c>
      <c r="K43" s="1178"/>
      <c r="L43" s="1178"/>
      <c r="M43" s="1181"/>
      <c r="N43" s="1181"/>
      <c r="O43" s="1181"/>
      <c r="P43" s="799">
        <v>10.031000000000001</v>
      </c>
      <c r="Q43" s="1178"/>
      <c r="R43" s="1178"/>
      <c r="S43" s="1178"/>
      <c r="T43" s="798">
        <f t="shared" si="34"/>
        <v>11.971</v>
      </c>
      <c r="U43" s="282"/>
      <c r="V43" s="290" t="s">
        <v>11716</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11715</v>
      </c>
      <c r="AV43" s="286" t="s">
        <v>5981</v>
      </c>
      <c r="AW43" s="286">
        <v>3</v>
      </c>
      <c r="AX43" s="1178"/>
      <c r="AY43" s="1178"/>
      <c r="AZ43" s="1178"/>
      <c r="BA43" s="1178"/>
      <c r="BB43" s="1178"/>
      <c r="BC43" s="799" t="s">
        <v>11717</v>
      </c>
      <c r="BD43" s="1178"/>
      <c r="BE43" s="1178"/>
      <c r="BF43" s="1181"/>
      <c r="BG43" s="1181"/>
      <c r="BH43" s="1181"/>
      <c r="BI43" s="799" t="s">
        <v>11718</v>
      </c>
      <c r="BJ43" s="1178"/>
      <c r="BK43" s="1178"/>
      <c r="BL43" s="1178"/>
      <c r="BM43" s="798" t="s">
        <v>11719</v>
      </c>
    </row>
    <row r="44" spans="2:65" ht="15.75" customHeight="1">
      <c r="B44" s="460" t="s">
        <v>11720</v>
      </c>
      <c r="C44" s="286" t="s">
        <v>5981</v>
      </c>
      <c r="D44" s="286">
        <v>3</v>
      </c>
      <c r="E44" s="1178"/>
      <c r="F44" s="1178"/>
      <c r="G44" s="1178"/>
      <c r="H44" s="1178"/>
      <c r="I44" s="1178"/>
      <c r="J44" s="797">
        <f>IFERROR(J43 + J41, 0)</f>
        <v>9.2929999999999993</v>
      </c>
      <c r="K44" s="1178"/>
      <c r="L44" s="1178"/>
      <c r="M44" s="1181"/>
      <c r="N44" s="1181"/>
      <c r="O44" s="1181"/>
      <c r="P44" s="797">
        <f>IFERROR(P43 + P41, 0)</f>
        <v>101.30600000000001</v>
      </c>
      <c r="Q44" s="1178"/>
      <c r="R44" s="1178"/>
      <c r="S44" s="1178"/>
      <c r="T44" s="798">
        <f>IFERROR(T41+T42+T43, 0)</f>
        <v>110.599</v>
      </c>
      <c r="U44" s="282"/>
      <c r="V44" s="290" t="s">
        <v>11721</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11720</v>
      </c>
      <c r="AV44" s="286" t="s">
        <v>5981</v>
      </c>
      <c r="AW44" s="286">
        <v>3</v>
      </c>
      <c r="AX44" s="1178"/>
      <c r="AY44" s="1178"/>
      <c r="AZ44" s="1178"/>
      <c r="BA44" s="1178"/>
      <c r="BB44" s="1178"/>
      <c r="BC44" s="797" t="s">
        <v>11722</v>
      </c>
      <c r="BD44" s="1178"/>
      <c r="BE44" s="1178"/>
      <c r="BF44" s="1181"/>
      <c r="BG44" s="1181"/>
      <c r="BH44" s="1181"/>
      <c r="BI44" s="797" t="s">
        <v>11723</v>
      </c>
      <c r="BJ44" s="1178"/>
      <c r="BK44" s="1178"/>
      <c r="BL44" s="1178"/>
      <c r="BM44" s="798" t="s">
        <v>11724</v>
      </c>
    </row>
    <row r="45" spans="2:65" ht="15.75" customHeight="1" thickBot="1">
      <c r="B45" s="463" t="s">
        <v>11725</v>
      </c>
      <c r="C45" s="355" t="s">
        <v>5981</v>
      </c>
      <c r="D45" s="355">
        <v>3</v>
      </c>
      <c r="E45" s="1182"/>
      <c r="F45" s="1182"/>
      <c r="G45" s="1182"/>
      <c r="H45" s="1182"/>
      <c r="I45" s="1182"/>
      <c r="J45" s="806">
        <f>IFERROR(J44 + J40, 0)</f>
        <v>712.59299999999996</v>
      </c>
      <c r="K45" s="1182"/>
      <c r="L45" s="1182"/>
      <c r="M45" s="1183"/>
      <c r="N45" s="1183"/>
      <c r="O45" s="1183"/>
      <c r="P45" s="806">
        <f>IFERROR(P44 + P40, 0)</f>
        <v>756.13700000000006</v>
      </c>
      <c r="Q45" s="1182"/>
      <c r="R45" s="1182"/>
      <c r="S45" s="1182"/>
      <c r="T45" s="807">
        <f>IFERROR(T40+T44, 0)</f>
        <v>1468.7299999999998</v>
      </c>
      <c r="U45" s="730"/>
      <c r="V45" s="356" t="s">
        <v>11726</v>
      </c>
      <c r="X45" s="1141" t="s">
        <v>18608</v>
      </c>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11725</v>
      </c>
      <c r="AV45" s="355" t="s">
        <v>5981</v>
      </c>
      <c r="AW45" s="355">
        <v>3</v>
      </c>
      <c r="AX45" s="1182"/>
      <c r="AY45" s="1182"/>
      <c r="AZ45" s="1182"/>
      <c r="BA45" s="1182"/>
      <c r="BB45" s="1182"/>
      <c r="BC45" s="806" t="s">
        <v>11727</v>
      </c>
      <c r="BD45" s="1182"/>
      <c r="BE45" s="1182"/>
      <c r="BF45" s="1183"/>
      <c r="BG45" s="1183"/>
      <c r="BH45" s="1183"/>
      <c r="BI45" s="806" t="s">
        <v>11728</v>
      </c>
      <c r="BJ45" s="1182"/>
      <c r="BK45" s="1182"/>
      <c r="BL45" s="1182"/>
      <c r="BM45" s="807" t="s">
        <v>11729</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11730</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11730</v>
      </c>
      <c r="AV49" s="482"/>
      <c r="AW49" s="482"/>
      <c r="AX49" s="482"/>
      <c r="AY49" s="482"/>
    </row>
    <row r="50" spans="2:65" ht="15.75" customHeight="1" thickTop="1">
      <c r="B50" s="451" t="s">
        <v>11731</v>
      </c>
      <c r="C50" s="277" t="s">
        <v>5981</v>
      </c>
      <c r="D50" s="277">
        <v>3</v>
      </c>
      <c r="E50" s="1184">
        <v>3027.848</v>
      </c>
      <c r="F50" s="1185">
        <v>3056.7660000000001</v>
      </c>
      <c r="P50" s="106"/>
      <c r="Q50" s="106"/>
      <c r="R50" s="106"/>
      <c r="S50" s="106"/>
      <c r="T50" s="106"/>
      <c r="U50" s="282"/>
      <c r="V50" s="281" t="s">
        <v>11732</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11731</v>
      </c>
      <c r="AV50" s="277" t="s">
        <v>5981</v>
      </c>
      <c r="AW50" s="277">
        <v>3</v>
      </c>
      <c r="AX50" s="1184" t="s">
        <v>11733</v>
      </c>
      <c r="AY50" s="1185" t="s">
        <v>11734</v>
      </c>
    </row>
    <row r="51" spans="2:65" ht="15.75" customHeight="1" thickBot="1">
      <c r="B51" s="463" t="s">
        <v>11735</v>
      </c>
      <c r="C51" s="355" t="s">
        <v>5981</v>
      </c>
      <c r="D51" s="355">
        <v>3</v>
      </c>
      <c r="E51" s="1186"/>
      <c r="F51" s="1187">
        <v>169.053</v>
      </c>
      <c r="P51" s="106"/>
      <c r="Q51" s="106"/>
      <c r="R51" s="106"/>
      <c r="S51" s="106"/>
      <c r="T51" s="106"/>
      <c r="U51" s="282"/>
      <c r="V51" s="356" t="s">
        <v>11736</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11737</v>
      </c>
      <c r="AV51" s="355" t="s">
        <v>5981</v>
      </c>
      <c r="AW51" s="355">
        <v>3</v>
      </c>
      <c r="AX51" s="1186"/>
      <c r="AY51" s="1187" t="s">
        <v>11738</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2" thickTop="1" thickBot="1">
      <c r="B53" s="365"/>
      <c r="C53" s="83"/>
      <c r="E53" s="2902" t="s">
        <v>6380</v>
      </c>
      <c r="F53" s="2903"/>
      <c r="G53" s="2904"/>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902" t="s">
        <v>6380</v>
      </c>
      <c r="AY53" s="2903"/>
      <c r="AZ53" s="2904"/>
      <c r="BI53" s="455"/>
      <c r="BJ53" s="455"/>
      <c r="BK53" s="455"/>
      <c r="BL53" s="455"/>
      <c r="BM53" s="455"/>
    </row>
    <row r="54" spans="2:65" ht="31.2" thickTop="1" thickBot="1">
      <c r="B54" s="2539" t="s">
        <v>11739</v>
      </c>
      <c r="C54" s="1189" t="s">
        <v>4203</v>
      </c>
      <c r="D54" s="1189" t="s">
        <v>4204</v>
      </c>
      <c r="E54" s="1190" t="s">
        <v>11731</v>
      </c>
      <c r="F54" s="1190" t="s">
        <v>11737</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11739</v>
      </c>
      <c r="AV54" s="1189" t="s">
        <v>4203</v>
      </c>
      <c r="AW54" s="1189" t="s">
        <v>4204</v>
      </c>
      <c r="AX54" s="1190" t="s">
        <v>11731</v>
      </c>
      <c r="AY54" s="1190" t="s">
        <v>11737</v>
      </c>
      <c r="AZ54" s="1191" t="s">
        <v>4425</v>
      </c>
      <c r="BI54" s="455"/>
      <c r="BJ54" s="455"/>
      <c r="BK54" s="455"/>
      <c r="BL54" s="455"/>
      <c r="BM54" s="455"/>
    </row>
    <row r="55" spans="2:65" ht="15.75" customHeight="1" thickTop="1">
      <c r="B55" s="2536" t="s">
        <v>11740</v>
      </c>
      <c r="C55" s="318" t="s">
        <v>5981</v>
      </c>
      <c r="D55" s="318">
        <v>3</v>
      </c>
      <c r="E55" s="809">
        <v>2918.2739999999999</v>
      </c>
      <c r="F55" s="809">
        <v>75.146000000000001</v>
      </c>
      <c r="G55" s="1168">
        <f t="shared" ref="G55:G56" si="52">IFERROR(E55 + F55,0)</f>
        <v>2993.42</v>
      </c>
      <c r="P55" s="106"/>
      <c r="Q55" s="106"/>
      <c r="R55" s="106"/>
      <c r="S55" s="106"/>
      <c r="T55" s="106"/>
      <c r="V55" s="281" t="s">
        <v>11741</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11740</v>
      </c>
      <c r="AV55" s="318" t="s">
        <v>5981</v>
      </c>
      <c r="AW55" s="318">
        <v>3</v>
      </c>
      <c r="AX55" s="1192" t="s">
        <v>11742</v>
      </c>
      <c r="AY55" s="1192" t="s">
        <v>11743</v>
      </c>
      <c r="AZ55" s="1193" t="s">
        <v>11744</v>
      </c>
    </row>
    <row r="56" spans="2:65" ht="15.75" customHeight="1">
      <c r="B56" s="2537" t="s">
        <v>11745</v>
      </c>
      <c r="C56" s="325" t="s">
        <v>5981</v>
      </c>
      <c r="D56" s="325">
        <v>3</v>
      </c>
      <c r="E56" s="799">
        <v>1337.6428530000001</v>
      </c>
      <c r="F56" s="799">
        <v>39.116999999999997</v>
      </c>
      <c r="G56" s="798">
        <f t="shared" si="52"/>
        <v>1376.759853</v>
      </c>
      <c r="P56" s="106"/>
      <c r="Q56" s="106"/>
      <c r="R56" s="106"/>
      <c r="S56" s="106"/>
      <c r="T56" s="106"/>
      <c r="V56" s="290" t="s">
        <v>11746</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11747</v>
      </c>
      <c r="AV56" s="325" t="s">
        <v>5981</v>
      </c>
      <c r="AW56" s="325">
        <v>3</v>
      </c>
      <c r="AX56" s="1194" t="s">
        <v>11748</v>
      </c>
      <c r="AY56" s="1194" t="s">
        <v>11749</v>
      </c>
      <c r="AZ56" s="1195" t="s">
        <v>11750</v>
      </c>
    </row>
    <row r="57" spans="2:65" ht="15.75" customHeight="1" thickBot="1">
      <c r="B57" s="2538" t="s">
        <v>11751</v>
      </c>
      <c r="C57" s="332" t="s">
        <v>5981</v>
      </c>
      <c r="D57" s="332">
        <v>3</v>
      </c>
      <c r="E57" s="2098">
        <v>1580.6313103699999</v>
      </c>
      <c r="F57" s="2098">
        <v>36.029000000000003</v>
      </c>
      <c r="G57" s="807">
        <f>IFERROR(E57 + F57,0)</f>
        <v>1616.6603103699999</v>
      </c>
      <c r="P57" s="106"/>
      <c r="Q57" s="106"/>
      <c r="R57" s="106"/>
      <c r="S57" s="106"/>
      <c r="T57" s="106"/>
      <c r="V57" s="356" t="s">
        <v>11752</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11753</v>
      </c>
      <c r="AV57" s="332" t="s">
        <v>5981</v>
      </c>
      <c r="AW57" s="332">
        <v>3</v>
      </c>
      <c r="AX57" s="1196" t="s">
        <v>11754</v>
      </c>
      <c r="AY57" s="1196" t="s">
        <v>11755</v>
      </c>
      <c r="AZ57" s="1197" t="s">
        <v>11756</v>
      </c>
    </row>
    <row r="58" spans="2:65" ht="15.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5" priority="18" operator="equal">
      <formula>0</formula>
    </cfRule>
  </conditionalFormatting>
  <conditionalFormatting sqref="AA4:AA63">
    <cfRule type="cellIs" dxfId="104"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A3" zoomScaleNormal="100" workbookViewId="0">
      <selection activeCell="L31" sqref="L31"/>
    </sheetView>
  </sheetViews>
  <sheetFormatPr defaultColWidth="9" defaultRowHeight="15"/>
  <cols>
    <col min="1" max="1" width="9" style="224" customWidth="1"/>
    <col min="2" max="2" width="36.19921875" style="1055" bestFit="1" customWidth="1"/>
    <col min="3" max="3" width="7.09765625" style="224" customWidth="1"/>
    <col min="4" max="5" width="6" style="224" customWidth="1"/>
    <col min="6" max="18" width="11.59765625" style="224" customWidth="1"/>
    <col min="19" max="19" width="9.19921875" style="224" customWidth="1"/>
    <col min="20" max="20" width="1" style="224" customWidth="1"/>
    <col min="21" max="21" width="33.59765625" style="106" customWidth="1"/>
    <col min="22" max="22" width="2.19921875" style="106" customWidth="1"/>
    <col min="23" max="23" width="1.59765625" style="106" customWidth="1"/>
    <col min="24" max="24" width="25.09765625" style="106" customWidth="1"/>
    <col min="25" max="25" width="1.59765625" style="106" customWidth="1"/>
    <col min="26" max="37" width="1.59765625" style="106" hidden="1" customWidth="1"/>
    <col min="38" max="38" width="2.69921875" style="224" customWidth="1"/>
    <col min="39" max="39" width="36.19921875" style="224" bestFit="1" customWidth="1"/>
    <col min="40" max="40" width="9" style="224"/>
    <col min="41" max="52" width="17.59765625" style="224" customWidth="1"/>
    <col min="53" max="16384" width="9" style="224"/>
  </cols>
  <sheetData>
    <row r="1" spans="2:52" s="389" customFormat="1" ht="22.5" customHeight="1">
      <c r="B1" s="2819" t="s">
        <v>11757</v>
      </c>
      <c r="C1" s="2819"/>
      <c r="D1" s="2819"/>
      <c r="E1" s="2819"/>
      <c r="F1" s="2819"/>
      <c r="G1" s="2819"/>
      <c r="H1" s="2819"/>
      <c r="I1" s="2819"/>
      <c r="J1" s="2819"/>
      <c r="K1" s="2819"/>
      <c r="L1" s="2819"/>
      <c r="M1" s="2819"/>
      <c r="N1" s="2819"/>
      <c r="O1" s="2819"/>
      <c r="P1" s="2819"/>
      <c r="Q1" s="2819"/>
      <c r="R1" s="2885"/>
      <c r="S1" s="2885"/>
      <c r="U1" s="106"/>
      <c r="V1" s="106"/>
      <c r="W1" s="1165"/>
      <c r="X1" s="284"/>
      <c r="Y1" s="1165"/>
      <c r="Z1" s="106"/>
      <c r="AA1" s="106"/>
      <c r="AB1" s="106"/>
      <c r="AC1" s="106"/>
      <c r="AD1" s="106"/>
      <c r="AE1" s="106"/>
      <c r="AF1" s="106"/>
      <c r="AG1" s="106"/>
      <c r="AH1" s="106"/>
      <c r="AI1" s="106"/>
      <c r="AJ1" s="106"/>
      <c r="AK1" s="1165"/>
      <c r="AM1" s="2819" t="s">
        <v>4198</v>
      </c>
      <c r="AN1" s="2819"/>
      <c r="AO1" s="2819"/>
      <c r="AP1" s="2819"/>
      <c r="AQ1" s="723"/>
    </row>
    <row r="2" spans="2:52" s="389" customFormat="1" ht="22.8">
      <c r="B2" s="2819" t="str">
        <f>SelectCompany!B4</f>
        <v>Dŵr Cymru</v>
      </c>
      <c r="C2" s="2819"/>
      <c r="D2" s="2819"/>
      <c r="E2" s="2819"/>
      <c r="F2" s="723"/>
      <c r="G2" s="219"/>
      <c r="H2" s="219"/>
      <c r="I2" s="219"/>
      <c r="J2" s="219"/>
      <c r="K2" s="219"/>
      <c r="L2" s="390"/>
      <c r="M2" s="390"/>
      <c r="N2" s="390"/>
      <c r="O2" s="390"/>
      <c r="P2" s="390"/>
      <c r="Q2" s="390"/>
      <c r="R2" s="2885"/>
      <c r="S2" s="2885"/>
      <c r="U2" s="106"/>
      <c r="V2" s="106"/>
      <c r="W2" s="1165"/>
      <c r="X2" s="284"/>
      <c r="Y2" s="1165"/>
      <c r="Z2" s="106"/>
      <c r="AA2" s="106"/>
      <c r="AB2" s="106"/>
      <c r="AC2" s="106"/>
      <c r="AD2" s="106"/>
      <c r="AE2" s="106"/>
      <c r="AF2" s="106"/>
      <c r="AG2" s="106"/>
      <c r="AH2" s="106"/>
      <c r="AI2" s="106"/>
      <c r="AJ2" s="106"/>
      <c r="AK2" s="1165"/>
    </row>
    <row r="3" spans="2:52" ht="19.350000000000001" customHeight="1">
      <c r="B3" s="2829" t="s">
        <v>11758</v>
      </c>
      <c r="C3" s="2829"/>
      <c r="D3" s="2829"/>
      <c r="E3" s="2829"/>
      <c r="F3" s="2829"/>
      <c r="G3" s="2829"/>
      <c r="H3" s="2829"/>
      <c r="I3" s="2829"/>
      <c r="J3" s="2829"/>
      <c r="K3" s="2829"/>
      <c r="L3" s="2829"/>
      <c r="M3" s="2829"/>
      <c r="N3" s="2829"/>
      <c r="O3" s="2829"/>
      <c r="P3" s="2829"/>
      <c r="Q3" s="2829"/>
      <c r="R3" s="219"/>
      <c r="S3" s="219"/>
      <c r="T3" s="389"/>
      <c r="U3" s="224"/>
      <c r="W3" s="1165"/>
      <c r="X3" s="650" t="s">
        <v>4200</v>
      </c>
      <c r="Y3" s="1165"/>
      <c r="AK3" s="1165"/>
      <c r="AM3" s="2829" t="s">
        <v>11758</v>
      </c>
      <c r="AN3" s="2829"/>
      <c r="AO3" s="2829"/>
      <c r="AP3" s="2829"/>
      <c r="AQ3" s="2829"/>
      <c r="AR3" s="2829"/>
      <c r="AS3" s="2829"/>
      <c r="AT3" s="2829"/>
      <c r="AU3" s="2829"/>
      <c r="AV3" s="2829"/>
      <c r="AW3" s="2829"/>
      <c r="AX3" s="2829"/>
      <c r="AY3" s="2829"/>
      <c r="AZ3" s="2829"/>
    </row>
    <row r="4" spans="2:52" ht="23.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6" thickTop="1">
      <c r="B5" s="2876" t="s">
        <v>9208</v>
      </c>
      <c r="C5" s="2841"/>
      <c r="D5" s="2715" t="s">
        <v>4203</v>
      </c>
      <c r="E5" s="2715" t="s">
        <v>4204</v>
      </c>
      <c r="F5" s="2880" t="s">
        <v>9026</v>
      </c>
      <c r="G5" s="2880"/>
      <c r="H5" s="2880"/>
      <c r="I5" s="2880"/>
      <c r="J5" s="2880"/>
      <c r="K5" s="2880"/>
      <c r="L5" s="2855" t="s">
        <v>9209</v>
      </c>
      <c r="M5" s="2855"/>
      <c r="N5" s="2855"/>
      <c r="O5" s="2855"/>
      <c r="P5" s="2855"/>
      <c r="Q5" s="2899"/>
      <c r="R5" s="242"/>
      <c r="S5" s="2887" t="s">
        <v>4208</v>
      </c>
      <c r="U5" s="2811" t="s">
        <v>4209</v>
      </c>
      <c r="V5" s="106"/>
      <c r="W5" s="1165"/>
      <c r="X5" s="284"/>
      <c r="Y5" s="1165"/>
      <c r="Z5" s="106"/>
      <c r="AA5" s="106"/>
      <c r="AB5" s="106"/>
      <c r="AC5" s="106"/>
      <c r="AD5" s="106"/>
      <c r="AE5" s="106"/>
      <c r="AF5" s="106"/>
      <c r="AG5" s="106"/>
      <c r="AH5" s="106"/>
      <c r="AI5" s="106"/>
      <c r="AJ5" s="106"/>
      <c r="AK5" s="1165"/>
      <c r="AM5" s="2876" t="s">
        <v>9208</v>
      </c>
      <c r="AN5" s="2841"/>
      <c r="AO5" s="2880" t="s">
        <v>9026</v>
      </c>
      <c r="AP5" s="2880"/>
      <c r="AQ5" s="2880"/>
      <c r="AR5" s="2880"/>
      <c r="AS5" s="2880"/>
      <c r="AT5" s="2880"/>
      <c r="AU5" s="2855" t="s">
        <v>9209</v>
      </c>
      <c r="AV5" s="2855"/>
      <c r="AW5" s="2855"/>
      <c r="AX5" s="2855"/>
      <c r="AY5" s="2855"/>
      <c r="AZ5" s="2899"/>
    </row>
    <row r="6" spans="2:52" s="197" customFormat="1" ht="15.6">
      <c r="B6" s="2877"/>
      <c r="C6" s="2878"/>
      <c r="D6" s="2818"/>
      <c r="E6" s="2818"/>
      <c r="F6" s="2878" t="s">
        <v>5141</v>
      </c>
      <c r="G6" s="2882" t="s">
        <v>6185</v>
      </c>
      <c r="H6" s="2882"/>
      <c r="I6" s="2882"/>
      <c r="J6" s="2882"/>
      <c r="K6" s="2882" t="s">
        <v>4425</v>
      </c>
      <c r="L6" s="2878" t="s">
        <v>5141</v>
      </c>
      <c r="M6" s="2850" t="s">
        <v>6185</v>
      </c>
      <c r="N6" s="2850"/>
      <c r="O6" s="2850"/>
      <c r="P6" s="2850"/>
      <c r="Q6" s="2884" t="s">
        <v>4425</v>
      </c>
      <c r="R6" s="242"/>
      <c r="S6" s="2888"/>
      <c r="U6" s="2812"/>
      <c r="V6" s="730"/>
      <c r="W6" s="1165"/>
      <c r="X6" s="284"/>
      <c r="Y6" s="1165"/>
      <c r="Z6" s="2906" t="s">
        <v>4201</v>
      </c>
      <c r="AA6" s="2906"/>
      <c r="AB6" s="2906"/>
      <c r="AC6" s="2906"/>
      <c r="AD6" s="2906"/>
      <c r="AE6" s="2906"/>
      <c r="AF6" s="2906"/>
      <c r="AG6" s="2906"/>
      <c r="AH6" s="2906"/>
      <c r="AI6" s="2906"/>
      <c r="AJ6" s="2906"/>
      <c r="AK6" s="1165"/>
      <c r="AM6" s="2877"/>
      <c r="AN6" s="2878"/>
      <c r="AO6" s="2878" t="s">
        <v>5141</v>
      </c>
      <c r="AP6" s="2882" t="s">
        <v>6185</v>
      </c>
      <c r="AQ6" s="2882"/>
      <c r="AR6" s="2882"/>
      <c r="AS6" s="2882"/>
      <c r="AT6" s="2882" t="s">
        <v>4425</v>
      </c>
      <c r="AU6" s="2878" t="s">
        <v>5141</v>
      </c>
      <c r="AV6" s="2850" t="s">
        <v>6185</v>
      </c>
      <c r="AW6" s="2850"/>
      <c r="AX6" s="2850"/>
      <c r="AY6" s="2850"/>
      <c r="AZ6" s="2884" t="s">
        <v>4425</v>
      </c>
    </row>
    <row r="7" spans="2:52" s="197" customFormat="1" ht="45.6" thickBot="1">
      <c r="B7" s="2879"/>
      <c r="C7" s="2842"/>
      <c r="D7" s="2716"/>
      <c r="E7" s="2716"/>
      <c r="F7" s="2842"/>
      <c r="G7" s="862" t="s">
        <v>7882</v>
      </c>
      <c r="H7" s="862" t="s">
        <v>7883</v>
      </c>
      <c r="I7" s="862" t="s">
        <v>7884</v>
      </c>
      <c r="J7" s="862" t="s">
        <v>7885</v>
      </c>
      <c r="K7" s="2883"/>
      <c r="L7" s="2842"/>
      <c r="M7" s="862" t="s">
        <v>7882</v>
      </c>
      <c r="N7" s="862" t="s">
        <v>7883</v>
      </c>
      <c r="O7" s="862" t="s">
        <v>7884</v>
      </c>
      <c r="P7" s="862" t="s">
        <v>7885</v>
      </c>
      <c r="Q7" s="2840"/>
      <c r="R7" s="1059"/>
      <c r="S7" s="2889"/>
      <c r="U7" s="2813"/>
      <c r="V7" s="282"/>
      <c r="W7" s="1165"/>
      <c r="X7" s="284"/>
      <c r="Y7" s="1165"/>
      <c r="Z7" s="106" t="s">
        <v>4210</v>
      </c>
      <c r="AA7" s="106"/>
      <c r="AB7" s="106"/>
      <c r="AC7" s="106"/>
      <c r="AD7" s="106"/>
      <c r="AE7" s="106"/>
      <c r="AF7" s="106"/>
      <c r="AG7" s="106"/>
      <c r="AH7" s="106"/>
      <c r="AI7" s="106"/>
      <c r="AJ7" s="106"/>
      <c r="AK7" s="1165"/>
      <c r="AM7" s="2879"/>
      <c r="AN7" s="2842"/>
      <c r="AO7" s="2842"/>
      <c r="AP7" s="862" t="s">
        <v>7882</v>
      </c>
      <c r="AQ7" s="862" t="s">
        <v>7883</v>
      </c>
      <c r="AR7" s="862" t="s">
        <v>7884</v>
      </c>
      <c r="AS7" s="862" t="s">
        <v>7885</v>
      </c>
      <c r="AT7" s="2883"/>
      <c r="AU7" s="2842"/>
      <c r="AV7" s="862" t="s">
        <v>7882</v>
      </c>
      <c r="AW7" s="862" t="s">
        <v>7883</v>
      </c>
      <c r="AX7" s="862" t="s">
        <v>7884</v>
      </c>
      <c r="AY7" s="862" t="s">
        <v>7885</v>
      </c>
      <c r="AZ7" s="2840"/>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11759</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11759</v>
      </c>
      <c r="AN9" s="997"/>
      <c r="AO9" s="997"/>
      <c r="AP9" s="997"/>
      <c r="AQ9" s="997"/>
      <c r="AR9" s="997"/>
      <c r="AS9" s="997"/>
      <c r="AT9" s="997"/>
      <c r="AU9" s="997"/>
      <c r="AV9" s="997"/>
      <c r="AW9" s="997"/>
      <c r="AX9" s="997"/>
      <c r="AY9" s="997"/>
      <c r="AZ9" s="997"/>
    </row>
    <row r="10" spans="2:52" s="197" customFormat="1" ht="15.75" customHeight="1" thickTop="1">
      <c r="B10" s="451" t="s">
        <v>11760</v>
      </c>
      <c r="C10" s="1063" t="s">
        <v>9215</v>
      </c>
      <c r="D10" s="277" t="s">
        <v>4215</v>
      </c>
      <c r="E10" s="277">
        <v>3</v>
      </c>
      <c r="F10" s="694">
        <v>0</v>
      </c>
      <c r="G10" s="694">
        <v>0</v>
      </c>
      <c r="H10" s="694">
        <v>0</v>
      </c>
      <c r="I10" s="694">
        <v>0</v>
      </c>
      <c r="J10" s="694">
        <v>0</v>
      </c>
      <c r="K10" s="1595">
        <f>IFERROR(SUM(F10:J10),0)</f>
        <v>0</v>
      </c>
      <c r="L10" s="1694">
        <v>0</v>
      </c>
      <c r="M10" s="1694">
        <v>0</v>
      </c>
      <c r="N10" s="1694">
        <v>0</v>
      </c>
      <c r="O10" s="1694">
        <v>0</v>
      </c>
      <c r="P10" s="1694">
        <v>0</v>
      </c>
      <c r="Q10" s="1695">
        <f>IFERROR(SUM(L10:P10),0)</f>
        <v>0</v>
      </c>
      <c r="R10" s="242"/>
      <c r="S10" s="1066" t="s">
        <v>11761</v>
      </c>
      <c r="U10" s="283"/>
      <c r="V10" s="282"/>
      <c r="W10" s="345"/>
      <c r="X10" s="284">
        <f>IF( SUM( Z10:AJ10 ) = 0, 0, $Z$7 )</f>
        <v>0</v>
      </c>
      <c r="Y10" s="345"/>
      <c r="Z10" s="1199">
        <f xml:space="preserve"> IF( ISNUMBER(F10), 0, 1 )</f>
        <v>0</v>
      </c>
      <c r="AA10" s="1199">
        <f t="shared" ref="AA10:AA11" si="0" xml:space="preserve"> IF( ISNUMBER(G10), 0, 1 )</f>
        <v>0</v>
      </c>
      <c r="AB10" s="1199">
        <f t="shared" ref="AB10:AB11" si="1" xml:space="preserve"> IF( ISNUMBER(H10), 0, 1 )</f>
        <v>0</v>
      </c>
      <c r="AC10" s="1199">
        <f t="shared" ref="AC10:AC11" si="2" xml:space="preserve"> IF( ISNUMBER(I10), 0, 1 )</f>
        <v>0</v>
      </c>
      <c r="AD10" s="1199">
        <f t="shared" ref="AD10:AD11" si="3" xml:space="preserve"> IF( ISNUMBER(J10), 0, 1 )</f>
        <v>0</v>
      </c>
      <c r="AE10" s="224"/>
      <c r="AF10" s="1199">
        <f t="shared" ref="AF10:AF11" si="4" xml:space="preserve"> IF( ISNUMBER(L10), 0, 1 )</f>
        <v>0</v>
      </c>
      <c r="AG10" s="1199">
        <f t="shared" ref="AG10:AG11" si="5" xml:space="preserve"> IF( ISNUMBER(M10), 0, 1 )</f>
        <v>0</v>
      </c>
      <c r="AH10" s="1199">
        <f t="shared" ref="AH10:AH11" si="6" xml:space="preserve"> IF( ISNUMBER(N10), 0, 1 )</f>
        <v>0</v>
      </c>
      <c r="AI10" s="1199">
        <f t="shared" ref="AI10:AI11" si="7" xml:space="preserve"> IF( ISNUMBER(O10), 0, 1 )</f>
        <v>0</v>
      </c>
      <c r="AJ10" s="1199">
        <f t="shared" ref="AJ10:AJ11" si="8" xml:space="preserve"> IF( ISNUMBER(P10), 0, 1 )</f>
        <v>0</v>
      </c>
      <c r="AK10" s="345"/>
      <c r="AM10" s="451" t="s">
        <v>11760</v>
      </c>
      <c r="AN10" s="1063" t="s">
        <v>9215</v>
      </c>
      <c r="AO10" s="1198" t="s">
        <v>11762</v>
      </c>
      <c r="AP10" s="904" t="s">
        <v>11763</v>
      </c>
      <c r="AQ10" s="904" t="s">
        <v>11764</v>
      </c>
      <c r="AR10" s="904" t="s">
        <v>11765</v>
      </c>
      <c r="AS10" s="904" t="s">
        <v>11766</v>
      </c>
      <c r="AT10" s="675" t="s">
        <v>11767</v>
      </c>
      <c r="AU10" s="809" t="s">
        <v>11768</v>
      </c>
      <c r="AV10" s="809" t="s">
        <v>11769</v>
      </c>
      <c r="AW10" s="809" t="s">
        <v>11770</v>
      </c>
      <c r="AX10" s="809" t="s">
        <v>11771</v>
      </c>
      <c r="AY10" s="809" t="s">
        <v>11772</v>
      </c>
      <c r="AZ10" s="1168" t="s">
        <v>11773</v>
      </c>
    </row>
    <row r="11" spans="2:52" s="197" customFormat="1" ht="15.75" customHeight="1">
      <c r="B11" s="460" t="s">
        <v>11760</v>
      </c>
      <c r="C11" s="354" t="s">
        <v>9223</v>
      </c>
      <c r="D11" s="286" t="s">
        <v>4215</v>
      </c>
      <c r="E11" s="286">
        <v>3</v>
      </c>
      <c r="F11" s="697">
        <v>0</v>
      </c>
      <c r="G11" s="697">
        <v>0</v>
      </c>
      <c r="H11" s="697">
        <v>0</v>
      </c>
      <c r="I11" s="697">
        <v>0</v>
      </c>
      <c r="J11" s="697">
        <v>0</v>
      </c>
      <c r="K11" s="1597">
        <f>IFERROR(SUM(F11:J11),0)</f>
        <v>0</v>
      </c>
      <c r="L11" s="793">
        <v>0</v>
      </c>
      <c r="M11" s="793">
        <v>0</v>
      </c>
      <c r="N11" s="793">
        <v>0</v>
      </c>
      <c r="O11" s="793">
        <v>0</v>
      </c>
      <c r="P11" s="793">
        <v>0</v>
      </c>
      <c r="Q11" s="1696">
        <f>IFERROR(SUM(L11:P11),0)</f>
        <v>0</v>
      </c>
      <c r="R11" s="242"/>
      <c r="S11" s="1071" t="s">
        <v>11774</v>
      </c>
      <c r="U11" s="291"/>
      <c r="V11" s="282"/>
      <c r="W11" s="345"/>
      <c r="X11" s="284">
        <f>IF( SUM( Z11:AJ11 ) = 0, 0, $Z$7 )</f>
        <v>0</v>
      </c>
      <c r="Y11" s="345"/>
      <c r="Z11" s="1199">
        <f t="shared" ref="Z11" si="9" xml:space="preserve"> IF( ISNUMBER(F11), 0, 1 )</f>
        <v>0</v>
      </c>
      <c r="AA11" s="1199">
        <f t="shared" si="0"/>
        <v>0</v>
      </c>
      <c r="AB11" s="1199">
        <f t="shared" si="1"/>
        <v>0</v>
      </c>
      <c r="AC11" s="1199">
        <f t="shared" si="2"/>
        <v>0</v>
      </c>
      <c r="AD11" s="1199">
        <f t="shared" si="3"/>
        <v>0</v>
      </c>
      <c r="AE11" s="224"/>
      <c r="AF11" s="1199">
        <f t="shared" si="4"/>
        <v>0</v>
      </c>
      <c r="AG11" s="1199">
        <f t="shared" si="5"/>
        <v>0</v>
      </c>
      <c r="AH11" s="1199">
        <f t="shared" si="6"/>
        <v>0</v>
      </c>
      <c r="AI11" s="1199">
        <f t="shared" si="7"/>
        <v>0</v>
      </c>
      <c r="AJ11" s="1199">
        <f t="shared" si="8"/>
        <v>0</v>
      </c>
      <c r="AK11" s="345"/>
      <c r="AM11" s="460" t="s">
        <v>11760</v>
      </c>
      <c r="AN11" s="354" t="s">
        <v>9223</v>
      </c>
      <c r="AO11" s="905" t="s">
        <v>11775</v>
      </c>
      <c r="AP11" s="905" t="s">
        <v>11776</v>
      </c>
      <c r="AQ11" s="905" t="s">
        <v>11777</v>
      </c>
      <c r="AR11" s="905" t="s">
        <v>11778</v>
      </c>
      <c r="AS11" s="905" t="s">
        <v>11779</v>
      </c>
      <c r="AT11" s="677" t="s">
        <v>11780</v>
      </c>
      <c r="AU11" s="799" t="s">
        <v>11781</v>
      </c>
      <c r="AV11" s="799" t="s">
        <v>11782</v>
      </c>
      <c r="AW11" s="799" t="s">
        <v>11783</v>
      </c>
      <c r="AX11" s="799" t="s">
        <v>11784</v>
      </c>
      <c r="AY11" s="799" t="s">
        <v>11785</v>
      </c>
      <c r="AZ11" s="798" t="s">
        <v>11786</v>
      </c>
    </row>
    <row r="12" spans="2:52" s="197" customFormat="1" ht="15.75" customHeight="1">
      <c r="B12" s="460" t="s">
        <v>11760</v>
      </c>
      <c r="C12" s="354" t="s">
        <v>9231</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11787</v>
      </c>
      <c r="U12" s="291"/>
      <c r="V12" s="282"/>
      <c r="W12" s="345"/>
      <c r="X12" s="224"/>
      <c r="Y12" s="345"/>
      <c r="Z12" s="224"/>
      <c r="AA12" s="224"/>
      <c r="AB12" s="224"/>
      <c r="AC12" s="224"/>
      <c r="AD12" s="224"/>
      <c r="AE12" s="224"/>
      <c r="AF12" s="224"/>
      <c r="AG12" s="224"/>
      <c r="AH12" s="224"/>
      <c r="AI12" s="224"/>
      <c r="AJ12" s="224"/>
      <c r="AK12" s="345"/>
      <c r="AM12" s="460" t="s">
        <v>11760</v>
      </c>
      <c r="AN12" s="354" t="s">
        <v>9231</v>
      </c>
      <c r="AO12" s="677" t="s">
        <v>11788</v>
      </c>
      <c r="AP12" s="677" t="s">
        <v>11789</v>
      </c>
      <c r="AQ12" s="677" t="s">
        <v>11790</v>
      </c>
      <c r="AR12" s="677" t="s">
        <v>11791</v>
      </c>
      <c r="AS12" s="677" t="s">
        <v>11792</v>
      </c>
      <c r="AT12" s="677" t="s">
        <v>11793</v>
      </c>
      <c r="AU12" s="677" t="s">
        <v>11794</v>
      </c>
      <c r="AV12" s="677" t="s">
        <v>11795</v>
      </c>
      <c r="AW12" s="677" t="s">
        <v>11796</v>
      </c>
      <c r="AX12" s="677" t="s">
        <v>11797</v>
      </c>
      <c r="AY12" s="677" t="s">
        <v>11798</v>
      </c>
      <c r="AZ12" s="798" t="s">
        <v>11799</v>
      </c>
    </row>
    <row r="13" spans="2:52" s="197" customFormat="1" ht="15.75" customHeight="1">
      <c r="B13" s="460" t="s">
        <v>11800</v>
      </c>
      <c r="C13" s="354" t="s">
        <v>9215</v>
      </c>
      <c r="D13" s="286" t="s">
        <v>4215</v>
      </c>
      <c r="E13" s="286">
        <v>3</v>
      </c>
      <c r="F13" s="697">
        <v>0</v>
      </c>
      <c r="G13" s="697">
        <v>0</v>
      </c>
      <c r="H13" s="697">
        <v>0</v>
      </c>
      <c r="I13" s="697">
        <v>0</v>
      </c>
      <c r="J13" s="697">
        <v>0</v>
      </c>
      <c r="K13" s="1597">
        <f>IFERROR(SUM(F13:J13),0)</f>
        <v>0</v>
      </c>
      <c r="L13" s="793">
        <v>0</v>
      </c>
      <c r="M13" s="793">
        <v>0</v>
      </c>
      <c r="N13" s="793">
        <v>0</v>
      </c>
      <c r="O13" s="793">
        <v>0</v>
      </c>
      <c r="P13" s="793">
        <v>0</v>
      </c>
      <c r="Q13" s="1696">
        <f>IFERROR(SUM(L13:P13),0)</f>
        <v>0</v>
      </c>
      <c r="R13" s="242"/>
      <c r="S13" s="1071" t="s">
        <v>11801</v>
      </c>
      <c r="U13" s="291"/>
      <c r="V13" s="282"/>
      <c r="W13" s="345"/>
      <c r="X13" s="284">
        <f t="shared" ref="X13:X14" si="16">IF( SUM( Z13:AJ13 ) = 0, 0, $Z$7 )</f>
        <v>0</v>
      </c>
      <c r="Y13" s="345"/>
      <c r="Z13" s="1199">
        <f t="shared" ref="Z13:Z14" si="17" xml:space="preserve"> IF( ISNUMBER(F13), 0, 1 )</f>
        <v>0</v>
      </c>
      <c r="AA13" s="1199">
        <f t="shared" ref="AA13:AA14" si="18" xml:space="preserve"> IF( ISNUMBER(G13), 0, 1 )</f>
        <v>0</v>
      </c>
      <c r="AB13" s="1199">
        <f t="shared" ref="AB13:AB14" si="19" xml:space="preserve"> IF( ISNUMBER(H13), 0, 1 )</f>
        <v>0</v>
      </c>
      <c r="AC13" s="1199">
        <f t="shared" ref="AC13:AC14" si="20" xml:space="preserve"> IF( ISNUMBER(I13), 0, 1 )</f>
        <v>0</v>
      </c>
      <c r="AD13" s="1199">
        <f t="shared" ref="AD13:AD14" si="21" xml:space="preserve"> IF( ISNUMBER(J13), 0, 1 )</f>
        <v>0</v>
      </c>
      <c r="AE13" s="224"/>
      <c r="AF13" s="1199">
        <f t="shared" ref="AF13:AF14" si="22" xml:space="preserve"> IF( ISNUMBER(L13), 0, 1 )</f>
        <v>0</v>
      </c>
      <c r="AG13" s="1199">
        <f t="shared" ref="AG13:AG14" si="23" xml:space="preserve"> IF( ISNUMBER(M13), 0, 1 )</f>
        <v>0</v>
      </c>
      <c r="AH13" s="1199">
        <f t="shared" ref="AH13:AH14" si="24" xml:space="preserve"> IF( ISNUMBER(N13), 0, 1 )</f>
        <v>0</v>
      </c>
      <c r="AI13" s="1199">
        <f t="shared" ref="AI13:AI14" si="25" xml:space="preserve"> IF( ISNUMBER(O13), 0, 1 )</f>
        <v>0</v>
      </c>
      <c r="AJ13" s="1199">
        <f t="shared" ref="AJ13:AJ14" si="26" xml:space="preserve"> IF( ISNUMBER(P13), 0, 1 )</f>
        <v>0</v>
      </c>
      <c r="AK13" s="345"/>
      <c r="AM13" s="460" t="s">
        <v>11800</v>
      </c>
      <c r="AN13" s="354" t="s">
        <v>9215</v>
      </c>
      <c r="AO13" s="905" t="s">
        <v>11802</v>
      </c>
      <c r="AP13" s="905" t="s">
        <v>11803</v>
      </c>
      <c r="AQ13" s="905" t="s">
        <v>11804</v>
      </c>
      <c r="AR13" s="905" t="s">
        <v>11805</v>
      </c>
      <c r="AS13" s="905" t="s">
        <v>11806</v>
      </c>
      <c r="AT13" s="677" t="s">
        <v>11807</v>
      </c>
      <c r="AU13" s="799" t="s">
        <v>11808</v>
      </c>
      <c r="AV13" s="799" t="s">
        <v>11809</v>
      </c>
      <c r="AW13" s="799" t="s">
        <v>11810</v>
      </c>
      <c r="AX13" s="799" t="s">
        <v>11811</v>
      </c>
      <c r="AY13" s="799" t="s">
        <v>11812</v>
      </c>
      <c r="AZ13" s="798" t="s">
        <v>11813</v>
      </c>
    </row>
    <row r="14" spans="2:52" s="197" customFormat="1" ht="15.75" customHeight="1">
      <c r="B14" s="460" t="s">
        <v>11800</v>
      </c>
      <c r="C14" s="354" t="s">
        <v>9223</v>
      </c>
      <c r="D14" s="286" t="s">
        <v>4215</v>
      </c>
      <c r="E14" s="286">
        <v>3</v>
      </c>
      <c r="F14" s="697">
        <v>0</v>
      </c>
      <c r="G14" s="697">
        <v>0</v>
      </c>
      <c r="H14" s="697">
        <v>0</v>
      </c>
      <c r="I14" s="697">
        <v>0</v>
      </c>
      <c r="J14" s="697">
        <v>0</v>
      </c>
      <c r="K14" s="1597">
        <f>IFERROR(SUM(F14:J14),0)</f>
        <v>0</v>
      </c>
      <c r="L14" s="793">
        <v>0</v>
      </c>
      <c r="M14" s="793">
        <v>0</v>
      </c>
      <c r="N14" s="793">
        <v>0</v>
      </c>
      <c r="O14" s="793">
        <v>0</v>
      </c>
      <c r="P14" s="793">
        <v>0</v>
      </c>
      <c r="Q14" s="1696">
        <f>IFERROR(SUM(L14:P14),0)</f>
        <v>0</v>
      </c>
      <c r="R14" s="242"/>
      <c r="S14" s="1071" t="s">
        <v>11814</v>
      </c>
      <c r="U14" s="291"/>
      <c r="V14" s="282"/>
      <c r="W14" s="1165"/>
      <c r="X14" s="284">
        <f t="shared" si="16"/>
        <v>0</v>
      </c>
      <c r="Y14" s="1165"/>
      <c r="Z14" s="1199">
        <f t="shared" si="17"/>
        <v>0</v>
      </c>
      <c r="AA14" s="1199">
        <f t="shared" si="18"/>
        <v>0</v>
      </c>
      <c r="AB14" s="1199">
        <f t="shared" si="19"/>
        <v>0</v>
      </c>
      <c r="AC14" s="1199">
        <f t="shared" si="20"/>
        <v>0</v>
      </c>
      <c r="AD14" s="1199">
        <f t="shared" si="21"/>
        <v>0</v>
      </c>
      <c r="AE14" s="224"/>
      <c r="AF14" s="1199">
        <f t="shared" si="22"/>
        <v>0</v>
      </c>
      <c r="AG14" s="1199">
        <f t="shared" si="23"/>
        <v>0</v>
      </c>
      <c r="AH14" s="1199">
        <f t="shared" si="24"/>
        <v>0</v>
      </c>
      <c r="AI14" s="1199">
        <f t="shared" si="25"/>
        <v>0</v>
      </c>
      <c r="AJ14" s="1199">
        <f t="shared" si="26"/>
        <v>0</v>
      </c>
      <c r="AK14" s="1165"/>
      <c r="AM14" s="460" t="s">
        <v>11800</v>
      </c>
      <c r="AN14" s="354" t="s">
        <v>9223</v>
      </c>
      <c r="AO14" s="905" t="s">
        <v>11815</v>
      </c>
      <c r="AP14" s="905" t="s">
        <v>11816</v>
      </c>
      <c r="AQ14" s="905" t="s">
        <v>11817</v>
      </c>
      <c r="AR14" s="905" t="s">
        <v>11818</v>
      </c>
      <c r="AS14" s="905" t="s">
        <v>11819</v>
      </c>
      <c r="AT14" s="677" t="s">
        <v>11820</v>
      </c>
      <c r="AU14" s="799" t="s">
        <v>11821</v>
      </c>
      <c r="AV14" s="799" t="s">
        <v>11822</v>
      </c>
      <c r="AW14" s="799" t="s">
        <v>11823</v>
      </c>
      <c r="AX14" s="799" t="s">
        <v>11824</v>
      </c>
      <c r="AY14" s="799" t="s">
        <v>11825</v>
      </c>
      <c r="AZ14" s="798" t="s">
        <v>11826</v>
      </c>
    </row>
    <row r="15" spans="2:52" s="197" customFormat="1" ht="15.75" customHeight="1">
      <c r="B15" s="460" t="s">
        <v>11800</v>
      </c>
      <c r="C15" s="354" t="s">
        <v>9231</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11827</v>
      </c>
      <c r="U15" s="291"/>
      <c r="V15" s="282"/>
      <c r="W15" s="1165"/>
      <c r="X15" s="224"/>
      <c r="Y15" s="1165"/>
      <c r="Z15" s="224"/>
      <c r="AA15" s="224"/>
      <c r="AB15" s="224"/>
      <c r="AC15" s="224"/>
      <c r="AD15" s="224"/>
      <c r="AE15" s="224"/>
      <c r="AF15" s="224"/>
      <c r="AG15" s="224"/>
      <c r="AH15" s="224"/>
      <c r="AI15" s="224"/>
      <c r="AJ15" s="224"/>
      <c r="AK15" s="1165"/>
      <c r="AM15" s="460" t="s">
        <v>11800</v>
      </c>
      <c r="AN15" s="354" t="s">
        <v>9231</v>
      </c>
      <c r="AO15" s="677" t="s">
        <v>11828</v>
      </c>
      <c r="AP15" s="677" t="s">
        <v>11829</v>
      </c>
      <c r="AQ15" s="677" t="s">
        <v>11830</v>
      </c>
      <c r="AR15" s="677" t="s">
        <v>11831</v>
      </c>
      <c r="AS15" s="677" t="s">
        <v>11832</v>
      </c>
      <c r="AT15" s="677" t="s">
        <v>11833</v>
      </c>
      <c r="AU15" s="677" t="s">
        <v>11834</v>
      </c>
      <c r="AV15" s="677" t="s">
        <v>11835</v>
      </c>
      <c r="AW15" s="677" t="s">
        <v>11836</v>
      </c>
      <c r="AX15" s="677" t="s">
        <v>11837</v>
      </c>
      <c r="AY15" s="677" t="s">
        <v>11838</v>
      </c>
      <c r="AZ15" s="798" t="s">
        <v>11839</v>
      </c>
    </row>
    <row r="16" spans="2:52" s="197" customFormat="1" ht="15.75" customHeight="1">
      <c r="B16" s="460" t="s">
        <v>11840</v>
      </c>
      <c r="C16" s="354" t="s">
        <v>9215</v>
      </c>
      <c r="D16" s="286" t="s">
        <v>4215</v>
      </c>
      <c r="E16" s="286">
        <v>3</v>
      </c>
      <c r="F16" s="697">
        <v>0</v>
      </c>
      <c r="G16" s="697">
        <v>0</v>
      </c>
      <c r="H16" s="697">
        <v>0</v>
      </c>
      <c r="I16" s="697">
        <v>0</v>
      </c>
      <c r="J16" s="697">
        <v>0</v>
      </c>
      <c r="K16" s="1597">
        <f>IFERROR(SUM(F16:J16),0)</f>
        <v>0</v>
      </c>
      <c r="L16" s="793">
        <v>0</v>
      </c>
      <c r="M16" s="793">
        <v>0</v>
      </c>
      <c r="N16" s="793">
        <v>0</v>
      </c>
      <c r="O16" s="793">
        <v>0</v>
      </c>
      <c r="P16" s="793">
        <v>0</v>
      </c>
      <c r="Q16" s="1696">
        <f>IFERROR(SUM(L16:P16),0)</f>
        <v>0</v>
      </c>
      <c r="R16" s="242"/>
      <c r="S16" s="1071" t="s">
        <v>11841</v>
      </c>
      <c r="U16" s="291"/>
      <c r="V16" s="282"/>
      <c r="W16" s="1165"/>
      <c r="X16" s="284">
        <f t="shared" ref="X16:X17" si="33">IF( SUM( Z16:AJ16 ) = 0, 0, $Z$7 )</f>
        <v>0</v>
      </c>
      <c r="Y16" s="1165"/>
      <c r="Z16" s="1199">
        <f t="shared" ref="Z16:Z17" si="34" xml:space="preserve"> IF( ISNUMBER(F16), 0, 1 )</f>
        <v>0</v>
      </c>
      <c r="AA16" s="1199">
        <f t="shared" ref="AA16:AA17" si="35" xml:space="preserve"> IF( ISNUMBER(G16), 0, 1 )</f>
        <v>0</v>
      </c>
      <c r="AB16" s="1199">
        <f t="shared" ref="AB16:AB17" si="36" xml:space="preserve"> IF( ISNUMBER(H16), 0, 1 )</f>
        <v>0</v>
      </c>
      <c r="AC16" s="1199">
        <f t="shared" ref="AC16:AC17" si="37" xml:space="preserve"> IF( ISNUMBER(I16), 0, 1 )</f>
        <v>0</v>
      </c>
      <c r="AD16" s="1199">
        <f t="shared" ref="AD16:AD17" si="38" xml:space="preserve"> IF( ISNUMBER(J16), 0, 1 )</f>
        <v>0</v>
      </c>
      <c r="AE16" s="224"/>
      <c r="AF16" s="1199">
        <f t="shared" ref="AF16:AF17" si="39" xml:space="preserve"> IF( ISNUMBER(L16), 0, 1 )</f>
        <v>0</v>
      </c>
      <c r="AG16" s="1199">
        <f t="shared" ref="AG16:AG17" si="40" xml:space="preserve"> IF( ISNUMBER(M16), 0, 1 )</f>
        <v>0</v>
      </c>
      <c r="AH16" s="1199">
        <f t="shared" ref="AH16:AH17" si="41" xml:space="preserve"> IF( ISNUMBER(N16), 0, 1 )</f>
        <v>0</v>
      </c>
      <c r="AI16" s="1199">
        <f t="shared" ref="AI16:AI17" si="42" xml:space="preserve"> IF( ISNUMBER(O16), 0, 1 )</f>
        <v>0</v>
      </c>
      <c r="AJ16" s="1199">
        <f t="shared" ref="AJ16:AJ17" si="43" xml:space="preserve"> IF( ISNUMBER(P16), 0, 1 )</f>
        <v>0</v>
      </c>
      <c r="AK16" s="1165"/>
      <c r="AM16" s="460" t="s">
        <v>11840</v>
      </c>
      <c r="AN16" s="354" t="s">
        <v>9215</v>
      </c>
      <c r="AO16" s="905" t="s">
        <v>11842</v>
      </c>
      <c r="AP16" s="905" t="s">
        <v>11843</v>
      </c>
      <c r="AQ16" s="905" t="s">
        <v>11844</v>
      </c>
      <c r="AR16" s="905" t="s">
        <v>11845</v>
      </c>
      <c r="AS16" s="905" t="s">
        <v>11846</v>
      </c>
      <c r="AT16" s="677" t="s">
        <v>11847</v>
      </c>
      <c r="AU16" s="799" t="s">
        <v>11848</v>
      </c>
      <c r="AV16" s="799" t="s">
        <v>11849</v>
      </c>
      <c r="AW16" s="799" t="s">
        <v>11850</v>
      </c>
      <c r="AX16" s="799" t="s">
        <v>11851</v>
      </c>
      <c r="AY16" s="799" t="s">
        <v>11852</v>
      </c>
      <c r="AZ16" s="798" t="s">
        <v>11853</v>
      </c>
    </row>
    <row r="17" spans="2:52" ht="15.75" customHeight="1">
      <c r="B17" s="460" t="s">
        <v>11840</v>
      </c>
      <c r="C17" s="354" t="s">
        <v>9223</v>
      </c>
      <c r="D17" s="286" t="s">
        <v>4215</v>
      </c>
      <c r="E17" s="286">
        <v>3</v>
      </c>
      <c r="F17" s="697">
        <v>0</v>
      </c>
      <c r="G17" s="697">
        <v>0</v>
      </c>
      <c r="H17" s="697">
        <v>0</v>
      </c>
      <c r="I17" s="697">
        <v>0</v>
      </c>
      <c r="J17" s="697">
        <v>0</v>
      </c>
      <c r="K17" s="1597">
        <f>IFERROR(SUM(F17:J17),0)</f>
        <v>0</v>
      </c>
      <c r="L17" s="793">
        <v>0</v>
      </c>
      <c r="M17" s="793">
        <v>0</v>
      </c>
      <c r="N17" s="793">
        <v>0</v>
      </c>
      <c r="O17" s="793">
        <v>0</v>
      </c>
      <c r="P17" s="793">
        <v>0</v>
      </c>
      <c r="Q17" s="1696">
        <f>IFERROR(SUM(L17:P17),0)</f>
        <v>0</v>
      </c>
      <c r="R17" s="242"/>
      <c r="S17" s="1071" t="s">
        <v>11854</v>
      </c>
      <c r="T17" s="197"/>
      <c r="U17" s="291"/>
      <c r="V17" s="282"/>
      <c r="W17" s="1167"/>
      <c r="X17" s="284">
        <f t="shared" si="33"/>
        <v>0</v>
      </c>
      <c r="Y17" s="1167"/>
      <c r="Z17" s="1199">
        <f t="shared" si="34"/>
        <v>0</v>
      </c>
      <c r="AA17" s="1199">
        <f t="shared" si="35"/>
        <v>0</v>
      </c>
      <c r="AB17" s="1199">
        <f t="shared" si="36"/>
        <v>0</v>
      </c>
      <c r="AC17" s="1199">
        <f t="shared" si="37"/>
        <v>0</v>
      </c>
      <c r="AD17" s="1199">
        <f t="shared" si="38"/>
        <v>0</v>
      </c>
      <c r="AE17" s="224"/>
      <c r="AF17" s="1199">
        <f t="shared" si="39"/>
        <v>0</v>
      </c>
      <c r="AG17" s="1199">
        <f t="shared" si="40"/>
        <v>0</v>
      </c>
      <c r="AH17" s="1199">
        <f t="shared" si="41"/>
        <v>0</v>
      </c>
      <c r="AI17" s="1199">
        <f t="shared" si="42"/>
        <v>0</v>
      </c>
      <c r="AJ17" s="1199">
        <f t="shared" si="43"/>
        <v>0</v>
      </c>
      <c r="AK17" s="1167"/>
      <c r="AM17" s="460" t="s">
        <v>11840</v>
      </c>
      <c r="AN17" s="354" t="s">
        <v>9223</v>
      </c>
      <c r="AO17" s="905" t="s">
        <v>11855</v>
      </c>
      <c r="AP17" s="905" t="s">
        <v>11856</v>
      </c>
      <c r="AQ17" s="905" t="s">
        <v>11857</v>
      </c>
      <c r="AR17" s="905" t="s">
        <v>11858</v>
      </c>
      <c r="AS17" s="905" t="s">
        <v>11859</v>
      </c>
      <c r="AT17" s="677" t="s">
        <v>11860</v>
      </c>
      <c r="AU17" s="799" t="s">
        <v>11861</v>
      </c>
      <c r="AV17" s="799" t="s">
        <v>11862</v>
      </c>
      <c r="AW17" s="799" t="s">
        <v>11863</v>
      </c>
      <c r="AX17" s="799" t="s">
        <v>11864</v>
      </c>
      <c r="AY17" s="799" t="s">
        <v>11865</v>
      </c>
      <c r="AZ17" s="798" t="s">
        <v>11866</v>
      </c>
    </row>
    <row r="18" spans="2:52" ht="15.75" customHeight="1">
      <c r="B18" s="460" t="s">
        <v>11840</v>
      </c>
      <c r="C18" s="354" t="s">
        <v>9231</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11867</v>
      </c>
      <c r="T18" s="197"/>
      <c r="U18" s="291"/>
      <c r="V18" s="436"/>
      <c r="W18" s="1167"/>
      <c r="X18" s="224"/>
      <c r="Y18" s="1167"/>
      <c r="Z18" s="224"/>
      <c r="AA18" s="224"/>
      <c r="AB18" s="224"/>
      <c r="AC18" s="224"/>
      <c r="AD18" s="224"/>
      <c r="AE18" s="224"/>
      <c r="AF18" s="224"/>
      <c r="AG18" s="224"/>
      <c r="AH18" s="224"/>
      <c r="AI18" s="224"/>
      <c r="AJ18" s="224"/>
      <c r="AK18" s="1167"/>
      <c r="AM18" s="460" t="s">
        <v>11840</v>
      </c>
      <c r="AN18" s="354" t="s">
        <v>9231</v>
      </c>
      <c r="AO18" s="677" t="s">
        <v>11868</v>
      </c>
      <c r="AP18" s="677" t="s">
        <v>11869</v>
      </c>
      <c r="AQ18" s="677" t="s">
        <v>11870</v>
      </c>
      <c r="AR18" s="677" t="s">
        <v>11871</v>
      </c>
      <c r="AS18" s="677" t="s">
        <v>11872</v>
      </c>
      <c r="AT18" s="677" t="s">
        <v>11873</v>
      </c>
      <c r="AU18" s="677" t="s">
        <v>11874</v>
      </c>
      <c r="AV18" s="677" t="s">
        <v>11875</v>
      </c>
      <c r="AW18" s="677" t="s">
        <v>11876</v>
      </c>
      <c r="AX18" s="677" t="s">
        <v>11877</v>
      </c>
      <c r="AY18" s="677" t="s">
        <v>11878</v>
      </c>
      <c r="AZ18" s="798" t="s">
        <v>11879</v>
      </c>
    </row>
    <row r="19" spans="2:52" ht="15.75" customHeight="1">
      <c r="B19" s="460" t="s">
        <v>11880</v>
      </c>
      <c r="C19" s="354" t="s">
        <v>9215</v>
      </c>
      <c r="D19" s="286" t="s">
        <v>4215</v>
      </c>
      <c r="E19" s="286">
        <v>3</v>
      </c>
      <c r="F19" s="697">
        <v>0</v>
      </c>
      <c r="G19" s="697">
        <v>0</v>
      </c>
      <c r="H19" s="697">
        <v>0</v>
      </c>
      <c r="I19" s="697">
        <v>0</v>
      </c>
      <c r="J19" s="697">
        <v>0</v>
      </c>
      <c r="K19" s="1597">
        <f>IFERROR(SUM(F19:J19),0)</f>
        <v>0</v>
      </c>
      <c r="L19" s="793">
        <v>0</v>
      </c>
      <c r="M19" s="793">
        <v>0</v>
      </c>
      <c r="N19" s="793">
        <v>0</v>
      </c>
      <c r="O19" s="793">
        <v>0</v>
      </c>
      <c r="P19" s="793">
        <v>0</v>
      </c>
      <c r="Q19" s="1696">
        <f>IFERROR(SUM(L19:P19),0)</f>
        <v>0</v>
      </c>
      <c r="R19" s="242"/>
      <c r="S19" s="1071" t="s">
        <v>11881</v>
      </c>
      <c r="T19" s="197"/>
      <c r="U19" s="1200"/>
      <c r="V19" s="436"/>
      <c r="W19" s="1167"/>
      <c r="X19" s="284">
        <f t="shared" ref="X19:X20" si="50">IF( SUM( Z19:AJ19 ) = 0, 0, $Z$7 )</f>
        <v>0</v>
      </c>
      <c r="Y19" s="1167"/>
      <c r="Z19" s="1199">
        <f t="shared" ref="Z19:Z20" si="51" xml:space="preserve"> IF( ISNUMBER(F19), 0, 1 )</f>
        <v>0</v>
      </c>
      <c r="AA19" s="1199">
        <f t="shared" ref="AA19:AA20" si="52" xml:space="preserve"> IF( ISNUMBER(G19), 0, 1 )</f>
        <v>0</v>
      </c>
      <c r="AB19" s="1199">
        <f t="shared" ref="AB19:AB20" si="53" xml:space="preserve"> IF( ISNUMBER(H19), 0, 1 )</f>
        <v>0</v>
      </c>
      <c r="AC19" s="1199">
        <f t="shared" ref="AC19:AC20" si="54" xml:space="preserve"> IF( ISNUMBER(I19), 0, 1 )</f>
        <v>0</v>
      </c>
      <c r="AD19" s="1199">
        <f t="shared" ref="AD19:AD20" si="55" xml:space="preserve"> IF( ISNUMBER(J19), 0, 1 )</f>
        <v>0</v>
      </c>
      <c r="AE19" s="224"/>
      <c r="AF19" s="1199">
        <f t="shared" ref="AF19:AF20" si="56" xml:space="preserve"> IF( ISNUMBER(L19), 0, 1 )</f>
        <v>0</v>
      </c>
      <c r="AG19" s="1199">
        <f t="shared" ref="AG19:AG20" si="57" xml:space="preserve"> IF( ISNUMBER(M19), 0, 1 )</f>
        <v>0</v>
      </c>
      <c r="AH19" s="1199">
        <f t="shared" ref="AH19:AH20" si="58" xml:space="preserve"> IF( ISNUMBER(N19), 0, 1 )</f>
        <v>0</v>
      </c>
      <c r="AI19" s="1199">
        <f t="shared" ref="AI19:AI20" si="59" xml:space="preserve"> IF( ISNUMBER(O19), 0, 1 )</f>
        <v>0</v>
      </c>
      <c r="AJ19" s="1199">
        <f t="shared" ref="AJ19:AJ20" si="60" xml:space="preserve"> IF( ISNUMBER(P19), 0, 1 )</f>
        <v>0</v>
      </c>
      <c r="AK19" s="1167"/>
      <c r="AM19" s="460" t="s">
        <v>11880</v>
      </c>
      <c r="AN19" s="354" t="s">
        <v>9215</v>
      </c>
      <c r="AO19" s="905" t="s">
        <v>11882</v>
      </c>
      <c r="AP19" s="905" t="s">
        <v>11883</v>
      </c>
      <c r="AQ19" s="905" t="s">
        <v>11884</v>
      </c>
      <c r="AR19" s="905" t="s">
        <v>11885</v>
      </c>
      <c r="AS19" s="905" t="s">
        <v>11886</v>
      </c>
      <c r="AT19" s="677" t="s">
        <v>11887</v>
      </c>
      <c r="AU19" s="799" t="s">
        <v>11888</v>
      </c>
      <c r="AV19" s="799" t="s">
        <v>11889</v>
      </c>
      <c r="AW19" s="799" t="s">
        <v>11890</v>
      </c>
      <c r="AX19" s="799" t="s">
        <v>11891</v>
      </c>
      <c r="AY19" s="799" t="s">
        <v>11892</v>
      </c>
      <c r="AZ19" s="798" t="s">
        <v>11893</v>
      </c>
    </row>
    <row r="20" spans="2:52" ht="15.75" customHeight="1">
      <c r="B20" s="460" t="s">
        <v>11880</v>
      </c>
      <c r="C20" s="354" t="s">
        <v>9223</v>
      </c>
      <c r="D20" s="286" t="s">
        <v>4215</v>
      </c>
      <c r="E20" s="286">
        <v>3</v>
      </c>
      <c r="F20" s="697">
        <v>0</v>
      </c>
      <c r="G20" s="697">
        <v>0</v>
      </c>
      <c r="H20" s="697">
        <v>0</v>
      </c>
      <c r="I20" s="697">
        <v>0</v>
      </c>
      <c r="J20" s="697">
        <v>0</v>
      </c>
      <c r="K20" s="1597">
        <f>IFERROR(SUM(F20:J20),0)</f>
        <v>0</v>
      </c>
      <c r="L20" s="793">
        <v>0</v>
      </c>
      <c r="M20" s="793">
        <v>0</v>
      </c>
      <c r="N20" s="793">
        <v>0</v>
      </c>
      <c r="O20" s="793">
        <v>0</v>
      </c>
      <c r="P20" s="793">
        <v>0</v>
      </c>
      <c r="Q20" s="1696">
        <f>IFERROR(SUM(L20:P20),0)</f>
        <v>0</v>
      </c>
      <c r="R20" s="242"/>
      <c r="S20" s="1071" t="s">
        <v>11894</v>
      </c>
      <c r="T20" s="197"/>
      <c r="U20" s="1200"/>
      <c r="V20" s="436"/>
      <c r="W20" s="1167"/>
      <c r="X20" s="284">
        <f t="shared" si="50"/>
        <v>0</v>
      </c>
      <c r="Y20" s="1167"/>
      <c r="Z20" s="1199">
        <f t="shared" si="51"/>
        <v>0</v>
      </c>
      <c r="AA20" s="1199">
        <f t="shared" si="52"/>
        <v>0</v>
      </c>
      <c r="AB20" s="1199">
        <f t="shared" si="53"/>
        <v>0</v>
      </c>
      <c r="AC20" s="1199">
        <f t="shared" si="54"/>
        <v>0</v>
      </c>
      <c r="AD20" s="1199">
        <f t="shared" si="55"/>
        <v>0</v>
      </c>
      <c r="AE20" s="224"/>
      <c r="AF20" s="1199">
        <f t="shared" si="56"/>
        <v>0</v>
      </c>
      <c r="AG20" s="1199">
        <f t="shared" si="57"/>
        <v>0</v>
      </c>
      <c r="AH20" s="1199">
        <f t="shared" si="58"/>
        <v>0</v>
      </c>
      <c r="AI20" s="1199">
        <f t="shared" si="59"/>
        <v>0</v>
      </c>
      <c r="AJ20" s="1199">
        <f t="shared" si="60"/>
        <v>0</v>
      </c>
      <c r="AK20" s="1167"/>
      <c r="AM20" s="460" t="s">
        <v>11880</v>
      </c>
      <c r="AN20" s="354" t="s">
        <v>9223</v>
      </c>
      <c r="AO20" s="905" t="s">
        <v>11895</v>
      </c>
      <c r="AP20" s="905" t="s">
        <v>11896</v>
      </c>
      <c r="AQ20" s="905" t="s">
        <v>11897</v>
      </c>
      <c r="AR20" s="905" t="s">
        <v>11898</v>
      </c>
      <c r="AS20" s="905" t="s">
        <v>11899</v>
      </c>
      <c r="AT20" s="677" t="s">
        <v>11900</v>
      </c>
      <c r="AU20" s="799" t="s">
        <v>11901</v>
      </c>
      <c r="AV20" s="799" t="s">
        <v>11902</v>
      </c>
      <c r="AW20" s="799" t="s">
        <v>11903</v>
      </c>
      <c r="AX20" s="799" t="s">
        <v>11904</v>
      </c>
      <c r="AY20" s="799" t="s">
        <v>11905</v>
      </c>
      <c r="AZ20" s="798" t="s">
        <v>11906</v>
      </c>
    </row>
    <row r="21" spans="2:52" ht="15.75" customHeight="1">
      <c r="B21" s="460" t="s">
        <v>11880</v>
      </c>
      <c r="C21" s="354" t="s">
        <v>9231</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11907</v>
      </c>
      <c r="T21" s="197"/>
      <c r="U21" s="1200"/>
      <c r="V21" s="436"/>
      <c r="W21" s="1167"/>
      <c r="X21" s="224"/>
      <c r="Y21" s="1167"/>
      <c r="Z21" s="224"/>
      <c r="AA21" s="224"/>
      <c r="AB21" s="224"/>
      <c r="AC21" s="224"/>
      <c r="AD21" s="224"/>
      <c r="AE21" s="224"/>
      <c r="AF21" s="224"/>
      <c r="AG21" s="224"/>
      <c r="AH21" s="224"/>
      <c r="AI21" s="224"/>
      <c r="AJ21" s="224"/>
      <c r="AK21" s="1167"/>
      <c r="AM21" s="460" t="s">
        <v>11880</v>
      </c>
      <c r="AN21" s="354" t="s">
        <v>9231</v>
      </c>
      <c r="AO21" s="677" t="s">
        <v>11908</v>
      </c>
      <c r="AP21" s="677" t="s">
        <v>11909</v>
      </c>
      <c r="AQ21" s="677" t="s">
        <v>11910</v>
      </c>
      <c r="AR21" s="677" t="s">
        <v>11911</v>
      </c>
      <c r="AS21" s="677" t="s">
        <v>11912</v>
      </c>
      <c r="AT21" s="677" t="s">
        <v>11913</v>
      </c>
      <c r="AU21" s="677" t="s">
        <v>11914</v>
      </c>
      <c r="AV21" s="677" t="s">
        <v>11915</v>
      </c>
      <c r="AW21" s="677" t="s">
        <v>11916</v>
      </c>
      <c r="AX21" s="677" t="s">
        <v>11917</v>
      </c>
      <c r="AY21" s="677" t="s">
        <v>11918</v>
      </c>
      <c r="AZ21" s="798" t="s">
        <v>11919</v>
      </c>
    </row>
    <row r="22" spans="2:52" ht="15.75" customHeight="1">
      <c r="B22" s="460" t="s">
        <v>11920</v>
      </c>
      <c r="C22" s="354" t="s">
        <v>9215</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11921</v>
      </c>
      <c r="T22" s="197"/>
      <c r="U22" s="437"/>
      <c r="V22" s="436"/>
      <c r="W22" s="1167"/>
      <c r="X22" s="224"/>
      <c r="Y22" s="1167"/>
      <c r="Z22" s="224"/>
      <c r="AA22" s="224"/>
      <c r="AB22" s="224"/>
      <c r="AC22" s="224"/>
      <c r="AD22" s="224"/>
      <c r="AE22" s="224"/>
      <c r="AF22" s="224"/>
      <c r="AG22" s="224"/>
      <c r="AH22" s="224"/>
      <c r="AI22" s="224"/>
      <c r="AJ22" s="224"/>
      <c r="AK22" s="1167"/>
      <c r="AM22" s="460" t="s">
        <v>11920</v>
      </c>
      <c r="AN22" s="354" t="s">
        <v>9215</v>
      </c>
      <c r="AO22" s="677" t="s">
        <v>11922</v>
      </c>
      <c r="AP22" s="677" t="s">
        <v>11923</v>
      </c>
      <c r="AQ22" s="677" t="s">
        <v>11924</v>
      </c>
      <c r="AR22" s="677" t="s">
        <v>11925</v>
      </c>
      <c r="AS22" s="677" t="s">
        <v>11926</v>
      </c>
      <c r="AT22" s="677" t="s">
        <v>11927</v>
      </c>
      <c r="AU22" s="677" t="s">
        <v>11928</v>
      </c>
      <c r="AV22" s="677" t="s">
        <v>11929</v>
      </c>
      <c r="AW22" s="677" t="s">
        <v>11930</v>
      </c>
      <c r="AX22" s="677" t="s">
        <v>11931</v>
      </c>
      <c r="AY22" s="677" t="s">
        <v>11932</v>
      </c>
      <c r="AZ22" s="798" t="s">
        <v>11933</v>
      </c>
    </row>
    <row r="23" spans="2:52" ht="15.75" customHeight="1">
      <c r="B23" s="460" t="s">
        <v>11934</v>
      </c>
      <c r="C23" s="354" t="s">
        <v>9223</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11935</v>
      </c>
      <c r="T23" s="197"/>
      <c r="U23" s="437"/>
      <c r="V23" s="436"/>
      <c r="W23" s="1167"/>
      <c r="X23" s="224"/>
      <c r="Y23" s="1167"/>
      <c r="Z23" s="224"/>
      <c r="AA23" s="224"/>
      <c r="AB23" s="224"/>
      <c r="AC23" s="224"/>
      <c r="AD23" s="224"/>
      <c r="AE23" s="224"/>
      <c r="AF23" s="224"/>
      <c r="AG23" s="224"/>
      <c r="AH23" s="224"/>
      <c r="AI23" s="224"/>
      <c r="AJ23" s="224"/>
      <c r="AK23" s="1167"/>
      <c r="AM23" s="460" t="s">
        <v>11934</v>
      </c>
      <c r="AN23" s="354" t="s">
        <v>9223</v>
      </c>
      <c r="AO23" s="677" t="s">
        <v>11936</v>
      </c>
      <c r="AP23" s="677" t="s">
        <v>11937</v>
      </c>
      <c r="AQ23" s="677" t="s">
        <v>11938</v>
      </c>
      <c r="AR23" s="677" t="s">
        <v>11939</v>
      </c>
      <c r="AS23" s="677" t="s">
        <v>11940</v>
      </c>
      <c r="AT23" s="677" t="s">
        <v>11941</v>
      </c>
      <c r="AU23" s="677" t="s">
        <v>11942</v>
      </c>
      <c r="AV23" s="677" t="s">
        <v>11943</v>
      </c>
      <c r="AW23" s="677" t="s">
        <v>11944</v>
      </c>
      <c r="AX23" s="677" t="s">
        <v>11945</v>
      </c>
      <c r="AY23" s="677" t="s">
        <v>11946</v>
      </c>
      <c r="AZ23" s="798" t="s">
        <v>11947</v>
      </c>
    </row>
    <row r="24" spans="2:52" ht="32.25" customHeight="1" thickBot="1">
      <c r="B24" s="463" t="s">
        <v>11948</v>
      </c>
      <c r="C24" s="1081" t="s">
        <v>9231</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11949</v>
      </c>
      <c r="T24" s="197"/>
      <c r="U24" s="434"/>
      <c r="V24" s="436"/>
      <c r="W24" s="1167"/>
      <c r="X24" s="224"/>
      <c r="Y24" s="1167"/>
      <c r="Z24" s="224"/>
      <c r="AA24" s="224"/>
      <c r="AB24" s="224"/>
      <c r="AC24" s="224"/>
      <c r="AD24" s="224"/>
      <c r="AE24" s="224"/>
      <c r="AF24" s="224"/>
      <c r="AG24" s="224"/>
      <c r="AH24" s="224"/>
      <c r="AI24" s="224"/>
      <c r="AJ24" s="224"/>
      <c r="AK24" s="1167"/>
      <c r="AM24" s="463" t="s">
        <v>11948</v>
      </c>
      <c r="AN24" s="1081" t="s">
        <v>9231</v>
      </c>
      <c r="AO24" s="679" t="s">
        <v>11950</v>
      </c>
      <c r="AP24" s="679" t="s">
        <v>11951</v>
      </c>
      <c r="AQ24" s="679" t="s">
        <v>11952</v>
      </c>
      <c r="AR24" s="679" t="s">
        <v>11953</v>
      </c>
      <c r="AS24" s="679" t="s">
        <v>11954</v>
      </c>
      <c r="AT24" s="679" t="s">
        <v>11955</v>
      </c>
      <c r="AU24" s="679" t="s">
        <v>11956</v>
      </c>
      <c r="AV24" s="679" t="s">
        <v>11957</v>
      </c>
      <c r="AW24" s="679" t="s">
        <v>11958</v>
      </c>
      <c r="AX24" s="679" t="s">
        <v>11959</v>
      </c>
      <c r="AY24" s="679" t="s">
        <v>11960</v>
      </c>
      <c r="AZ24" s="417" t="s">
        <v>11961</v>
      </c>
    </row>
    <row r="25" spans="2:52" ht="15.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3" priority="12" operator="equal">
      <formula>0</formula>
    </cfRule>
  </conditionalFormatting>
  <conditionalFormatting sqref="X4:X11">
    <cfRule type="cellIs" dxfId="102" priority="4" operator="equal">
      <formula>0</formula>
    </cfRule>
  </conditionalFormatting>
  <conditionalFormatting sqref="X13:X14">
    <cfRule type="cellIs" dxfId="101" priority="3" operator="equal">
      <formula>0</formula>
    </cfRule>
  </conditionalFormatting>
  <conditionalFormatting sqref="X16:X17">
    <cfRule type="cellIs" dxfId="100" priority="2" operator="equal">
      <formula>0</formula>
    </cfRule>
  </conditionalFormatting>
  <conditionalFormatting sqref="X19:X20">
    <cfRule type="cellIs" dxfId="99"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A3" zoomScaleNormal="100" workbookViewId="0">
      <selection activeCell="V20" sqref="V20"/>
    </sheetView>
  </sheetViews>
  <sheetFormatPr defaultColWidth="9" defaultRowHeight="15"/>
  <cols>
    <col min="1" max="1" width="9" style="219"/>
    <col min="2" max="2" width="42.59765625" style="219" bestFit="1" customWidth="1"/>
    <col min="3" max="3" width="6.69921875" style="219" bestFit="1" customWidth="1"/>
    <col min="4" max="4" width="5.59765625" style="219" bestFit="1" customWidth="1"/>
    <col min="5" max="5" width="4.69921875" style="219" bestFit="1" customWidth="1"/>
    <col min="6" max="8" width="7.19921875" style="219" bestFit="1" customWidth="1"/>
    <col min="9" max="9" width="8.19921875" style="219" bestFit="1" customWidth="1"/>
    <col min="10" max="13" width="7.19921875" style="219" bestFit="1" customWidth="1"/>
    <col min="14" max="14" width="8.19921875" style="219" bestFit="1" customWidth="1"/>
    <col min="15" max="17" width="7.19921875" style="219" bestFit="1" customWidth="1"/>
    <col min="18" max="18" width="8.19921875" style="219" bestFit="1" customWidth="1"/>
    <col min="19" max="22" width="7.19921875" style="219" bestFit="1" customWidth="1"/>
    <col min="23" max="23" width="8.19921875" style="219" bestFit="1" customWidth="1"/>
    <col min="24" max="24" width="1.19921875" style="219" customWidth="1"/>
    <col min="25" max="25" width="9.59765625" style="219" bestFit="1" customWidth="1"/>
    <col min="26" max="26" width="0.59765625" style="219" customWidth="1"/>
    <col min="27" max="27" width="48.19921875" style="106" bestFit="1" customWidth="1"/>
    <col min="28" max="29" width="1.59765625" style="106" customWidth="1"/>
    <col min="30" max="30" width="20.19921875" style="106" bestFit="1" customWidth="1"/>
    <col min="31" max="31" width="1.59765625" style="106" customWidth="1"/>
    <col min="32" max="32" width="29.69921875" style="106" hidden="1" customWidth="1"/>
    <col min="33" max="39" width="2" style="106" hidden="1" customWidth="1"/>
    <col min="40" max="40" width="1.59765625" style="106" hidden="1" customWidth="1"/>
    <col min="41" max="48" width="2" style="106" hidden="1" customWidth="1"/>
    <col min="49" max="49" width="1.59765625" style="106" hidden="1" customWidth="1"/>
    <col min="50" max="50" width="1.59765625" style="219" customWidth="1"/>
    <col min="51" max="51" width="42.59765625" style="219" bestFit="1" customWidth="1"/>
    <col min="52" max="52" width="6.69921875" style="219" bestFit="1" customWidth="1"/>
    <col min="53" max="55" width="19.09765625" style="219" bestFit="1" customWidth="1"/>
    <col min="56" max="56" width="19" style="219" bestFit="1" customWidth="1"/>
    <col min="57" max="57" width="18.69921875" style="219" bestFit="1" customWidth="1"/>
    <col min="58" max="59" width="18.19921875" style="219" bestFit="1" customWidth="1"/>
    <col min="60" max="60" width="18.5" style="219" bestFit="1" customWidth="1"/>
    <col min="61" max="61" width="18.59765625" style="219" bestFit="1" customWidth="1"/>
    <col min="62" max="63" width="19.09765625" style="219" bestFit="1" customWidth="1"/>
    <col min="64" max="64" width="19.19921875" style="219" bestFit="1" customWidth="1"/>
    <col min="65" max="65" width="19.09765625" style="219" bestFit="1" customWidth="1"/>
    <col min="66" max="66" width="18.69921875" style="219" bestFit="1" customWidth="1"/>
    <col min="67" max="67" width="18.19921875" style="219" bestFit="1" customWidth="1"/>
    <col min="68" max="68" width="18.5" style="219" bestFit="1" customWidth="1"/>
    <col min="69" max="69" width="18.59765625" style="219" bestFit="1" customWidth="1"/>
    <col min="70" max="70" width="18.69921875" style="219" bestFit="1" customWidth="1"/>
    <col min="71" max="16384" width="9" style="219"/>
  </cols>
  <sheetData>
    <row r="1" spans="2:71" ht="22.5" customHeight="1">
      <c r="B1" s="2819" t="s">
        <v>11962</v>
      </c>
      <c r="C1" s="2819"/>
      <c r="D1" s="2819"/>
      <c r="E1" s="2819"/>
      <c r="F1" s="2819"/>
      <c r="G1" s="2819"/>
      <c r="H1" s="2819"/>
      <c r="I1" s="2819"/>
      <c r="J1" s="2819"/>
      <c r="K1" s="2819"/>
      <c r="L1" s="2819"/>
      <c r="M1" s="2819"/>
      <c r="N1" s="2819"/>
      <c r="O1" s="2819"/>
      <c r="P1" s="2819"/>
      <c r="Q1" s="2819"/>
      <c r="R1" s="2819"/>
      <c r="S1" s="2819"/>
      <c r="T1" s="2819"/>
      <c r="U1" s="2819"/>
      <c r="V1" s="2819"/>
      <c r="W1" s="2819"/>
      <c r="X1" s="2721"/>
      <c r="Y1" s="2721"/>
      <c r="AC1" s="1165"/>
      <c r="AD1" s="284"/>
      <c r="AE1" s="1165"/>
      <c r="AW1" s="1165"/>
      <c r="AY1" s="2819" t="s">
        <v>4198</v>
      </c>
      <c r="AZ1" s="2819"/>
      <c r="BA1" s="2819"/>
      <c r="BB1" s="2819"/>
      <c r="BC1" s="723"/>
    </row>
    <row r="2" spans="2:71" ht="22.8">
      <c r="B2" s="2819" t="str">
        <f>SelectCompany!B4</f>
        <v>Dŵr Cymru</v>
      </c>
      <c r="C2" s="2819"/>
      <c r="D2" s="2819"/>
      <c r="E2" s="2819"/>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32" t="s">
        <v>11963</v>
      </c>
      <c r="C3" s="2832"/>
      <c r="D3" s="2832"/>
      <c r="E3" s="2832"/>
      <c r="F3" s="2832"/>
      <c r="G3" s="2832"/>
      <c r="H3" s="2832"/>
      <c r="I3" s="2832"/>
      <c r="J3" s="2832"/>
      <c r="K3" s="2832"/>
      <c r="L3" s="2832"/>
      <c r="M3" s="2832"/>
      <c r="N3" s="2832"/>
      <c r="O3" s="2832"/>
      <c r="P3" s="2832"/>
      <c r="Q3" s="2832"/>
      <c r="R3" s="2829"/>
      <c r="S3" s="2829"/>
      <c r="T3" s="2829"/>
      <c r="U3" s="2829"/>
      <c r="V3" s="2829"/>
      <c r="W3" s="2829"/>
      <c r="X3" s="390"/>
      <c r="Y3" s="390"/>
      <c r="AA3" s="219"/>
      <c r="AC3" s="1165"/>
      <c r="AD3" s="650" t="s">
        <v>4200</v>
      </c>
      <c r="AE3" s="1165"/>
      <c r="AW3" s="1165"/>
      <c r="AY3" s="2829" t="s">
        <v>11963</v>
      </c>
      <c r="AZ3" s="2829"/>
      <c r="BA3" s="2829"/>
      <c r="BB3" s="2829"/>
      <c r="BC3" s="2829"/>
      <c r="BD3" s="2829"/>
      <c r="BE3" s="2829"/>
      <c r="BF3" s="2829"/>
      <c r="BG3" s="2829"/>
      <c r="BH3" s="2829"/>
      <c r="BI3" s="2829"/>
      <c r="BJ3" s="2829"/>
      <c r="BK3" s="2829"/>
      <c r="BL3" s="2829"/>
      <c r="BM3" s="2829"/>
      <c r="BN3" s="2829"/>
      <c r="BO3" s="2832"/>
      <c r="BP3" s="2832"/>
      <c r="BQ3" s="2832"/>
      <c r="BR3" s="2832"/>
      <c r="BS3" s="390"/>
    </row>
    <row r="4" spans="2:71" ht="23.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2" thickTop="1">
      <c r="B5" s="2876" t="s">
        <v>9208</v>
      </c>
      <c r="C5" s="2841"/>
      <c r="D5" s="2841" t="s">
        <v>4203</v>
      </c>
      <c r="E5" s="2841" t="s">
        <v>4204</v>
      </c>
      <c r="F5" s="2835" t="s">
        <v>9026</v>
      </c>
      <c r="G5" s="2835"/>
      <c r="H5" s="2835"/>
      <c r="I5" s="2835"/>
      <c r="J5" s="2835"/>
      <c r="K5" s="2835"/>
      <c r="L5" s="2835"/>
      <c r="M5" s="2835"/>
      <c r="N5" s="2835"/>
      <c r="O5" s="2835" t="s">
        <v>9209</v>
      </c>
      <c r="P5" s="2835"/>
      <c r="Q5" s="2835"/>
      <c r="R5" s="2835"/>
      <c r="S5" s="2835"/>
      <c r="T5" s="2835"/>
      <c r="U5" s="2835"/>
      <c r="V5" s="2835"/>
      <c r="W5" s="2836"/>
      <c r="X5" s="731"/>
      <c r="Y5" s="2811" t="s">
        <v>4208</v>
      </c>
      <c r="Z5" s="242"/>
      <c r="AA5" s="2811" t="s">
        <v>4209</v>
      </c>
      <c r="AC5" s="1165"/>
      <c r="AD5" s="284"/>
      <c r="AE5" s="1165"/>
      <c r="AW5" s="1165"/>
      <c r="AY5" s="2876" t="s">
        <v>9208</v>
      </c>
      <c r="AZ5" s="2841"/>
      <c r="BA5" s="2835" t="s">
        <v>9026</v>
      </c>
      <c r="BB5" s="2835"/>
      <c r="BC5" s="2835"/>
      <c r="BD5" s="2835"/>
      <c r="BE5" s="2835"/>
      <c r="BF5" s="2835"/>
      <c r="BG5" s="2835"/>
      <c r="BH5" s="2835"/>
      <c r="BI5" s="2835"/>
      <c r="BJ5" s="2835" t="s">
        <v>9209</v>
      </c>
      <c r="BK5" s="2835"/>
      <c r="BL5" s="2835"/>
      <c r="BM5" s="2835"/>
      <c r="BN5" s="2835"/>
      <c r="BO5" s="2835"/>
      <c r="BP5" s="2835"/>
      <c r="BQ5" s="2835"/>
      <c r="BR5" s="2836"/>
      <c r="BS5" s="731"/>
    </row>
    <row r="6" spans="2:71" ht="15.6">
      <c r="B6" s="2877"/>
      <c r="C6" s="2878"/>
      <c r="D6" s="2878"/>
      <c r="E6" s="2878"/>
      <c r="F6" s="2857" t="s">
        <v>9027</v>
      </c>
      <c r="G6" s="2857"/>
      <c r="H6" s="2857"/>
      <c r="I6" s="2857"/>
      <c r="J6" s="2857"/>
      <c r="K6" s="2850" t="s">
        <v>5144</v>
      </c>
      <c r="L6" s="2850"/>
      <c r="M6" s="2850"/>
      <c r="N6" s="2907" t="s">
        <v>4425</v>
      </c>
      <c r="O6" s="2857" t="s">
        <v>9027</v>
      </c>
      <c r="P6" s="2857"/>
      <c r="Q6" s="2857"/>
      <c r="R6" s="2857"/>
      <c r="S6" s="2857"/>
      <c r="T6" s="2850" t="s">
        <v>5144</v>
      </c>
      <c r="U6" s="2850"/>
      <c r="V6" s="2850"/>
      <c r="W6" s="2909" t="s">
        <v>4425</v>
      </c>
      <c r="X6" s="106"/>
      <c r="Y6" s="2812"/>
      <c r="Z6" s="242"/>
      <c r="AA6" s="2812"/>
      <c r="AB6" s="730"/>
      <c r="AC6" s="1165"/>
      <c r="AD6" s="284"/>
      <c r="AE6" s="1165"/>
      <c r="AF6" s="2906" t="s">
        <v>4201</v>
      </c>
      <c r="AG6" s="2906"/>
      <c r="AH6" s="2906"/>
      <c r="AI6" s="2906"/>
      <c r="AJ6" s="2906"/>
      <c r="AK6" s="2906"/>
      <c r="AL6" s="2906"/>
      <c r="AM6" s="2906"/>
      <c r="AN6" s="2906"/>
      <c r="AO6" s="2906"/>
      <c r="AP6" s="2906"/>
      <c r="AQ6" s="2906"/>
      <c r="AR6" s="2906"/>
      <c r="AS6" s="2906"/>
      <c r="AT6" s="2906"/>
      <c r="AU6" s="2906"/>
      <c r="AV6" s="2906"/>
      <c r="AW6" s="1165"/>
      <c r="AY6" s="2877"/>
      <c r="AZ6" s="2878"/>
      <c r="BA6" s="2857" t="s">
        <v>9027</v>
      </c>
      <c r="BB6" s="2857"/>
      <c r="BC6" s="2857"/>
      <c r="BD6" s="2857"/>
      <c r="BE6" s="2857"/>
      <c r="BF6" s="2850" t="s">
        <v>5144</v>
      </c>
      <c r="BG6" s="2850"/>
      <c r="BH6" s="2850"/>
      <c r="BI6" s="2907" t="s">
        <v>4425</v>
      </c>
      <c r="BJ6" s="2857" t="s">
        <v>9027</v>
      </c>
      <c r="BK6" s="2857"/>
      <c r="BL6" s="2857"/>
      <c r="BM6" s="2857"/>
      <c r="BN6" s="2857"/>
      <c r="BO6" s="2850" t="s">
        <v>5144</v>
      </c>
      <c r="BP6" s="2850"/>
      <c r="BQ6" s="2850"/>
      <c r="BR6" s="2909" t="s">
        <v>4425</v>
      </c>
      <c r="BS6" s="106"/>
    </row>
    <row r="7" spans="2:71" ht="103.8" thickBot="1">
      <c r="B7" s="2879"/>
      <c r="C7" s="2842"/>
      <c r="D7" s="2842"/>
      <c r="E7" s="2842"/>
      <c r="F7" s="1202" t="s">
        <v>8058</v>
      </c>
      <c r="G7" s="1202" t="s">
        <v>8059</v>
      </c>
      <c r="H7" s="1202" t="s">
        <v>8060</v>
      </c>
      <c r="I7" s="1202" t="s">
        <v>8061</v>
      </c>
      <c r="J7" s="1202" t="s">
        <v>8360</v>
      </c>
      <c r="K7" s="1202" t="s">
        <v>8063</v>
      </c>
      <c r="L7" s="1202" t="s">
        <v>8064</v>
      </c>
      <c r="M7" s="1202" t="s">
        <v>8065</v>
      </c>
      <c r="N7" s="2908"/>
      <c r="O7" s="1202" t="s">
        <v>8058</v>
      </c>
      <c r="P7" s="1202" t="s">
        <v>8059</v>
      </c>
      <c r="Q7" s="1202" t="s">
        <v>8060</v>
      </c>
      <c r="R7" s="1202" t="s">
        <v>8061</v>
      </c>
      <c r="S7" s="1202" t="s">
        <v>8360</v>
      </c>
      <c r="T7" s="1202" t="s">
        <v>8063</v>
      </c>
      <c r="U7" s="1202" t="s">
        <v>8064</v>
      </c>
      <c r="V7" s="1202" t="s">
        <v>8065</v>
      </c>
      <c r="W7" s="2910"/>
      <c r="X7" s="106"/>
      <c r="Y7" s="2813"/>
      <c r="Z7" s="242"/>
      <c r="AA7" s="2813"/>
      <c r="AB7" s="282"/>
      <c r="AC7" s="1165"/>
      <c r="AD7" s="284"/>
      <c r="AE7" s="1165"/>
      <c r="AF7" s="106" t="s">
        <v>4210</v>
      </c>
      <c r="AW7" s="1165"/>
      <c r="AY7" s="2879"/>
      <c r="AZ7" s="2842"/>
      <c r="BA7" s="1202" t="s">
        <v>8058</v>
      </c>
      <c r="BB7" s="1202" t="s">
        <v>8059</v>
      </c>
      <c r="BC7" s="1202" t="s">
        <v>8060</v>
      </c>
      <c r="BD7" s="1202" t="s">
        <v>8061</v>
      </c>
      <c r="BE7" s="1202" t="s">
        <v>8360</v>
      </c>
      <c r="BF7" s="1202" t="s">
        <v>8063</v>
      </c>
      <c r="BG7" s="1202" t="s">
        <v>8064</v>
      </c>
      <c r="BH7" s="1202" t="s">
        <v>8065</v>
      </c>
      <c r="BI7" s="2908"/>
      <c r="BJ7" s="1202" t="s">
        <v>8058</v>
      </c>
      <c r="BK7" s="1202" t="s">
        <v>8059</v>
      </c>
      <c r="BL7" s="1202" t="s">
        <v>8060</v>
      </c>
      <c r="BM7" s="1202" t="s">
        <v>8061</v>
      </c>
      <c r="BN7" s="1202" t="s">
        <v>8360</v>
      </c>
      <c r="BO7" s="1202" t="s">
        <v>8063</v>
      </c>
      <c r="BP7" s="1202" t="s">
        <v>8064</v>
      </c>
      <c r="BQ7" s="1202" t="s">
        <v>8065</v>
      </c>
      <c r="BR7" s="2910"/>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11759</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11759</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11760</v>
      </c>
      <c r="C10" s="1063" t="s">
        <v>9215</v>
      </c>
      <c r="D10" s="277" t="s">
        <v>4215</v>
      </c>
      <c r="E10" s="277">
        <v>3</v>
      </c>
      <c r="F10" s="694">
        <v>0</v>
      </c>
      <c r="G10" s="694">
        <v>0</v>
      </c>
      <c r="H10" s="694">
        <v>0</v>
      </c>
      <c r="I10" s="694">
        <v>0</v>
      </c>
      <c r="J10" s="694">
        <v>0</v>
      </c>
      <c r="K10" s="694">
        <v>0</v>
      </c>
      <c r="L10" s="694">
        <v>0</v>
      </c>
      <c r="M10" s="694">
        <v>0</v>
      </c>
      <c r="N10" s="1595">
        <f>IFERROR(SUM(F10:M10),0)</f>
        <v>0</v>
      </c>
      <c r="O10" s="694">
        <v>0</v>
      </c>
      <c r="P10" s="694">
        <v>0</v>
      </c>
      <c r="Q10" s="694">
        <v>0</v>
      </c>
      <c r="R10" s="694">
        <v>0</v>
      </c>
      <c r="S10" s="694">
        <v>0</v>
      </c>
      <c r="T10" s="694">
        <v>0</v>
      </c>
      <c r="U10" s="694">
        <v>0</v>
      </c>
      <c r="V10" s="694">
        <v>0</v>
      </c>
      <c r="W10" s="1596">
        <f>IFERROR(SUM(O10:V10),0)</f>
        <v>0</v>
      </c>
      <c r="X10" s="997"/>
      <c r="Y10" s="1066" t="s">
        <v>11964</v>
      </c>
      <c r="Z10" s="242"/>
      <c r="AA10" s="283"/>
      <c r="AB10" s="282"/>
      <c r="AC10" s="345"/>
      <c r="AD10" s="284">
        <f>IF( SUM( AF10:AV10 ) = 0, 0, $AF$7 )</f>
        <v>0</v>
      </c>
      <c r="AE10" s="345"/>
      <c r="AF10" s="1199">
        <f xml:space="preserve"> IF( ISNUMBER(F10), 0, 1 )</f>
        <v>0</v>
      </c>
      <c r="AG10" s="1199">
        <f t="shared" ref="AG10:AM10" si="0" xml:space="preserve"> IF( ISNUMBER(G10), 0, 1 )</f>
        <v>0</v>
      </c>
      <c r="AH10" s="1199">
        <f t="shared" si="0"/>
        <v>0</v>
      </c>
      <c r="AI10" s="1199">
        <f t="shared" si="0"/>
        <v>0</v>
      </c>
      <c r="AJ10" s="1199">
        <f t="shared" si="0"/>
        <v>0</v>
      </c>
      <c r="AK10" s="1199">
        <f t="shared" si="0"/>
        <v>0</v>
      </c>
      <c r="AL10" s="1199">
        <f t="shared" si="0"/>
        <v>0</v>
      </c>
      <c r="AM10" s="1199">
        <f t="shared" si="0"/>
        <v>0</v>
      </c>
      <c r="AN10" s="224"/>
      <c r="AO10" s="1199">
        <f t="shared" ref="AO10" si="1" xml:space="preserve"> IF( ISNUMBER(O10), 0, 1 )</f>
        <v>0</v>
      </c>
      <c r="AP10" s="1199">
        <f t="shared" ref="AP10" si="2" xml:space="preserve"> IF( ISNUMBER(P10), 0, 1 )</f>
        <v>0</v>
      </c>
      <c r="AQ10" s="1199">
        <f t="shared" ref="AQ10" si="3" xml:space="preserve"> IF( ISNUMBER(Q10), 0, 1 )</f>
        <v>0</v>
      </c>
      <c r="AR10" s="1199">
        <f t="shared" ref="AR10" si="4" xml:space="preserve"> IF( ISNUMBER(R10), 0, 1 )</f>
        <v>0</v>
      </c>
      <c r="AS10" s="1199">
        <f t="shared" ref="AS10" si="5" xml:space="preserve"> IF( ISNUMBER(S10), 0, 1 )</f>
        <v>0</v>
      </c>
      <c r="AT10" s="1199">
        <f t="shared" ref="AT10" si="6" xml:space="preserve"> IF( ISNUMBER(T10), 0, 1 )</f>
        <v>0</v>
      </c>
      <c r="AU10" s="1199">
        <f t="shared" ref="AU10" si="7" xml:space="preserve"> IF( ISNUMBER(U10), 0, 1 )</f>
        <v>0</v>
      </c>
      <c r="AV10" s="1199">
        <f t="shared" ref="AV10" si="8" xml:space="preserve"> IF( ISNUMBER(V10), 0, 1 )</f>
        <v>0</v>
      </c>
      <c r="AW10" s="345"/>
      <c r="AY10" s="1062" t="s">
        <v>11760</v>
      </c>
      <c r="AZ10" s="1063" t="s">
        <v>9215</v>
      </c>
      <c r="BA10" s="904" t="s">
        <v>11965</v>
      </c>
      <c r="BB10" s="904" t="s">
        <v>11966</v>
      </c>
      <c r="BC10" s="904" t="s">
        <v>11967</v>
      </c>
      <c r="BD10" s="904" t="s">
        <v>11968</v>
      </c>
      <c r="BE10" s="904" t="s">
        <v>11969</v>
      </c>
      <c r="BF10" s="904" t="s">
        <v>11970</v>
      </c>
      <c r="BG10" s="904" t="s">
        <v>11971</v>
      </c>
      <c r="BH10" s="904" t="s">
        <v>11972</v>
      </c>
      <c r="BI10" s="675" t="s">
        <v>11973</v>
      </c>
      <c r="BJ10" s="904" t="s">
        <v>11974</v>
      </c>
      <c r="BK10" s="904" t="s">
        <v>11975</v>
      </c>
      <c r="BL10" s="904" t="s">
        <v>11976</v>
      </c>
      <c r="BM10" s="904" t="s">
        <v>11977</v>
      </c>
      <c r="BN10" s="904" t="s">
        <v>11978</v>
      </c>
      <c r="BO10" s="904" t="s">
        <v>11979</v>
      </c>
      <c r="BP10" s="904" t="s">
        <v>11980</v>
      </c>
      <c r="BQ10" s="904" t="s">
        <v>11981</v>
      </c>
      <c r="BR10" s="416" t="s">
        <v>11982</v>
      </c>
      <c r="BS10" s="997"/>
    </row>
    <row r="11" spans="2:71" ht="15.75" customHeight="1">
      <c r="B11" s="1067" t="s">
        <v>11760</v>
      </c>
      <c r="C11" s="354" t="s">
        <v>9223</v>
      </c>
      <c r="D11" s="286" t="s">
        <v>4215</v>
      </c>
      <c r="E11" s="286">
        <v>3</v>
      </c>
      <c r="F11" s="697">
        <v>0</v>
      </c>
      <c r="G11" s="697">
        <v>0</v>
      </c>
      <c r="H11" s="697">
        <v>0</v>
      </c>
      <c r="I11" s="697">
        <v>0</v>
      </c>
      <c r="J11" s="697">
        <v>0</v>
      </c>
      <c r="K11" s="697">
        <v>0</v>
      </c>
      <c r="L11" s="697">
        <v>0</v>
      </c>
      <c r="M11" s="697">
        <v>0</v>
      </c>
      <c r="N11" s="1597">
        <f>IFERROR(SUM(F11:M11),0)</f>
        <v>0</v>
      </c>
      <c r="O11" s="697">
        <v>0</v>
      </c>
      <c r="P11" s="697">
        <v>0</v>
      </c>
      <c r="Q11" s="697">
        <v>0</v>
      </c>
      <c r="R11" s="697">
        <v>0</v>
      </c>
      <c r="S11" s="697">
        <v>0</v>
      </c>
      <c r="T11" s="697">
        <v>0</v>
      </c>
      <c r="U11" s="697">
        <v>0</v>
      </c>
      <c r="V11" s="697">
        <v>0</v>
      </c>
      <c r="W11" s="1598">
        <f>IFERROR(SUM(O11:V11),0)</f>
        <v>0</v>
      </c>
      <c r="X11" s="997"/>
      <c r="Y11" s="1071" t="s">
        <v>11983</v>
      </c>
      <c r="Z11" s="242"/>
      <c r="AA11" s="291"/>
      <c r="AB11" s="282"/>
      <c r="AC11" s="345"/>
      <c r="AD11" s="284">
        <f>IF( SUM( AF11:AV11 ) = 0, 0, $AF$7 )</f>
        <v>0</v>
      </c>
      <c r="AE11" s="345"/>
      <c r="AF11" s="1199">
        <f xml:space="preserve"> IF( ISNUMBER(F11), 0, 1 )</f>
        <v>0</v>
      </c>
      <c r="AG11" s="1199">
        <f t="shared" ref="AG11" si="9" xml:space="preserve"> IF( ISNUMBER(G11), 0, 1 )</f>
        <v>0</v>
      </c>
      <c r="AH11" s="1199">
        <f t="shared" ref="AH11" si="10" xml:space="preserve"> IF( ISNUMBER(H11), 0, 1 )</f>
        <v>0</v>
      </c>
      <c r="AI11" s="1199">
        <f t="shared" ref="AI11" si="11" xml:space="preserve"> IF( ISNUMBER(I11), 0, 1 )</f>
        <v>0</v>
      </c>
      <c r="AJ11" s="1199">
        <f t="shared" ref="AJ11" si="12" xml:space="preserve"> IF( ISNUMBER(J11), 0, 1 )</f>
        <v>0</v>
      </c>
      <c r="AK11" s="1199">
        <f t="shared" ref="AK11" si="13" xml:space="preserve"> IF( ISNUMBER(K11), 0, 1 )</f>
        <v>0</v>
      </c>
      <c r="AL11" s="1199">
        <f t="shared" ref="AL11" si="14" xml:space="preserve"> IF( ISNUMBER(L11), 0, 1 )</f>
        <v>0</v>
      </c>
      <c r="AM11" s="1199">
        <f t="shared" ref="AM11" si="15" xml:space="preserve"> IF( ISNUMBER(M11), 0, 1 )</f>
        <v>0</v>
      </c>
      <c r="AN11" s="224"/>
      <c r="AO11" s="1199">
        <f t="shared" ref="AO11" si="16" xml:space="preserve"> IF( ISNUMBER(O11), 0, 1 )</f>
        <v>0</v>
      </c>
      <c r="AP11" s="1199">
        <f t="shared" ref="AP11" si="17" xml:space="preserve"> IF( ISNUMBER(P11), 0, 1 )</f>
        <v>0</v>
      </c>
      <c r="AQ11" s="1199">
        <f t="shared" ref="AQ11" si="18" xml:space="preserve"> IF( ISNUMBER(Q11), 0, 1 )</f>
        <v>0</v>
      </c>
      <c r="AR11" s="1199">
        <f t="shared" ref="AR11" si="19" xml:space="preserve"> IF( ISNUMBER(R11), 0, 1 )</f>
        <v>0</v>
      </c>
      <c r="AS11" s="1199">
        <f t="shared" ref="AS11" si="20" xml:space="preserve"> IF( ISNUMBER(S11), 0, 1 )</f>
        <v>0</v>
      </c>
      <c r="AT11" s="1199">
        <f t="shared" ref="AT11" si="21" xml:space="preserve"> IF( ISNUMBER(T11), 0, 1 )</f>
        <v>0</v>
      </c>
      <c r="AU11" s="1199">
        <f t="shared" ref="AU11" si="22" xml:space="preserve"> IF( ISNUMBER(U11), 0, 1 )</f>
        <v>0</v>
      </c>
      <c r="AV11" s="1199">
        <f t="shared" ref="AV11" si="23" xml:space="preserve"> IF( ISNUMBER(V11), 0, 1 )</f>
        <v>0</v>
      </c>
      <c r="AW11" s="345"/>
      <c r="AY11" s="1067" t="s">
        <v>11760</v>
      </c>
      <c r="AZ11" s="354" t="s">
        <v>9223</v>
      </c>
      <c r="BA11" s="905" t="s">
        <v>11984</v>
      </c>
      <c r="BB11" s="905" t="s">
        <v>11985</v>
      </c>
      <c r="BC11" s="905" t="s">
        <v>11986</v>
      </c>
      <c r="BD11" s="905" t="s">
        <v>11987</v>
      </c>
      <c r="BE11" s="905" t="s">
        <v>11988</v>
      </c>
      <c r="BF11" s="905" t="s">
        <v>11989</v>
      </c>
      <c r="BG11" s="905" t="s">
        <v>11990</v>
      </c>
      <c r="BH11" s="905" t="s">
        <v>11991</v>
      </c>
      <c r="BI11" s="677" t="s">
        <v>11992</v>
      </c>
      <c r="BJ11" s="905" t="s">
        <v>11993</v>
      </c>
      <c r="BK11" s="905" t="s">
        <v>11994</v>
      </c>
      <c r="BL11" s="905" t="s">
        <v>11995</v>
      </c>
      <c r="BM11" s="905" t="s">
        <v>11996</v>
      </c>
      <c r="BN11" s="905" t="s">
        <v>11997</v>
      </c>
      <c r="BO11" s="905" t="s">
        <v>11998</v>
      </c>
      <c r="BP11" s="905" t="s">
        <v>11999</v>
      </c>
      <c r="BQ11" s="905" t="s">
        <v>12000</v>
      </c>
      <c r="BR11" s="893" t="s">
        <v>12001</v>
      </c>
      <c r="BS11" s="997"/>
    </row>
    <row r="12" spans="2:71" ht="15.75" customHeight="1">
      <c r="B12" s="1067" t="s">
        <v>11760</v>
      </c>
      <c r="C12" s="354" t="s">
        <v>9231</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12002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11760</v>
      </c>
      <c r="AZ12" s="354" t="s">
        <v>9231</v>
      </c>
      <c r="BA12" s="677" t="s">
        <v>12003</v>
      </c>
      <c r="BB12" s="677" t="s">
        <v>12004</v>
      </c>
      <c r="BC12" s="677" t="s">
        <v>12005</v>
      </c>
      <c r="BD12" s="677" t="s">
        <v>12006</v>
      </c>
      <c r="BE12" s="677" t="s">
        <v>12007</v>
      </c>
      <c r="BF12" s="677" t="s">
        <v>12008</v>
      </c>
      <c r="BG12" s="677" t="s">
        <v>12009</v>
      </c>
      <c r="BH12" s="677" t="s">
        <v>12010</v>
      </c>
      <c r="BI12" s="677" t="s">
        <v>12011</v>
      </c>
      <c r="BJ12" s="677" t="s">
        <v>12012</v>
      </c>
      <c r="BK12" s="677" t="s">
        <v>12013</v>
      </c>
      <c r="BL12" s="677" t="s">
        <v>12014</v>
      </c>
      <c r="BM12" s="677" t="s">
        <v>12015</v>
      </c>
      <c r="BN12" s="677" t="s">
        <v>12016</v>
      </c>
      <c r="BO12" s="677" t="s">
        <v>12017</v>
      </c>
      <c r="BP12" s="677" t="s">
        <v>12018</v>
      </c>
      <c r="BQ12" s="677" t="s">
        <v>12019</v>
      </c>
      <c r="BR12" s="893" t="s">
        <v>12020</v>
      </c>
      <c r="BS12" s="997"/>
    </row>
    <row r="13" spans="2:71" ht="15.75" customHeight="1">
      <c r="B13" s="1067" t="s">
        <v>11800</v>
      </c>
      <c r="C13" s="354" t="s">
        <v>9215</v>
      </c>
      <c r="D13" s="286" t="s">
        <v>4215</v>
      </c>
      <c r="E13" s="286">
        <v>3</v>
      </c>
      <c r="F13" s="697">
        <v>0</v>
      </c>
      <c r="G13" s="697">
        <v>0</v>
      </c>
      <c r="H13" s="697">
        <v>0</v>
      </c>
      <c r="I13" s="697">
        <v>0</v>
      </c>
      <c r="J13" s="697">
        <v>0</v>
      </c>
      <c r="K13" s="697">
        <v>0</v>
      </c>
      <c r="L13" s="697">
        <v>0</v>
      </c>
      <c r="M13" s="697">
        <v>0</v>
      </c>
      <c r="N13" s="1597">
        <f>IFERROR(SUM(F13:M13),0)</f>
        <v>0</v>
      </c>
      <c r="O13" s="697">
        <v>0</v>
      </c>
      <c r="P13" s="697">
        <v>0</v>
      </c>
      <c r="Q13" s="697">
        <v>0</v>
      </c>
      <c r="R13" s="697">
        <v>0</v>
      </c>
      <c r="S13" s="697">
        <v>0</v>
      </c>
      <c r="T13" s="697">
        <v>0</v>
      </c>
      <c r="U13" s="697">
        <v>0</v>
      </c>
      <c r="V13" s="697">
        <v>0</v>
      </c>
      <c r="W13" s="1598">
        <f>IFERROR(SUM(O13:V13),0)</f>
        <v>0</v>
      </c>
      <c r="X13" s="997"/>
      <c r="Y13" s="1071" t="s">
        <v>12021</v>
      </c>
      <c r="Z13" s="242"/>
      <c r="AA13" s="291"/>
      <c r="AB13" s="282"/>
      <c r="AC13" s="345"/>
      <c r="AD13" s="284">
        <f t="shared" ref="AD13:AD14" si="25">IF( SUM( AF13:AV13 ) = 0, 0, $AF$7 )</f>
        <v>0</v>
      </c>
      <c r="AE13" s="345"/>
      <c r="AF13" s="1199">
        <f xml:space="preserve"> IF( ISNUMBER(F13), 0, 1 )</f>
        <v>0</v>
      </c>
      <c r="AG13" s="1199">
        <f t="shared" ref="AG13:AG14" si="26" xml:space="preserve"> IF( ISNUMBER(G13), 0, 1 )</f>
        <v>0</v>
      </c>
      <c r="AH13" s="1199">
        <f t="shared" ref="AH13:AH14" si="27" xml:space="preserve"> IF( ISNUMBER(H13), 0, 1 )</f>
        <v>0</v>
      </c>
      <c r="AI13" s="1199">
        <f t="shared" ref="AI13:AI14" si="28" xml:space="preserve"> IF( ISNUMBER(I13), 0, 1 )</f>
        <v>0</v>
      </c>
      <c r="AJ13" s="1199">
        <f t="shared" ref="AJ13:AJ14" si="29" xml:space="preserve"> IF( ISNUMBER(J13), 0, 1 )</f>
        <v>0</v>
      </c>
      <c r="AK13" s="1199">
        <f t="shared" ref="AK13:AK14" si="30" xml:space="preserve"> IF( ISNUMBER(K13), 0, 1 )</f>
        <v>0</v>
      </c>
      <c r="AL13" s="1199">
        <f t="shared" ref="AL13:AL14" si="31" xml:space="preserve"> IF( ISNUMBER(L13), 0, 1 )</f>
        <v>0</v>
      </c>
      <c r="AM13" s="1199">
        <f t="shared" ref="AM13:AM14" si="32" xml:space="preserve"> IF( ISNUMBER(M13), 0, 1 )</f>
        <v>0</v>
      </c>
      <c r="AN13" s="224"/>
      <c r="AO13" s="1199">
        <f t="shared" ref="AO13:AO14" si="33" xml:space="preserve"> IF( ISNUMBER(O13), 0, 1 )</f>
        <v>0</v>
      </c>
      <c r="AP13" s="1199">
        <f t="shared" ref="AP13:AP14" si="34" xml:space="preserve"> IF( ISNUMBER(P13), 0, 1 )</f>
        <v>0</v>
      </c>
      <c r="AQ13" s="1199">
        <f t="shared" ref="AQ13:AQ14" si="35" xml:space="preserve"> IF( ISNUMBER(Q13), 0, 1 )</f>
        <v>0</v>
      </c>
      <c r="AR13" s="1199">
        <f t="shared" ref="AR13:AR14" si="36" xml:space="preserve"> IF( ISNUMBER(R13), 0, 1 )</f>
        <v>0</v>
      </c>
      <c r="AS13" s="1199">
        <f t="shared" ref="AS13:AS14" si="37" xml:space="preserve"> IF( ISNUMBER(S13), 0, 1 )</f>
        <v>0</v>
      </c>
      <c r="AT13" s="1199">
        <f t="shared" ref="AT13:AT14" si="38" xml:space="preserve"> IF( ISNUMBER(T13), 0, 1 )</f>
        <v>0</v>
      </c>
      <c r="AU13" s="1199">
        <f t="shared" ref="AU13:AU14" si="39" xml:space="preserve"> IF( ISNUMBER(U13), 0, 1 )</f>
        <v>0</v>
      </c>
      <c r="AV13" s="1199">
        <f t="shared" ref="AV13:AV14" si="40" xml:space="preserve"> IF( ISNUMBER(V13), 0, 1 )</f>
        <v>0</v>
      </c>
      <c r="AW13" s="345"/>
      <c r="AY13" s="1067" t="s">
        <v>11800</v>
      </c>
      <c r="AZ13" s="354" t="s">
        <v>9215</v>
      </c>
      <c r="BA13" s="905" t="s">
        <v>12022</v>
      </c>
      <c r="BB13" s="905" t="s">
        <v>12023</v>
      </c>
      <c r="BC13" s="905" t="s">
        <v>12024</v>
      </c>
      <c r="BD13" s="905" t="s">
        <v>12025</v>
      </c>
      <c r="BE13" s="905" t="s">
        <v>12026</v>
      </c>
      <c r="BF13" s="905" t="s">
        <v>12027</v>
      </c>
      <c r="BG13" s="905" t="s">
        <v>12028</v>
      </c>
      <c r="BH13" s="905" t="s">
        <v>12029</v>
      </c>
      <c r="BI13" s="677" t="s">
        <v>12030</v>
      </c>
      <c r="BJ13" s="905" t="s">
        <v>12031</v>
      </c>
      <c r="BK13" s="905" t="s">
        <v>12032</v>
      </c>
      <c r="BL13" s="905" t="s">
        <v>12033</v>
      </c>
      <c r="BM13" s="905" t="s">
        <v>12034</v>
      </c>
      <c r="BN13" s="905" t="s">
        <v>12035</v>
      </c>
      <c r="BO13" s="905" t="s">
        <v>12036</v>
      </c>
      <c r="BP13" s="905" t="s">
        <v>12037</v>
      </c>
      <c r="BQ13" s="905" t="s">
        <v>12038</v>
      </c>
      <c r="BR13" s="893" t="s">
        <v>12039</v>
      </c>
      <c r="BS13" s="997"/>
    </row>
    <row r="14" spans="2:71" ht="15.75" customHeight="1">
      <c r="B14" s="1067" t="s">
        <v>11800</v>
      </c>
      <c r="C14" s="354" t="s">
        <v>9223</v>
      </c>
      <c r="D14" s="286" t="s">
        <v>4215</v>
      </c>
      <c r="E14" s="286">
        <v>3</v>
      </c>
      <c r="F14" s="697">
        <v>0</v>
      </c>
      <c r="G14" s="697">
        <v>0</v>
      </c>
      <c r="H14" s="697">
        <v>0</v>
      </c>
      <c r="I14" s="697">
        <v>0</v>
      </c>
      <c r="J14" s="697">
        <v>0</v>
      </c>
      <c r="K14" s="697">
        <v>0</v>
      </c>
      <c r="L14" s="697">
        <v>0</v>
      </c>
      <c r="M14" s="697">
        <v>0</v>
      </c>
      <c r="N14" s="1597">
        <f>IFERROR(SUM(F14:M14),0)</f>
        <v>0</v>
      </c>
      <c r="O14" s="697">
        <v>0</v>
      </c>
      <c r="P14" s="697">
        <v>0</v>
      </c>
      <c r="Q14" s="697">
        <v>0</v>
      </c>
      <c r="R14" s="697">
        <v>0</v>
      </c>
      <c r="S14" s="697">
        <v>0</v>
      </c>
      <c r="T14" s="697">
        <v>0</v>
      </c>
      <c r="U14" s="697">
        <v>0</v>
      </c>
      <c r="V14" s="697">
        <v>0</v>
      </c>
      <c r="W14" s="1598">
        <f>IFERROR(SUM(O14:V14),0)</f>
        <v>0</v>
      </c>
      <c r="X14" s="997"/>
      <c r="Y14" s="1071" t="s">
        <v>12040</v>
      </c>
      <c r="Z14" s="242"/>
      <c r="AA14" s="291"/>
      <c r="AB14" s="282"/>
      <c r="AC14" s="1165"/>
      <c r="AD14" s="284">
        <f t="shared" si="25"/>
        <v>0</v>
      </c>
      <c r="AE14" s="1165"/>
      <c r="AF14" s="1199">
        <f xml:space="preserve"> IF( ISNUMBER(F14), 0, 1 )</f>
        <v>0</v>
      </c>
      <c r="AG14" s="1199">
        <f t="shared" si="26"/>
        <v>0</v>
      </c>
      <c r="AH14" s="1199">
        <f t="shared" si="27"/>
        <v>0</v>
      </c>
      <c r="AI14" s="1199">
        <f t="shared" si="28"/>
        <v>0</v>
      </c>
      <c r="AJ14" s="1199">
        <f t="shared" si="29"/>
        <v>0</v>
      </c>
      <c r="AK14" s="1199">
        <f t="shared" si="30"/>
        <v>0</v>
      </c>
      <c r="AL14" s="1199">
        <f t="shared" si="31"/>
        <v>0</v>
      </c>
      <c r="AM14" s="1199">
        <f t="shared" si="32"/>
        <v>0</v>
      </c>
      <c r="AN14" s="224"/>
      <c r="AO14" s="1199">
        <f t="shared" si="33"/>
        <v>0</v>
      </c>
      <c r="AP14" s="1199">
        <f t="shared" si="34"/>
        <v>0</v>
      </c>
      <c r="AQ14" s="1199">
        <f t="shared" si="35"/>
        <v>0</v>
      </c>
      <c r="AR14" s="1199">
        <f t="shared" si="36"/>
        <v>0</v>
      </c>
      <c r="AS14" s="1199">
        <f t="shared" si="37"/>
        <v>0</v>
      </c>
      <c r="AT14" s="1199">
        <f t="shared" si="38"/>
        <v>0</v>
      </c>
      <c r="AU14" s="1199">
        <f t="shared" si="39"/>
        <v>0</v>
      </c>
      <c r="AV14" s="1199">
        <f t="shared" si="40"/>
        <v>0</v>
      </c>
      <c r="AW14" s="1165"/>
      <c r="AY14" s="1067" t="s">
        <v>11800</v>
      </c>
      <c r="AZ14" s="354" t="s">
        <v>9223</v>
      </c>
      <c r="BA14" s="905" t="s">
        <v>12041</v>
      </c>
      <c r="BB14" s="905" t="s">
        <v>12042</v>
      </c>
      <c r="BC14" s="905" t="s">
        <v>12043</v>
      </c>
      <c r="BD14" s="905" t="s">
        <v>12044</v>
      </c>
      <c r="BE14" s="905" t="s">
        <v>12045</v>
      </c>
      <c r="BF14" s="905" t="s">
        <v>12046</v>
      </c>
      <c r="BG14" s="905" t="s">
        <v>12047</v>
      </c>
      <c r="BH14" s="905" t="s">
        <v>12048</v>
      </c>
      <c r="BI14" s="677" t="s">
        <v>12049</v>
      </c>
      <c r="BJ14" s="905" t="s">
        <v>12050</v>
      </c>
      <c r="BK14" s="905" t="s">
        <v>12051</v>
      </c>
      <c r="BL14" s="905" t="s">
        <v>12052</v>
      </c>
      <c r="BM14" s="905" t="s">
        <v>12053</v>
      </c>
      <c r="BN14" s="905" t="s">
        <v>12054</v>
      </c>
      <c r="BO14" s="905" t="s">
        <v>12055</v>
      </c>
      <c r="BP14" s="905" t="s">
        <v>12056</v>
      </c>
      <c r="BQ14" s="905" t="s">
        <v>12057</v>
      </c>
      <c r="BR14" s="893" t="s">
        <v>12058</v>
      </c>
      <c r="BS14" s="997"/>
    </row>
    <row r="15" spans="2:71" ht="15.75" customHeight="1">
      <c r="B15" s="1067" t="s">
        <v>11800</v>
      </c>
      <c r="C15" s="354" t="s">
        <v>9231</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12059</v>
      </c>
      <c r="Z15" s="242"/>
      <c r="AA15" s="291"/>
      <c r="AB15" s="282"/>
      <c r="AC15" s="1165"/>
      <c r="AD15" s="284"/>
      <c r="AE15" s="1165"/>
      <c r="AW15" s="1165"/>
      <c r="AY15" s="1067" t="s">
        <v>11800</v>
      </c>
      <c r="AZ15" s="354" t="s">
        <v>9231</v>
      </c>
      <c r="BA15" s="677" t="s">
        <v>12060</v>
      </c>
      <c r="BB15" s="677" t="s">
        <v>12061</v>
      </c>
      <c r="BC15" s="677" t="s">
        <v>12062</v>
      </c>
      <c r="BD15" s="677" t="s">
        <v>12063</v>
      </c>
      <c r="BE15" s="677" t="s">
        <v>12064</v>
      </c>
      <c r="BF15" s="677" t="s">
        <v>12065</v>
      </c>
      <c r="BG15" s="677" t="s">
        <v>12066</v>
      </c>
      <c r="BH15" s="677" t="s">
        <v>12067</v>
      </c>
      <c r="BI15" s="677" t="s">
        <v>12068</v>
      </c>
      <c r="BJ15" s="677" t="s">
        <v>12069</v>
      </c>
      <c r="BK15" s="677" t="s">
        <v>12070</v>
      </c>
      <c r="BL15" s="677" t="s">
        <v>12071</v>
      </c>
      <c r="BM15" s="677" t="s">
        <v>12072</v>
      </c>
      <c r="BN15" s="677" t="s">
        <v>12073</v>
      </c>
      <c r="BO15" s="677" t="s">
        <v>12074</v>
      </c>
      <c r="BP15" s="677" t="s">
        <v>12075</v>
      </c>
      <c r="BQ15" s="677" t="s">
        <v>12076</v>
      </c>
      <c r="BR15" s="893" t="s">
        <v>12077</v>
      </c>
      <c r="BS15" s="997"/>
    </row>
    <row r="16" spans="2:71" ht="15.75" customHeight="1">
      <c r="B16" s="1067" t="s">
        <v>11840</v>
      </c>
      <c r="C16" s="354" t="s">
        <v>9215</v>
      </c>
      <c r="D16" s="286" t="s">
        <v>4215</v>
      </c>
      <c r="E16" s="286">
        <v>3</v>
      </c>
      <c r="F16" s="697">
        <v>0</v>
      </c>
      <c r="G16" s="697">
        <v>0</v>
      </c>
      <c r="H16" s="697">
        <v>0</v>
      </c>
      <c r="I16" s="697">
        <v>0</v>
      </c>
      <c r="J16" s="697">
        <v>0</v>
      </c>
      <c r="K16" s="697">
        <v>0</v>
      </c>
      <c r="L16" s="697">
        <v>0</v>
      </c>
      <c r="M16" s="697">
        <v>0</v>
      </c>
      <c r="N16" s="1597">
        <f>IFERROR(SUM(F16:M16),0)</f>
        <v>0</v>
      </c>
      <c r="O16" s="697">
        <v>0</v>
      </c>
      <c r="P16" s="697">
        <v>0</v>
      </c>
      <c r="Q16" s="697">
        <v>0</v>
      </c>
      <c r="R16" s="697">
        <v>0</v>
      </c>
      <c r="S16" s="697">
        <v>0</v>
      </c>
      <c r="T16" s="697">
        <v>0</v>
      </c>
      <c r="U16" s="697">
        <v>0</v>
      </c>
      <c r="V16" s="697">
        <v>0</v>
      </c>
      <c r="W16" s="1598">
        <f>IFERROR(SUM(O16:V16),0)</f>
        <v>0</v>
      </c>
      <c r="X16" s="997"/>
      <c r="Y16" s="1071" t="s">
        <v>12078</v>
      </c>
      <c r="Z16" s="242"/>
      <c r="AA16" s="291"/>
      <c r="AB16" s="282"/>
      <c r="AC16" s="1165"/>
      <c r="AD16" s="284">
        <f t="shared" ref="AD16:AD17" si="42">IF( SUM( AF16:AV16 ) = 0, 0, $AF$7 )</f>
        <v>0</v>
      </c>
      <c r="AE16" s="1165"/>
      <c r="AF16" s="1199">
        <f xml:space="preserve"> IF( ISNUMBER(F16), 0, 1 )</f>
        <v>0</v>
      </c>
      <c r="AG16" s="1199">
        <f t="shared" ref="AG16:AG17" si="43" xml:space="preserve"> IF( ISNUMBER(G16), 0, 1 )</f>
        <v>0</v>
      </c>
      <c r="AH16" s="1199">
        <f t="shared" ref="AH16:AH17" si="44" xml:space="preserve"> IF( ISNUMBER(H16), 0, 1 )</f>
        <v>0</v>
      </c>
      <c r="AI16" s="1199">
        <f t="shared" ref="AI16:AI17" si="45" xml:space="preserve"> IF( ISNUMBER(I16), 0, 1 )</f>
        <v>0</v>
      </c>
      <c r="AJ16" s="1199">
        <f t="shared" ref="AJ16:AJ17" si="46" xml:space="preserve"> IF( ISNUMBER(J16), 0, 1 )</f>
        <v>0</v>
      </c>
      <c r="AK16" s="1199">
        <f t="shared" ref="AK16:AK17" si="47" xml:space="preserve"> IF( ISNUMBER(K16), 0, 1 )</f>
        <v>0</v>
      </c>
      <c r="AL16" s="1199">
        <f t="shared" ref="AL16:AL17" si="48" xml:space="preserve"> IF( ISNUMBER(L16), 0, 1 )</f>
        <v>0</v>
      </c>
      <c r="AM16" s="1199">
        <f t="shared" ref="AM16:AM17" si="49" xml:space="preserve"> IF( ISNUMBER(M16), 0, 1 )</f>
        <v>0</v>
      </c>
      <c r="AN16" s="224"/>
      <c r="AO16" s="1199">
        <f t="shared" ref="AO16:AO17" si="50" xml:space="preserve"> IF( ISNUMBER(O16), 0, 1 )</f>
        <v>0</v>
      </c>
      <c r="AP16" s="1199">
        <f t="shared" ref="AP16:AP17" si="51" xml:space="preserve"> IF( ISNUMBER(P16), 0, 1 )</f>
        <v>0</v>
      </c>
      <c r="AQ16" s="1199">
        <f t="shared" ref="AQ16:AQ17" si="52" xml:space="preserve"> IF( ISNUMBER(Q16), 0, 1 )</f>
        <v>0</v>
      </c>
      <c r="AR16" s="1199">
        <f t="shared" ref="AR16:AR17" si="53" xml:space="preserve"> IF( ISNUMBER(R16), 0, 1 )</f>
        <v>0</v>
      </c>
      <c r="AS16" s="1199">
        <f t="shared" ref="AS16:AS17" si="54" xml:space="preserve"> IF( ISNUMBER(S16), 0, 1 )</f>
        <v>0</v>
      </c>
      <c r="AT16" s="1199">
        <f t="shared" ref="AT16:AT17" si="55" xml:space="preserve"> IF( ISNUMBER(T16), 0, 1 )</f>
        <v>0</v>
      </c>
      <c r="AU16" s="1199">
        <f t="shared" ref="AU16:AU17" si="56" xml:space="preserve"> IF( ISNUMBER(U16), 0, 1 )</f>
        <v>0</v>
      </c>
      <c r="AV16" s="1199">
        <f t="shared" ref="AV16:AV17" si="57" xml:space="preserve"> IF( ISNUMBER(V16), 0, 1 )</f>
        <v>0</v>
      </c>
      <c r="AW16" s="1165"/>
      <c r="AY16" s="1067" t="s">
        <v>11840</v>
      </c>
      <c r="AZ16" s="354" t="s">
        <v>9215</v>
      </c>
      <c r="BA16" s="905" t="s">
        <v>12079</v>
      </c>
      <c r="BB16" s="905" t="s">
        <v>12080</v>
      </c>
      <c r="BC16" s="905" t="s">
        <v>12081</v>
      </c>
      <c r="BD16" s="905" t="s">
        <v>12082</v>
      </c>
      <c r="BE16" s="905" t="s">
        <v>12083</v>
      </c>
      <c r="BF16" s="905" t="s">
        <v>12084</v>
      </c>
      <c r="BG16" s="905" t="s">
        <v>12085</v>
      </c>
      <c r="BH16" s="905" t="s">
        <v>12086</v>
      </c>
      <c r="BI16" s="677" t="s">
        <v>12087</v>
      </c>
      <c r="BJ16" s="905" t="s">
        <v>12088</v>
      </c>
      <c r="BK16" s="905" t="s">
        <v>12089</v>
      </c>
      <c r="BL16" s="905" t="s">
        <v>12090</v>
      </c>
      <c r="BM16" s="905" t="s">
        <v>12091</v>
      </c>
      <c r="BN16" s="905" t="s">
        <v>12092</v>
      </c>
      <c r="BO16" s="905" t="s">
        <v>12093</v>
      </c>
      <c r="BP16" s="905" t="s">
        <v>12094</v>
      </c>
      <c r="BQ16" s="905" t="s">
        <v>12095</v>
      </c>
      <c r="BR16" s="893" t="s">
        <v>12096</v>
      </c>
      <c r="BS16" s="997"/>
    </row>
    <row r="17" spans="2:71" ht="15.75" customHeight="1">
      <c r="B17" s="1067" t="s">
        <v>11840</v>
      </c>
      <c r="C17" s="354" t="s">
        <v>9223</v>
      </c>
      <c r="D17" s="286" t="s">
        <v>4215</v>
      </c>
      <c r="E17" s="286">
        <v>3</v>
      </c>
      <c r="F17" s="697">
        <v>0</v>
      </c>
      <c r="G17" s="697">
        <v>0</v>
      </c>
      <c r="H17" s="697">
        <v>0</v>
      </c>
      <c r="I17" s="697">
        <v>0</v>
      </c>
      <c r="J17" s="697">
        <v>0</v>
      </c>
      <c r="K17" s="697">
        <v>0</v>
      </c>
      <c r="L17" s="697">
        <v>0</v>
      </c>
      <c r="M17" s="697">
        <v>0</v>
      </c>
      <c r="N17" s="1597">
        <f>IFERROR(SUM(F17:M17),0)</f>
        <v>0</v>
      </c>
      <c r="O17" s="697">
        <v>0</v>
      </c>
      <c r="P17" s="697">
        <v>0</v>
      </c>
      <c r="Q17" s="697">
        <v>0</v>
      </c>
      <c r="R17" s="697">
        <v>0</v>
      </c>
      <c r="S17" s="697">
        <v>0</v>
      </c>
      <c r="T17" s="697">
        <v>0</v>
      </c>
      <c r="U17" s="697">
        <v>0</v>
      </c>
      <c r="V17" s="697">
        <v>0</v>
      </c>
      <c r="W17" s="1598">
        <f>IFERROR(SUM(O17:V17),0)</f>
        <v>0</v>
      </c>
      <c r="X17" s="997"/>
      <c r="Y17" s="1071" t="s">
        <v>12097</v>
      </c>
      <c r="Z17" s="242"/>
      <c r="AA17" s="291"/>
      <c r="AB17" s="282"/>
      <c r="AC17" s="1167"/>
      <c r="AD17" s="284">
        <f t="shared" si="42"/>
        <v>0</v>
      </c>
      <c r="AE17" s="1167"/>
      <c r="AF17" s="1199">
        <f xml:space="preserve"> IF( ISNUMBER(F17), 0, 1 )</f>
        <v>0</v>
      </c>
      <c r="AG17" s="1199">
        <f t="shared" si="43"/>
        <v>0</v>
      </c>
      <c r="AH17" s="1199">
        <f t="shared" si="44"/>
        <v>0</v>
      </c>
      <c r="AI17" s="1199">
        <f t="shared" si="45"/>
        <v>0</v>
      </c>
      <c r="AJ17" s="1199">
        <f t="shared" si="46"/>
        <v>0</v>
      </c>
      <c r="AK17" s="1199">
        <f t="shared" si="47"/>
        <v>0</v>
      </c>
      <c r="AL17" s="1199">
        <f t="shared" si="48"/>
        <v>0</v>
      </c>
      <c r="AM17" s="1199">
        <f t="shared" si="49"/>
        <v>0</v>
      </c>
      <c r="AN17" s="224"/>
      <c r="AO17" s="1199">
        <f t="shared" si="50"/>
        <v>0</v>
      </c>
      <c r="AP17" s="1199">
        <f t="shared" si="51"/>
        <v>0</v>
      </c>
      <c r="AQ17" s="1199">
        <f t="shared" si="52"/>
        <v>0</v>
      </c>
      <c r="AR17" s="1199">
        <f t="shared" si="53"/>
        <v>0</v>
      </c>
      <c r="AS17" s="1199">
        <f t="shared" si="54"/>
        <v>0</v>
      </c>
      <c r="AT17" s="1199">
        <f t="shared" si="55"/>
        <v>0</v>
      </c>
      <c r="AU17" s="1199">
        <f t="shared" si="56"/>
        <v>0</v>
      </c>
      <c r="AV17" s="1199">
        <f t="shared" si="57"/>
        <v>0</v>
      </c>
      <c r="AW17" s="1167"/>
      <c r="AY17" s="1067" t="s">
        <v>11840</v>
      </c>
      <c r="AZ17" s="354" t="s">
        <v>9223</v>
      </c>
      <c r="BA17" s="905" t="s">
        <v>12098</v>
      </c>
      <c r="BB17" s="905" t="s">
        <v>12099</v>
      </c>
      <c r="BC17" s="905" t="s">
        <v>12100</v>
      </c>
      <c r="BD17" s="905" t="s">
        <v>12101</v>
      </c>
      <c r="BE17" s="905" t="s">
        <v>12102</v>
      </c>
      <c r="BF17" s="905" t="s">
        <v>12103</v>
      </c>
      <c r="BG17" s="905" t="s">
        <v>12104</v>
      </c>
      <c r="BH17" s="905" t="s">
        <v>12105</v>
      </c>
      <c r="BI17" s="677" t="s">
        <v>12106</v>
      </c>
      <c r="BJ17" s="905" t="s">
        <v>12107</v>
      </c>
      <c r="BK17" s="905" t="s">
        <v>12108</v>
      </c>
      <c r="BL17" s="905" t="s">
        <v>12109</v>
      </c>
      <c r="BM17" s="905" t="s">
        <v>12110</v>
      </c>
      <c r="BN17" s="905" t="s">
        <v>12111</v>
      </c>
      <c r="BO17" s="905" t="s">
        <v>12112</v>
      </c>
      <c r="BP17" s="905" t="s">
        <v>12113</v>
      </c>
      <c r="BQ17" s="905" t="s">
        <v>12114</v>
      </c>
      <c r="BR17" s="893" t="s">
        <v>12115</v>
      </c>
      <c r="BS17" s="997"/>
    </row>
    <row r="18" spans="2:71" ht="15.75" customHeight="1">
      <c r="B18" s="1067" t="s">
        <v>11840</v>
      </c>
      <c r="C18" s="354" t="s">
        <v>9231</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12116</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11840</v>
      </c>
      <c r="AZ18" s="354" t="s">
        <v>9231</v>
      </c>
      <c r="BA18" s="677" t="s">
        <v>12117</v>
      </c>
      <c r="BB18" s="677" t="s">
        <v>12118</v>
      </c>
      <c r="BC18" s="677" t="s">
        <v>12119</v>
      </c>
      <c r="BD18" s="677" t="s">
        <v>12120</v>
      </c>
      <c r="BE18" s="677" t="s">
        <v>12121</v>
      </c>
      <c r="BF18" s="677" t="s">
        <v>12122</v>
      </c>
      <c r="BG18" s="677" t="s">
        <v>12123</v>
      </c>
      <c r="BH18" s="677" t="s">
        <v>12124</v>
      </c>
      <c r="BI18" s="677" t="s">
        <v>12125</v>
      </c>
      <c r="BJ18" s="677" t="s">
        <v>12126</v>
      </c>
      <c r="BK18" s="677" t="s">
        <v>12127</v>
      </c>
      <c r="BL18" s="677" t="s">
        <v>12128</v>
      </c>
      <c r="BM18" s="677" t="s">
        <v>12129</v>
      </c>
      <c r="BN18" s="677" t="s">
        <v>12130</v>
      </c>
      <c r="BO18" s="677" t="s">
        <v>12131</v>
      </c>
      <c r="BP18" s="677" t="s">
        <v>12132</v>
      </c>
      <c r="BQ18" s="677" t="s">
        <v>12133</v>
      </c>
      <c r="BR18" s="893" t="s">
        <v>12134</v>
      </c>
      <c r="BS18" s="997"/>
    </row>
    <row r="19" spans="2:71" ht="15.75" customHeight="1">
      <c r="B19" s="1067" t="s">
        <v>11880</v>
      </c>
      <c r="C19" s="354" t="s">
        <v>9215</v>
      </c>
      <c r="D19" s="286" t="s">
        <v>4215</v>
      </c>
      <c r="E19" s="286">
        <v>3</v>
      </c>
      <c r="F19" s="697">
        <v>0</v>
      </c>
      <c r="G19" s="697">
        <v>0</v>
      </c>
      <c r="H19" s="697">
        <v>0</v>
      </c>
      <c r="I19" s="697">
        <v>0</v>
      </c>
      <c r="J19" s="697">
        <v>0</v>
      </c>
      <c r="K19" s="697">
        <v>0</v>
      </c>
      <c r="L19" s="697">
        <v>0</v>
      </c>
      <c r="M19" s="697">
        <v>0</v>
      </c>
      <c r="N19" s="1597">
        <f>IFERROR(SUM(F19:M19),0)</f>
        <v>0</v>
      </c>
      <c r="O19" s="697">
        <v>0</v>
      </c>
      <c r="P19" s="697">
        <v>0</v>
      </c>
      <c r="Q19" s="697">
        <v>0</v>
      </c>
      <c r="R19" s="697">
        <v>0</v>
      </c>
      <c r="S19" s="697">
        <v>0</v>
      </c>
      <c r="T19" s="697">
        <v>0</v>
      </c>
      <c r="U19" s="697">
        <v>0</v>
      </c>
      <c r="V19" s="697">
        <v>0</v>
      </c>
      <c r="W19" s="1598">
        <f>IFERROR(SUM(O19:V19),0)</f>
        <v>0</v>
      </c>
      <c r="X19" s="997"/>
      <c r="Y19" s="1071" t="s">
        <v>12135</v>
      </c>
      <c r="Z19" s="242"/>
      <c r="AA19" s="1200"/>
      <c r="AB19" s="436"/>
      <c r="AC19" s="1167"/>
      <c r="AD19" s="284">
        <f t="shared" ref="AD19:AD20" si="59">IF( SUM( AF19:AV19 ) = 0, 0, $AF$7 )</f>
        <v>0</v>
      </c>
      <c r="AE19" s="1167"/>
      <c r="AF19" s="1199">
        <f xml:space="preserve"> IF( ISNUMBER(F19), 0, 1 )</f>
        <v>0</v>
      </c>
      <c r="AG19" s="1199">
        <f t="shared" ref="AG19:AG20" si="60" xml:space="preserve"> IF( ISNUMBER(G19), 0, 1 )</f>
        <v>0</v>
      </c>
      <c r="AH19" s="1199">
        <f t="shared" ref="AH19:AH20" si="61" xml:space="preserve"> IF( ISNUMBER(H19), 0, 1 )</f>
        <v>0</v>
      </c>
      <c r="AI19" s="1199">
        <f t="shared" ref="AI19:AI20" si="62" xml:space="preserve"> IF( ISNUMBER(I19), 0, 1 )</f>
        <v>0</v>
      </c>
      <c r="AJ19" s="1199">
        <f t="shared" ref="AJ19:AJ20" si="63" xml:space="preserve"> IF( ISNUMBER(J19), 0, 1 )</f>
        <v>0</v>
      </c>
      <c r="AK19" s="1199">
        <f t="shared" ref="AK19:AK20" si="64" xml:space="preserve"> IF( ISNUMBER(K19), 0, 1 )</f>
        <v>0</v>
      </c>
      <c r="AL19" s="1199">
        <f t="shared" ref="AL19:AL20" si="65" xml:space="preserve"> IF( ISNUMBER(L19), 0, 1 )</f>
        <v>0</v>
      </c>
      <c r="AM19" s="1199">
        <f t="shared" ref="AM19:AM20" si="66" xml:space="preserve"> IF( ISNUMBER(M19), 0, 1 )</f>
        <v>0</v>
      </c>
      <c r="AN19" s="224"/>
      <c r="AO19" s="1199">
        <f t="shared" ref="AO19:AO20" si="67" xml:space="preserve"> IF( ISNUMBER(O19), 0, 1 )</f>
        <v>0</v>
      </c>
      <c r="AP19" s="1199">
        <f t="shared" ref="AP19:AP20" si="68" xml:space="preserve"> IF( ISNUMBER(P19), 0, 1 )</f>
        <v>0</v>
      </c>
      <c r="AQ19" s="1199">
        <f t="shared" ref="AQ19:AQ20" si="69" xml:space="preserve"> IF( ISNUMBER(Q19), 0, 1 )</f>
        <v>0</v>
      </c>
      <c r="AR19" s="1199">
        <f t="shared" ref="AR19:AR20" si="70" xml:space="preserve"> IF( ISNUMBER(R19), 0, 1 )</f>
        <v>0</v>
      </c>
      <c r="AS19" s="1199">
        <f t="shared" ref="AS19:AS20" si="71" xml:space="preserve"> IF( ISNUMBER(S19), 0, 1 )</f>
        <v>0</v>
      </c>
      <c r="AT19" s="1199">
        <f t="shared" ref="AT19:AT20" si="72" xml:space="preserve"> IF( ISNUMBER(T19), 0, 1 )</f>
        <v>0</v>
      </c>
      <c r="AU19" s="1199">
        <f t="shared" ref="AU19:AU20" si="73" xml:space="preserve"> IF( ISNUMBER(U19), 0, 1 )</f>
        <v>0</v>
      </c>
      <c r="AV19" s="1199">
        <f t="shared" ref="AV19:AV20" si="74" xml:space="preserve"> IF( ISNUMBER(V19), 0, 1 )</f>
        <v>0</v>
      </c>
      <c r="AW19" s="1167"/>
      <c r="AY19" s="1067" t="s">
        <v>11880</v>
      </c>
      <c r="AZ19" s="354" t="s">
        <v>9215</v>
      </c>
      <c r="BA19" s="905" t="s">
        <v>12136</v>
      </c>
      <c r="BB19" s="905" t="s">
        <v>12137</v>
      </c>
      <c r="BC19" s="905" t="s">
        <v>12138</v>
      </c>
      <c r="BD19" s="905" t="s">
        <v>12139</v>
      </c>
      <c r="BE19" s="905" t="s">
        <v>12140</v>
      </c>
      <c r="BF19" s="905" t="s">
        <v>12141</v>
      </c>
      <c r="BG19" s="905" t="s">
        <v>12142</v>
      </c>
      <c r="BH19" s="905" t="s">
        <v>12143</v>
      </c>
      <c r="BI19" s="677" t="s">
        <v>12144</v>
      </c>
      <c r="BJ19" s="905" t="s">
        <v>12145</v>
      </c>
      <c r="BK19" s="905" t="s">
        <v>12146</v>
      </c>
      <c r="BL19" s="905" t="s">
        <v>12147</v>
      </c>
      <c r="BM19" s="905" t="s">
        <v>12148</v>
      </c>
      <c r="BN19" s="905" t="s">
        <v>12149</v>
      </c>
      <c r="BO19" s="905" t="s">
        <v>12150</v>
      </c>
      <c r="BP19" s="905" t="s">
        <v>12151</v>
      </c>
      <c r="BQ19" s="905" t="s">
        <v>12152</v>
      </c>
      <c r="BR19" s="893" t="s">
        <v>12153</v>
      </c>
      <c r="BS19" s="997"/>
    </row>
    <row r="20" spans="2:71" ht="15.75" customHeight="1">
      <c r="B20" s="1067" t="s">
        <v>11880</v>
      </c>
      <c r="C20" s="354" t="s">
        <v>9223</v>
      </c>
      <c r="D20" s="286" t="s">
        <v>4215</v>
      </c>
      <c r="E20" s="286">
        <v>3</v>
      </c>
      <c r="F20" s="697">
        <v>0</v>
      </c>
      <c r="G20" s="697">
        <v>0</v>
      </c>
      <c r="H20" s="697">
        <v>0</v>
      </c>
      <c r="I20" s="697">
        <v>0</v>
      </c>
      <c r="J20" s="697">
        <v>0</v>
      </c>
      <c r="K20" s="697">
        <v>0</v>
      </c>
      <c r="L20" s="697">
        <v>0</v>
      </c>
      <c r="M20" s="697">
        <v>0</v>
      </c>
      <c r="N20" s="1597">
        <f>IFERROR(SUM(F20:M20),0)</f>
        <v>0</v>
      </c>
      <c r="O20" s="697">
        <v>0</v>
      </c>
      <c r="P20" s="697">
        <v>0</v>
      </c>
      <c r="Q20" s="697">
        <v>0</v>
      </c>
      <c r="R20" s="697">
        <v>0</v>
      </c>
      <c r="S20" s="697">
        <v>0</v>
      </c>
      <c r="T20" s="697">
        <v>0</v>
      </c>
      <c r="U20" s="697">
        <v>0</v>
      </c>
      <c r="V20" s="697">
        <v>0</v>
      </c>
      <c r="W20" s="1598">
        <f>IFERROR(SUM(O20:V20),0)</f>
        <v>0</v>
      </c>
      <c r="X20" s="997"/>
      <c r="Y20" s="1071" t="s">
        <v>12154</v>
      </c>
      <c r="Z20" s="242"/>
      <c r="AA20" s="1200"/>
      <c r="AB20" s="436"/>
      <c r="AC20" s="1167"/>
      <c r="AD20" s="284">
        <f t="shared" si="59"/>
        <v>0</v>
      </c>
      <c r="AE20" s="1167"/>
      <c r="AF20" s="1199">
        <f xml:space="preserve"> IF( ISNUMBER(F20), 0, 1 )</f>
        <v>0</v>
      </c>
      <c r="AG20" s="1199">
        <f t="shared" si="60"/>
        <v>0</v>
      </c>
      <c r="AH20" s="1199">
        <f t="shared" si="61"/>
        <v>0</v>
      </c>
      <c r="AI20" s="1199">
        <f t="shared" si="62"/>
        <v>0</v>
      </c>
      <c r="AJ20" s="1199">
        <f t="shared" si="63"/>
        <v>0</v>
      </c>
      <c r="AK20" s="1199">
        <f t="shared" si="64"/>
        <v>0</v>
      </c>
      <c r="AL20" s="1199">
        <f t="shared" si="65"/>
        <v>0</v>
      </c>
      <c r="AM20" s="1199">
        <f t="shared" si="66"/>
        <v>0</v>
      </c>
      <c r="AN20" s="224"/>
      <c r="AO20" s="1199">
        <f t="shared" si="67"/>
        <v>0</v>
      </c>
      <c r="AP20" s="1199">
        <f t="shared" si="68"/>
        <v>0</v>
      </c>
      <c r="AQ20" s="1199">
        <f t="shared" si="69"/>
        <v>0</v>
      </c>
      <c r="AR20" s="1199">
        <f t="shared" si="70"/>
        <v>0</v>
      </c>
      <c r="AS20" s="1199">
        <f t="shared" si="71"/>
        <v>0</v>
      </c>
      <c r="AT20" s="1199">
        <f t="shared" si="72"/>
        <v>0</v>
      </c>
      <c r="AU20" s="1199">
        <f t="shared" si="73"/>
        <v>0</v>
      </c>
      <c r="AV20" s="1199">
        <f t="shared" si="74"/>
        <v>0</v>
      </c>
      <c r="AW20" s="1167"/>
      <c r="AY20" s="1067" t="s">
        <v>11880</v>
      </c>
      <c r="AZ20" s="354" t="s">
        <v>9223</v>
      </c>
      <c r="BA20" s="905" t="s">
        <v>12155</v>
      </c>
      <c r="BB20" s="905" t="s">
        <v>12156</v>
      </c>
      <c r="BC20" s="905" t="s">
        <v>12157</v>
      </c>
      <c r="BD20" s="905" t="s">
        <v>12158</v>
      </c>
      <c r="BE20" s="905" t="s">
        <v>12159</v>
      </c>
      <c r="BF20" s="905" t="s">
        <v>12160</v>
      </c>
      <c r="BG20" s="905" t="s">
        <v>12161</v>
      </c>
      <c r="BH20" s="905" t="s">
        <v>12162</v>
      </c>
      <c r="BI20" s="677" t="s">
        <v>12163</v>
      </c>
      <c r="BJ20" s="905" t="s">
        <v>12164</v>
      </c>
      <c r="BK20" s="905" t="s">
        <v>12165</v>
      </c>
      <c r="BL20" s="905" t="s">
        <v>12166</v>
      </c>
      <c r="BM20" s="905" t="s">
        <v>12167</v>
      </c>
      <c r="BN20" s="905" t="s">
        <v>12168</v>
      </c>
      <c r="BO20" s="905" t="s">
        <v>12169</v>
      </c>
      <c r="BP20" s="905" t="s">
        <v>12170</v>
      </c>
      <c r="BQ20" s="905" t="s">
        <v>12171</v>
      </c>
      <c r="BR20" s="893" t="s">
        <v>12172</v>
      </c>
      <c r="BS20" s="997"/>
    </row>
    <row r="21" spans="2:71" ht="15.75" customHeight="1">
      <c r="B21" s="1067" t="s">
        <v>11880</v>
      </c>
      <c r="C21" s="354" t="s">
        <v>9231</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12173</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11880</v>
      </c>
      <c r="AZ21" s="354" t="s">
        <v>9231</v>
      </c>
      <c r="BA21" s="677" t="s">
        <v>12174</v>
      </c>
      <c r="BB21" s="677" t="s">
        <v>12175</v>
      </c>
      <c r="BC21" s="677" t="s">
        <v>12176</v>
      </c>
      <c r="BD21" s="677" t="s">
        <v>12177</v>
      </c>
      <c r="BE21" s="677" t="s">
        <v>12178</v>
      </c>
      <c r="BF21" s="677" t="s">
        <v>12179</v>
      </c>
      <c r="BG21" s="677" t="s">
        <v>12180</v>
      </c>
      <c r="BH21" s="677" t="s">
        <v>12181</v>
      </c>
      <c r="BI21" s="677" t="s">
        <v>12182</v>
      </c>
      <c r="BJ21" s="677" t="s">
        <v>12183</v>
      </c>
      <c r="BK21" s="677" t="s">
        <v>12184</v>
      </c>
      <c r="BL21" s="677" t="s">
        <v>12185</v>
      </c>
      <c r="BM21" s="677" t="s">
        <v>12186</v>
      </c>
      <c r="BN21" s="677" t="s">
        <v>12187</v>
      </c>
      <c r="BO21" s="677" t="s">
        <v>12188</v>
      </c>
      <c r="BP21" s="677" t="s">
        <v>12189</v>
      </c>
      <c r="BQ21" s="677" t="s">
        <v>12190</v>
      </c>
      <c r="BR21" s="893" t="s">
        <v>12191</v>
      </c>
      <c r="BS21" s="997"/>
    </row>
    <row r="22" spans="2:71" ht="15.75" customHeight="1">
      <c r="B22" s="460" t="s">
        <v>11920</v>
      </c>
      <c r="C22" s="354" t="s">
        <v>9215</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12192</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11920</v>
      </c>
      <c r="AZ22" s="354" t="s">
        <v>9215</v>
      </c>
      <c r="BA22" s="677" t="s">
        <v>12193</v>
      </c>
      <c r="BB22" s="677" t="s">
        <v>12194</v>
      </c>
      <c r="BC22" s="677" t="s">
        <v>12195</v>
      </c>
      <c r="BD22" s="677" t="s">
        <v>12196</v>
      </c>
      <c r="BE22" s="677" t="s">
        <v>12197</v>
      </c>
      <c r="BF22" s="677" t="s">
        <v>12198</v>
      </c>
      <c r="BG22" s="677" t="s">
        <v>12199</v>
      </c>
      <c r="BH22" s="677" t="s">
        <v>12200</v>
      </c>
      <c r="BI22" s="677" t="s">
        <v>12201</v>
      </c>
      <c r="BJ22" s="677" t="s">
        <v>12202</v>
      </c>
      <c r="BK22" s="677" t="s">
        <v>12203</v>
      </c>
      <c r="BL22" s="677" t="s">
        <v>12204</v>
      </c>
      <c r="BM22" s="677" t="s">
        <v>12205</v>
      </c>
      <c r="BN22" s="677" t="s">
        <v>12206</v>
      </c>
      <c r="BO22" s="677" t="s">
        <v>12207</v>
      </c>
      <c r="BP22" s="677" t="s">
        <v>12208</v>
      </c>
      <c r="BQ22" s="677" t="s">
        <v>12209</v>
      </c>
      <c r="BR22" s="893" t="s">
        <v>12210</v>
      </c>
      <c r="BS22" s="997"/>
    </row>
    <row r="23" spans="2:71" ht="15.75" customHeight="1">
      <c r="B23" s="460" t="s">
        <v>11934</v>
      </c>
      <c r="C23" s="354" t="s">
        <v>9223</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12211</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11934</v>
      </c>
      <c r="AZ23" s="354" t="s">
        <v>9223</v>
      </c>
      <c r="BA23" s="677" t="s">
        <v>12212</v>
      </c>
      <c r="BB23" s="677" t="s">
        <v>12213</v>
      </c>
      <c r="BC23" s="677" t="s">
        <v>12214</v>
      </c>
      <c r="BD23" s="677" t="s">
        <v>12215</v>
      </c>
      <c r="BE23" s="677" t="s">
        <v>12216</v>
      </c>
      <c r="BF23" s="677" t="s">
        <v>12217</v>
      </c>
      <c r="BG23" s="677" t="s">
        <v>12218</v>
      </c>
      <c r="BH23" s="677" t="s">
        <v>12219</v>
      </c>
      <c r="BI23" s="677" t="s">
        <v>12220</v>
      </c>
      <c r="BJ23" s="677" t="s">
        <v>12221</v>
      </c>
      <c r="BK23" s="677" t="s">
        <v>12222</v>
      </c>
      <c r="BL23" s="677" t="s">
        <v>12223</v>
      </c>
      <c r="BM23" s="677" t="s">
        <v>12224</v>
      </c>
      <c r="BN23" s="677" t="s">
        <v>12225</v>
      </c>
      <c r="BO23" s="677" t="s">
        <v>12226</v>
      </c>
      <c r="BP23" s="677" t="s">
        <v>12227</v>
      </c>
      <c r="BQ23" s="677" t="s">
        <v>12228</v>
      </c>
      <c r="BR23" s="893" t="s">
        <v>12229</v>
      </c>
      <c r="BS23" s="997"/>
    </row>
    <row r="24" spans="2:71" ht="15.75" customHeight="1" thickBot="1">
      <c r="B24" s="463" t="s">
        <v>11948</v>
      </c>
      <c r="C24" s="1081" t="s">
        <v>9231</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12230</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11948</v>
      </c>
      <c r="AZ24" s="1081" t="s">
        <v>9231</v>
      </c>
      <c r="BA24" s="679" t="s">
        <v>12231</v>
      </c>
      <c r="BB24" s="679" t="s">
        <v>12232</v>
      </c>
      <c r="BC24" s="679" t="s">
        <v>12233</v>
      </c>
      <c r="BD24" s="679" t="s">
        <v>12234</v>
      </c>
      <c r="BE24" s="679" t="s">
        <v>12235</v>
      </c>
      <c r="BF24" s="679" t="s">
        <v>12236</v>
      </c>
      <c r="BG24" s="679" t="s">
        <v>12237</v>
      </c>
      <c r="BH24" s="679" t="s">
        <v>12238</v>
      </c>
      <c r="BI24" s="679" t="s">
        <v>12239</v>
      </c>
      <c r="BJ24" s="679" t="s">
        <v>12240</v>
      </c>
      <c r="BK24" s="679" t="s">
        <v>12241</v>
      </c>
      <c r="BL24" s="679" t="s">
        <v>12242</v>
      </c>
      <c r="BM24" s="679" t="s">
        <v>12243</v>
      </c>
      <c r="BN24" s="679" t="s">
        <v>12244</v>
      </c>
      <c r="BO24" s="679" t="s">
        <v>12245</v>
      </c>
      <c r="BP24" s="679" t="s">
        <v>12246</v>
      </c>
      <c r="BQ24" s="679" t="s">
        <v>12247</v>
      </c>
      <c r="BR24" s="417" t="s">
        <v>12248</v>
      </c>
      <c r="BS24" s="383"/>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8" priority="5" operator="equal">
      <formula>0</formula>
    </cfRule>
  </conditionalFormatting>
  <conditionalFormatting sqref="AD4:AD27">
    <cfRule type="cellIs" dxfId="97"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topLeftCell="A2" zoomScaleNormal="100" workbookViewId="0"/>
  </sheetViews>
  <sheetFormatPr defaultColWidth="9" defaultRowHeight="15.6"/>
  <cols>
    <col min="1" max="1" width="9" style="224"/>
    <col min="2" max="2" width="44.09765625" style="224" bestFit="1" customWidth="1"/>
    <col min="3" max="4" width="6" style="224" customWidth="1"/>
    <col min="5" max="7" width="7.69921875" style="224" bestFit="1" customWidth="1"/>
    <col min="8" max="8" width="3.69921875" style="224" bestFit="1" customWidth="1"/>
    <col min="9" max="9" width="7.69921875" style="224" customWidth="1"/>
    <col min="10" max="12" width="7.69921875" style="260" bestFit="1" customWidth="1"/>
    <col min="13" max="13" width="3.69921875" style="260" bestFit="1" customWidth="1"/>
    <col min="14" max="14" width="14.69921875" style="260" bestFit="1" customWidth="1"/>
    <col min="15" max="15" width="1.19921875" style="260" customWidth="1"/>
    <col min="16" max="16" width="7.69921875" style="224" customWidth="1"/>
    <col min="17" max="17" width="1" style="224" customWidth="1"/>
    <col min="18" max="18" width="33.59765625" style="106" customWidth="1"/>
    <col min="19" max="20" width="1.59765625" style="106" customWidth="1"/>
    <col min="21" max="21" width="25.09765625" style="106" customWidth="1"/>
    <col min="22" max="22" width="1.59765625" style="106" customWidth="1"/>
    <col min="23" max="32" width="6.09765625" style="106" hidden="1" customWidth="1"/>
    <col min="33" max="33" width="1.59765625" style="106" hidden="1" customWidth="1"/>
    <col min="34" max="34" width="1.59765625" style="224" customWidth="1"/>
    <col min="35" max="35" width="45.59765625" style="224" bestFit="1" customWidth="1"/>
    <col min="36" max="36" width="18.5" style="224" bestFit="1" customWidth="1"/>
    <col min="37" max="37" width="18.19921875" style="224" bestFit="1" customWidth="1"/>
    <col min="38" max="38" width="18.5" style="224" bestFit="1" customWidth="1"/>
    <col min="39" max="39" width="3.69921875" style="224" bestFit="1" customWidth="1"/>
    <col min="40" max="40" width="18.19921875" style="224" bestFit="1" customWidth="1"/>
    <col min="41" max="41" width="18.69921875" style="224" bestFit="1" customWidth="1"/>
    <col min="42" max="42" width="18.5" style="224" bestFit="1" customWidth="1"/>
    <col min="43" max="43" width="18.69921875" style="224" bestFit="1" customWidth="1"/>
    <col min="44" max="44" width="3.69921875" style="224" bestFit="1" customWidth="1"/>
    <col min="45" max="45" width="18.5" style="224" bestFit="1" customWidth="1"/>
    <col min="46" max="16384" width="9" style="224"/>
  </cols>
  <sheetData>
    <row r="1" spans="2:45" s="389" customFormat="1" ht="22.5" customHeight="1">
      <c r="B1" s="2819" t="s">
        <v>12249</v>
      </c>
      <c r="C1" s="2819"/>
      <c r="D1" s="2819"/>
      <c r="E1" s="2819"/>
      <c r="F1" s="2819"/>
      <c r="G1" s="2819"/>
      <c r="H1" s="2819"/>
      <c r="I1" s="2819"/>
      <c r="J1" s="2819"/>
      <c r="K1" s="2819"/>
      <c r="L1" s="2819"/>
      <c r="M1" s="2819"/>
      <c r="N1" s="2819"/>
      <c r="O1" s="260"/>
      <c r="P1" s="528"/>
      <c r="Q1" s="528"/>
      <c r="R1" s="106"/>
      <c r="S1" s="106"/>
      <c r="T1" s="1165"/>
      <c r="U1" s="284"/>
      <c r="V1" s="1165"/>
      <c r="W1" s="106"/>
      <c r="X1" s="106"/>
      <c r="Y1" s="106"/>
      <c r="Z1" s="106"/>
      <c r="AA1" s="106"/>
      <c r="AB1" s="106"/>
      <c r="AC1" s="106"/>
      <c r="AD1" s="106"/>
      <c r="AE1" s="106"/>
      <c r="AF1" s="106"/>
      <c r="AG1" s="1165"/>
      <c r="AI1" s="2819" t="s">
        <v>4198</v>
      </c>
      <c r="AJ1" s="2819"/>
      <c r="AK1" s="2819"/>
      <c r="AL1" s="2819"/>
    </row>
    <row r="2" spans="2:45" s="389" customFormat="1" ht="22.8">
      <c r="B2" s="2819" t="str">
        <f>SelectCompany!B4</f>
        <v>Dŵr Cymru</v>
      </c>
      <c r="C2" s="2819"/>
      <c r="D2" s="2819"/>
      <c r="E2" s="2819"/>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8">
      <c r="B3" s="2829" t="s">
        <v>12250</v>
      </c>
      <c r="C3" s="2829"/>
      <c r="D3" s="2829"/>
      <c r="E3" s="2829"/>
      <c r="F3" s="2829"/>
      <c r="G3" s="2829"/>
      <c r="H3" s="2829"/>
      <c r="I3" s="2829"/>
      <c r="J3" s="2829"/>
      <c r="K3" s="2829"/>
      <c r="L3" s="2829"/>
      <c r="M3" s="2829"/>
      <c r="N3" s="2829"/>
      <c r="O3" s="690"/>
      <c r="P3" s="260"/>
      <c r="R3" s="224"/>
      <c r="T3" s="1165"/>
      <c r="U3" s="650" t="s">
        <v>4200</v>
      </c>
      <c r="V3" s="1165"/>
      <c r="AG3" s="1165"/>
      <c r="AI3" s="2829" t="s">
        <v>12250</v>
      </c>
      <c r="AJ3" s="2829"/>
      <c r="AK3" s="2829"/>
      <c r="AL3" s="2829"/>
      <c r="AM3" s="2829"/>
      <c r="AN3" s="2829"/>
      <c r="AO3" s="2829"/>
      <c r="AP3" s="2829"/>
      <c r="AQ3" s="2829"/>
      <c r="AR3" s="2829"/>
      <c r="AS3" s="2829"/>
    </row>
    <row r="4" spans="2:45" ht="23.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33"/>
      <c r="C5" s="2835" t="s">
        <v>4203</v>
      </c>
      <c r="D5" s="2835" t="s">
        <v>4204</v>
      </c>
      <c r="E5" s="2835" t="s">
        <v>4852</v>
      </c>
      <c r="F5" s="2835"/>
      <c r="G5" s="2835"/>
      <c r="H5" s="2835"/>
      <c r="I5" s="2835"/>
      <c r="J5" s="2835" t="s">
        <v>7505</v>
      </c>
      <c r="K5" s="2835"/>
      <c r="L5" s="2835"/>
      <c r="M5" s="2835"/>
      <c r="N5" s="2836"/>
      <c r="O5" s="781"/>
      <c r="P5" s="2911" t="s">
        <v>4208</v>
      </c>
      <c r="Q5" s="197"/>
      <c r="R5" s="2811" t="s">
        <v>4209</v>
      </c>
      <c r="T5" s="1165"/>
      <c r="U5" s="284"/>
      <c r="V5" s="1165"/>
      <c r="AG5" s="1165"/>
      <c r="AI5" s="2833"/>
      <c r="AJ5" s="2835" t="s">
        <v>4852</v>
      </c>
      <c r="AK5" s="2835"/>
      <c r="AL5" s="2835"/>
      <c r="AM5" s="2835"/>
      <c r="AN5" s="2835"/>
      <c r="AO5" s="2835" t="s">
        <v>7505</v>
      </c>
      <c r="AP5" s="2835"/>
      <c r="AQ5" s="2835"/>
      <c r="AR5" s="2835"/>
      <c r="AS5" s="2836"/>
    </row>
    <row r="6" spans="2:45" ht="74.400000000000006" thickBot="1">
      <c r="B6" s="2834"/>
      <c r="C6" s="2913"/>
      <c r="D6" s="2913"/>
      <c r="E6" s="1204" t="s">
        <v>5141</v>
      </c>
      <c r="F6" s="1204" t="s">
        <v>7506</v>
      </c>
      <c r="G6" s="1204" t="s">
        <v>7507</v>
      </c>
      <c r="H6" s="1204" t="s">
        <v>5144</v>
      </c>
      <c r="I6" s="1204" t="s">
        <v>6417</v>
      </c>
      <c r="J6" s="1204" t="s">
        <v>5141</v>
      </c>
      <c r="K6" s="1204" t="s">
        <v>7506</v>
      </c>
      <c r="L6" s="1204" t="s">
        <v>7507</v>
      </c>
      <c r="M6" s="1204" t="s">
        <v>5144</v>
      </c>
      <c r="N6" s="1205" t="s">
        <v>6417</v>
      </c>
      <c r="O6" s="349"/>
      <c r="P6" s="2912"/>
      <c r="Q6" s="197"/>
      <c r="R6" s="2813"/>
      <c r="S6" s="730"/>
      <c r="T6" s="1165"/>
      <c r="U6" s="284"/>
      <c r="V6" s="1165"/>
      <c r="W6" s="2710" t="s">
        <v>4201</v>
      </c>
      <c r="X6" s="2710"/>
      <c r="Y6" s="2710"/>
      <c r="Z6" s="2710"/>
      <c r="AA6" s="2710"/>
      <c r="AB6" s="2710"/>
      <c r="AC6" s="2710"/>
      <c r="AD6" s="2710"/>
      <c r="AE6" s="2710"/>
      <c r="AF6" s="2710"/>
      <c r="AG6" s="1165"/>
      <c r="AI6" s="2834"/>
      <c r="AJ6" s="1204" t="s">
        <v>5141</v>
      </c>
      <c r="AK6" s="1204" t="s">
        <v>7506</v>
      </c>
      <c r="AL6" s="1204" t="s">
        <v>7507</v>
      </c>
      <c r="AM6" s="1204" t="s">
        <v>5144</v>
      </c>
      <c r="AN6" s="1204" t="s">
        <v>6417</v>
      </c>
      <c r="AO6" s="1204" t="s">
        <v>5141</v>
      </c>
      <c r="AP6" s="1204" t="s">
        <v>7506</v>
      </c>
      <c r="AQ6" s="1204" t="s">
        <v>7507</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12251</v>
      </c>
      <c r="C8" s="1206"/>
      <c r="D8" s="1206"/>
      <c r="E8" s="349"/>
      <c r="F8" s="349"/>
      <c r="G8" s="349"/>
      <c r="H8" s="349"/>
      <c r="I8" s="349"/>
      <c r="J8" s="349"/>
      <c r="K8" s="349"/>
      <c r="L8" s="349"/>
      <c r="M8" s="349"/>
      <c r="N8" s="349"/>
      <c r="O8" s="349"/>
      <c r="P8" s="582"/>
      <c r="Q8" s="197"/>
      <c r="R8" s="770"/>
      <c r="S8" s="282"/>
      <c r="T8" s="345"/>
      <c r="U8" s="284"/>
      <c r="V8" s="345"/>
      <c r="AG8" s="345"/>
      <c r="AI8" s="784" t="s">
        <v>12251</v>
      </c>
      <c r="AJ8" s="349"/>
      <c r="AK8" s="349"/>
      <c r="AL8" s="349"/>
      <c r="AM8" s="349"/>
      <c r="AN8" s="349"/>
      <c r="AO8" s="349"/>
      <c r="AP8" s="349"/>
      <c r="AQ8" s="349"/>
      <c r="AR8" s="349"/>
      <c r="AS8" s="349"/>
    </row>
    <row r="9" spans="2:45" ht="15.75" customHeight="1" thickTop="1">
      <c r="B9" s="787" t="s">
        <v>12252</v>
      </c>
      <c r="C9" s="1207" t="s">
        <v>4215</v>
      </c>
      <c r="D9" s="1207">
        <v>3</v>
      </c>
      <c r="E9" s="789">
        <v>0</v>
      </c>
      <c r="F9" s="789">
        <v>0</v>
      </c>
      <c r="G9" s="789">
        <v>0</v>
      </c>
      <c r="H9" s="2099"/>
      <c r="I9" s="789">
        <v>0</v>
      </c>
      <c r="J9" s="789">
        <v>0</v>
      </c>
      <c r="K9" s="789">
        <v>0</v>
      </c>
      <c r="L9" s="789">
        <v>0</v>
      </c>
      <c r="M9" s="2099"/>
      <c r="N9" s="790">
        <v>0</v>
      </c>
      <c r="O9" s="997"/>
      <c r="P9" s="1066" t="s">
        <v>12253</v>
      </c>
      <c r="Q9" s="197"/>
      <c r="R9" s="283"/>
      <c r="S9" s="282"/>
      <c r="T9" s="345"/>
      <c r="U9" s="284">
        <f>IF( SUM( W9:AF9 ) = 0, 0, $W$7 )</f>
        <v>0</v>
      </c>
      <c r="V9" s="345"/>
      <c r="W9" s="285">
        <f xml:space="preserve"> IF( ISNUMBER(E9), 0, 1 )</f>
        <v>0</v>
      </c>
      <c r="X9" s="285">
        <f t="shared" ref="X9:Y9" si="0" xml:space="preserve"> IF( ISNUMBER(F9), 0, 1 )</f>
        <v>0</v>
      </c>
      <c r="Y9" s="285">
        <f t="shared" si="0"/>
        <v>0</v>
      </c>
      <c r="Z9" s="284"/>
      <c r="AA9" s="285">
        <f t="shared" ref="AA9:AD9" si="1" xml:space="preserve"> IF( ISNUMBER(I9), 0, 1 )</f>
        <v>0</v>
      </c>
      <c r="AB9" s="285">
        <f t="shared" si="1"/>
        <v>0</v>
      </c>
      <c r="AC9" s="285">
        <f t="shared" si="1"/>
        <v>0</v>
      </c>
      <c r="AD9" s="285">
        <f t="shared" si="1"/>
        <v>0</v>
      </c>
      <c r="AE9" s="284"/>
      <c r="AF9" s="285">
        <f xml:space="preserve"> IF( ISNUMBER(N9), 0, 1 )</f>
        <v>0</v>
      </c>
      <c r="AG9" s="345"/>
      <c r="AI9" s="787" t="s">
        <v>12252</v>
      </c>
      <c r="AJ9" s="1208" t="s">
        <v>12254</v>
      </c>
      <c r="AK9" s="1208" t="s">
        <v>12255</v>
      </c>
      <c r="AL9" s="1208" t="s">
        <v>12256</v>
      </c>
      <c r="AM9" s="1209"/>
      <c r="AN9" s="1208" t="s">
        <v>12257</v>
      </c>
      <c r="AO9" s="1208" t="s">
        <v>12258</v>
      </c>
      <c r="AP9" s="1208" t="s">
        <v>12259</v>
      </c>
      <c r="AQ9" s="1208" t="s">
        <v>12260</v>
      </c>
      <c r="AR9" s="1209"/>
      <c r="AS9" s="1210" t="s">
        <v>12261</v>
      </c>
    </row>
    <row r="10" spans="2:45" ht="15.75" customHeight="1">
      <c r="B10" s="792" t="s">
        <v>12262</v>
      </c>
      <c r="C10" s="325" t="s">
        <v>4215</v>
      </c>
      <c r="D10" s="325">
        <v>3</v>
      </c>
      <c r="E10" s="1698">
        <v>0</v>
      </c>
      <c r="F10" s="1698">
        <v>0</v>
      </c>
      <c r="G10" s="1698">
        <v>0</v>
      </c>
      <c r="H10" s="2100"/>
      <c r="I10" s="793">
        <v>0</v>
      </c>
      <c r="J10" s="793">
        <v>0</v>
      </c>
      <c r="K10" s="793">
        <v>0</v>
      </c>
      <c r="L10" s="793">
        <v>0</v>
      </c>
      <c r="M10" s="2100"/>
      <c r="N10" s="794">
        <v>0</v>
      </c>
      <c r="O10" s="997"/>
      <c r="P10" s="1071" t="s">
        <v>12263</v>
      </c>
      <c r="Q10" s="197"/>
      <c r="R10" s="291"/>
      <c r="S10" s="282"/>
      <c r="T10" s="345"/>
      <c r="U10" s="284">
        <f>IF( SUM( W10:AF10 ) = 0, 0, $W$7 )</f>
        <v>0</v>
      </c>
      <c r="V10" s="345"/>
      <c r="W10" s="285">
        <f xml:space="preserve"> IF( ISNUMBER(E10), 0, 1 )</f>
        <v>0</v>
      </c>
      <c r="X10" s="285">
        <f t="shared" ref="X10" si="2" xml:space="preserve"> IF( ISNUMBER(F10), 0, 1 )</f>
        <v>0</v>
      </c>
      <c r="Y10" s="285">
        <f t="shared" ref="Y10" si="3" xml:space="preserve"> IF( ISNUMBER(G10), 0, 1 )</f>
        <v>0</v>
      </c>
      <c r="Z10" s="284"/>
      <c r="AA10" s="285">
        <f t="shared" ref="AA10" si="4" xml:space="preserve"> IF( ISNUMBER(I10), 0, 1 )</f>
        <v>0</v>
      </c>
      <c r="AB10" s="285">
        <f t="shared" ref="AB10" si="5" xml:space="preserve"> IF( ISNUMBER(J10), 0, 1 )</f>
        <v>0</v>
      </c>
      <c r="AC10" s="285">
        <f t="shared" ref="AC10" si="6" xml:space="preserve"> IF( ISNUMBER(K10), 0, 1 )</f>
        <v>0</v>
      </c>
      <c r="AD10" s="285">
        <f t="shared" ref="AD10" si="7" xml:space="preserve"> IF( ISNUMBER(L10), 0, 1 )</f>
        <v>0</v>
      </c>
      <c r="AE10" s="284"/>
      <c r="AF10" s="285">
        <f xml:space="preserve"> IF( ISNUMBER(N10), 0, 1 )</f>
        <v>0</v>
      </c>
      <c r="AG10" s="345"/>
      <c r="AI10" s="792" t="s">
        <v>12262</v>
      </c>
      <c r="AJ10" s="1211" t="s">
        <v>12264</v>
      </c>
      <c r="AK10" s="1211" t="s">
        <v>12265</v>
      </c>
      <c r="AL10" s="1211" t="s">
        <v>12266</v>
      </c>
      <c r="AM10" s="1212"/>
      <c r="AN10" s="1213" t="s">
        <v>12267</v>
      </c>
      <c r="AO10" s="1213" t="s">
        <v>12268</v>
      </c>
      <c r="AP10" s="1213" t="s">
        <v>12269</v>
      </c>
      <c r="AQ10" s="1213" t="s">
        <v>12270</v>
      </c>
      <c r="AR10" s="1212"/>
      <c r="AS10" s="1214" t="s">
        <v>12271</v>
      </c>
    </row>
    <row r="11" spans="2:45" ht="15.75" customHeight="1">
      <c r="B11" s="792" t="s">
        <v>7572</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12272</v>
      </c>
      <c r="Q11" s="197"/>
      <c r="R11" s="291"/>
      <c r="S11" s="282"/>
      <c r="T11" s="345"/>
      <c r="U11" s="284"/>
      <c r="V11" s="345"/>
      <c r="W11" s="284"/>
      <c r="X11" s="284"/>
      <c r="Y11" s="284"/>
      <c r="Z11" s="284"/>
      <c r="AA11" s="284"/>
      <c r="AB11" s="284"/>
      <c r="AC11" s="284"/>
      <c r="AD11" s="284"/>
      <c r="AE11" s="284"/>
      <c r="AF11" s="284"/>
      <c r="AG11" s="345"/>
      <c r="AI11" s="792" t="s">
        <v>7572</v>
      </c>
      <c r="AJ11" s="1215" t="s">
        <v>12273</v>
      </c>
      <c r="AK11" s="1215" t="s">
        <v>12274</v>
      </c>
      <c r="AL11" s="1215" t="s">
        <v>12275</v>
      </c>
      <c r="AM11" s="1212"/>
      <c r="AN11" s="1215" t="s">
        <v>12276</v>
      </c>
      <c r="AO11" s="1215" t="s">
        <v>12277</v>
      </c>
      <c r="AP11" s="1215" t="s">
        <v>12278</v>
      </c>
      <c r="AQ11" s="1215" t="s">
        <v>12279</v>
      </c>
      <c r="AR11" s="1212"/>
      <c r="AS11" s="1216" t="s">
        <v>12280</v>
      </c>
    </row>
    <row r="12" spans="2:45" ht="15.75" customHeight="1">
      <c r="B12" s="792" t="s">
        <v>7584</v>
      </c>
      <c r="C12" s="325" t="s">
        <v>4215</v>
      </c>
      <c r="D12" s="325">
        <v>3</v>
      </c>
      <c r="E12" s="1698">
        <v>0</v>
      </c>
      <c r="F12" s="1698">
        <v>0</v>
      </c>
      <c r="G12" s="1698">
        <v>0</v>
      </c>
      <c r="H12" s="2100"/>
      <c r="I12" s="793">
        <v>0</v>
      </c>
      <c r="J12" s="793">
        <v>0</v>
      </c>
      <c r="K12" s="793">
        <v>0</v>
      </c>
      <c r="L12" s="793">
        <v>0</v>
      </c>
      <c r="M12" s="2100"/>
      <c r="N12" s="794">
        <v>0</v>
      </c>
      <c r="O12" s="997"/>
      <c r="P12" s="1071" t="s">
        <v>12281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0</v>
      </c>
      <c r="AB12" s="285">
        <f t="shared" ref="AB12" si="13" xml:space="preserve"> IF( ISNUMBER(J12), 0, 1 )</f>
        <v>0</v>
      </c>
      <c r="AC12" s="285">
        <f t="shared" ref="AC12" si="14" xml:space="preserve"> IF( ISNUMBER(K12), 0, 1 )</f>
        <v>0</v>
      </c>
      <c r="AD12" s="285">
        <f t="shared" ref="AD12" si="15" xml:space="preserve"> IF( ISNUMBER(L12), 0, 1 )</f>
        <v>0</v>
      </c>
      <c r="AE12" s="284"/>
      <c r="AF12" s="285">
        <f xml:space="preserve"> IF( ISNUMBER(N12), 0, 1 )</f>
        <v>0</v>
      </c>
      <c r="AG12" s="345"/>
      <c r="AI12" s="792" t="s">
        <v>7584</v>
      </c>
      <c r="AJ12" s="1211" t="s">
        <v>12282</v>
      </c>
      <c r="AK12" s="1211" t="s">
        <v>12283</v>
      </c>
      <c r="AL12" s="1211" t="s">
        <v>12284</v>
      </c>
      <c r="AM12" s="1212"/>
      <c r="AN12" s="1213" t="s">
        <v>12285</v>
      </c>
      <c r="AO12" s="1213" t="s">
        <v>12286</v>
      </c>
      <c r="AP12" s="1213" t="s">
        <v>12287</v>
      </c>
      <c r="AQ12" s="1213" t="s">
        <v>12288</v>
      </c>
      <c r="AR12" s="1212"/>
      <c r="AS12" s="1214" t="s">
        <v>12289</v>
      </c>
    </row>
    <row r="13" spans="2:45" ht="15.75" customHeight="1" thickBot="1">
      <c r="B13" s="792" t="s">
        <v>7596</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12290</v>
      </c>
      <c r="Q13" s="197"/>
      <c r="R13" s="291"/>
      <c r="S13" s="282"/>
      <c r="T13" s="345"/>
      <c r="U13" s="284"/>
      <c r="V13" s="345"/>
      <c r="W13" s="284"/>
      <c r="X13" s="284"/>
      <c r="Y13" s="284"/>
      <c r="Z13" s="284"/>
      <c r="AA13" s="284"/>
      <c r="AB13" s="284"/>
      <c r="AC13" s="284"/>
      <c r="AD13" s="284"/>
      <c r="AE13" s="284"/>
      <c r="AF13" s="284"/>
      <c r="AG13" s="345"/>
      <c r="AI13" s="792" t="s">
        <v>7596</v>
      </c>
      <c r="AJ13" s="1215" t="s">
        <v>12291</v>
      </c>
      <c r="AK13" s="1215" t="s">
        <v>12292</v>
      </c>
      <c r="AL13" s="1215" t="s">
        <v>12293</v>
      </c>
      <c r="AM13" s="1212"/>
      <c r="AN13" s="1215" t="s">
        <v>12294</v>
      </c>
      <c r="AO13" s="1215" t="s">
        <v>12295</v>
      </c>
      <c r="AP13" s="1215" t="s">
        <v>12296</v>
      </c>
      <c r="AQ13" s="1215" t="s">
        <v>12297</v>
      </c>
      <c r="AR13" s="1212"/>
      <c r="AS13" s="1216" t="s">
        <v>12298</v>
      </c>
    </row>
    <row r="14" spans="2:45" ht="15.75" customHeight="1" thickTop="1">
      <c r="B14" s="792" t="s">
        <v>7608</v>
      </c>
      <c r="C14" s="325" t="s">
        <v>4805</v>
      </c>
      <c r="D14" s="325">
        <v>2</v>
      </c>
      <c r="E14" s="1703">
        <v>0</v>
      </c>
      <c r="F14" s="1703">
        <v>0</v>
      </c>
      <c r="G14" s="1703">
        <v>0</v>
      </c>
      <c r="H14" s="2101"/>
      <c r="I14" s="2655">
        <v>0</v>
      </c>
      <c r="J14" s="2655">
        <v>0</v>
      </c>
      <c r="K14" s="2655">
        <v>0</v>
      </c>
      <c r="L14" s="2655">
        <v>0</v>
      </c>
      <c r="M14" s="2101"/>
      <c r="N14" s="805">
        <v>0</v>
      </c>
      <c r="O14" s="1221"/>
      <c r="P14" s="1071" t="s">
        <v>12299</v>
      </c>
      <c r="Q14" s="197"/>
      <c r="R14" s="291"/>
      <c r="S14" s="282"/>
      <c r="T14" s="1165"/>
      <c r="U14" s="284">
        <f t="shared" ref="U14:U15" si="18">IF( SUM( W14:AF14 ) = 0, 0, $W$7 )</f>
        <v>0</v>
      </c>
      <c r="V14" s="1165"/>
      <c r="W14" s="285">
        <f xml:space="preserve"> IF( ISNUMBER(E14), 0, 1 )</f>
        <v>0</v>
      </c>
      <c r="X14" s="285">
        <f t="shared" ref="X14:X15" si="19" xml:space="preserve"> IF( ISNUMBER(F14), 0, 1 )</f>
        <v>0</v>
      </c>
      <c r="Y14" s="285">
        <f t="shared" ref="Y14:Y15" si="20" xml:space="preserve"> IF( ISNUMBER(G14), 0, 1 )</f>
        <v>0</v>
      </c>
      <c r="Z14" s="284"/>
      <c r="AA14" s="285">
        <f t="shared" ref="AA14:AA15" si="21" xml:space="preserve"> IF( ISNUMBER(I14), 0, 1 )</f>
        <v>0</v>
      </c>
      <c r="AB14" s="285">
        <f t="shared" ref="AB14:AB15" si="22" xml:space="preserve"> IF( ISNUMBER(J14), 0, 1 )</f>
        <v>0</v>
      </c>
      <c r="AC14" s="285">
        <f t="shared" ref="AC14:AC15" si="23" xml:space="preserve"> IF( ISNUMBER(K14), 0, 1 )</f>
        <v>0</v>
      </c>
      <c r="AD14" s="285">
        <f t="shared" ref="AD14:AD15" si="24" xml:space="preserve"> IF( ISNUMBER(L14), 0, 1 )</f>
        <v>0</v>
      </c>
      <c r="AE14" s="284"/>
      <c r="AF14" s="285">
        <f xml:space="preserve"> IF( ISNUMBER(N14), 0, 1 )</f>
        <v>0</v>
      </c>
      <c r="AG14" s="1165"/>
      <c r="AI14" s="792" t="s">
        <v>7608</v>
      </c>
      <c r="AJ14" s="1217" t="s">
        <v>12300</v>
      </c>
      <c r="AK14" s="1217" t="s">
        <v>12301</v>
      </c>
      <c r="AL14" s="1217" t="s">
        <v>12302</v>
      </c>
      <c r="AM14" s="1218"/>
      <c r="AN14" s="1219" t="s">
        <v>12303</v>
      </c>
      <c r="AO14" s="1219" t="s">
        <v>12304</v>
      </c>
      <c r="AP14" s="1219" t="s">
        <v>12305</v>
      </c>
      <c r="AQ14" s="1219" t="s">
        <v>12306</v>
      </c>
      <c r="AR14" s="1218"/>
      <c r="AS14" s="1220" t="s">
        <v>12307</v>
      </c>
    </row>
    <row r="15" spans="2:45" ht="15">
      <c r="B15" s="792" t="s">
        <v>7620</v>
      </c>
      <c r="C15" s="325" t="s">
        <v>4805</v>
      </c>
      <c r="D15" s="325">
        <v>2</v>
      </c>
      <c r="E15" s="1703">
        <v>0</v>
      </c>
      <c r="F15" s="1703">
        <v>0</v>
      </c>
      <c r="G15" s="1703">
        <v>0</v>
      </c>
      <c r="H15" s="2101"/>
      <c r="I15" s="2656">
        <v>0</v>
      </c>
      <c r="J15" s="2656">
        <v>0</v>
      </c>
      <c r="K15" s="2656">
        <v>0</v>
      </c>
      <c r="L15" s="2656">
        <v>0</v>
      </c>
      <c r="M15" s="2101"/>
      <c r="N15" s="805">
        <v>0</v>
      </c>
      <c r="O15" s="1221"/>
      <c r="P15" s="1071" t="s">
        <v>12308</v>
      </c>
      <c r="Q15" s="197"/>
      <c r="R15" s="291"/>
      <c r="S15" s="282"/>
      <c r="T15" s="1165"/>
      <c r="U15" s="284">
        <f t="shared" si="18"/>
        <v>0</v>
      </c>
      <c r="V15" s="1165"/>
      <c r="W15" s="285">
        <f xml:space="preserve"> IF( ISNUMBER(E15), 0, 1 )</f>
        <v>0</v>
      </c>
      <c r="X15" s="285">
        <f t="shared" si="19"/>
        <v>0</v>
      </c>
      <c r="Y15" s="285">
        <f t="shared" si="20"/>
        <v>0</v>
      </c>
      <c r="Z15" s="284"/>
      <c r="AA15" s="285">
        <f t="shared" si="21"/>
        <v>0</v>
      </c>
      <c r="AB15" s="285">
        <f t="shared" si="22"/>
        <v>0</v>
      </c>
      <c r="AC15" s="285">
        <f t="shared" si="23"/>
        <v>0</v>
      </c>
      <c r="AD15" s="285">
        <f t="shared" si="24"/>
        <v>0</v>
      </c>
      <c r="AE15" s="284"/>
      <c r="AF15" s="285">
        <f xml:space="preserve"> IF( ISNUMBER(N15), 0, 1 )</f>
        <v>0</v>
      </c>
      <c r="AG15" s="1165"/>
      <c r="AI15" s="792" t="s">
        <v>7620</v>
      </c>
      <c r="AJ15" s="1217" t="s">
        <v>12309</v>
      </c>
      <c r="AK15" s="1217" t="s">
        <v>12310</v>
      </c>
      <c r="AL15" s="1217" t="s">
        <v>12311</v>
      </c>
      <c r="AM15" s="1218"/>
      <c r="AN15" s="1219" t="s">
        <v>12312</v>
      </c>
      <c r="AO15" s="1219" t="s">
        <v>12313</v>
      </c>
      <c r="AP15" s="1219" t="s">
        <v>12314</v>
      </c>
      <c r="AQ15" s="1219" t="s">
        <v>12315</v>
      </c>
      <c r="AR15" s="1218"/>
      <c r="AS15" s="1220" t="s">
        <v>12316</v>
      </c>
    </row>
    <row r="16" spans="2:45" ht="15.75" customHeight="1">
      <c r="B16" s="792" t="s">
        <v>12317</v>
      </c>
      <c r="C16" s="325" t="s">
        <v>4215</v>
      </c>
      <c r="D16" s="325">
        <v>3</v>
      </c>
      <c r="E16" s="1670">
        <f>IF(E11&lt;0, E11*E14,0)</f>
        <v>0</v>
      </c>
      <c r="F16" s="1670">
        <f>IF(F11&lt;0, F11*F14,0)</f>
        <v>0</v>
      </c>
      <c r="G16" s="1670">
        <f>IF(G11&lt;0, G11*G14,0)</f>
        <v>0</v>
      </c>
      <c r="H16" s="2600"/>
      <c r="I16" s="1670">
        <f>IF(I11&lt;0, I11*I14,0)</f>
        <v>0</v>
      </c>
      <c r="J16" s="1670">
        <f>IF(J11&lt;0, J11*J14,0)</f>
        <v>0</v>
      </c>
      <c r="K16" s="1670">
        <f>IF(K11&lt;0, K11*K14,0)</f>
        <v>0</v>
      </c>
      <c r="L16" s="1670">
        <f>IF(L11&lt;0, L11*L14,0)</f>
        <v>0</v>
      </c>
      <c r="M16" s="2600"/>
      <c r="N16" s="1696">
        <f>IF(N11&lt;0, N11*N14,0)</f>
        <v>0</v>
      </c>
      <c r="O16" s="997"/>
      <c r="P16" s="1071" t="s">
        <v>12318</v>
      </c>
      <c r="Q16" s="197"/>
      <c r="R16" s="291"/>
      <c r="S16" s="282"/>
      <c r="T16" s="1165"/>
      <c r="U16" s="284"/>
      <c r="V16" s="1165"/>
      <c r="W16" s="284"/>
      <c r="X16" s="284"/>
      <c r="Y16" s="284"/>
      <c r="Z16" s="284"/>
      <c r="AA16" s="284"/>
      <c r="AB16" s="284"/>
      <c r="AC16" s="284"/>
      <c r="AD16" s="284"/>
      <c r="AE16" s="284"/>
      <c r="AF16" s="284"/>
      <c r="AG16" s="1165"/>
      <c r="AI16" s="792" t="s">
        <v>12317</v>
      </c>
      <c r="AJ16" s="1215" t="s">
        <v>12319</v>
      </c>
      <c r="AK16" s="1215" t="s">
        <v>12320</v>
      </c>
      <c r="AL16" s="1215" t="s">
        <v>12321</v>
      </c>
      <c r="AM16" s="1212"/>
      <c r="AN16" s="1215" t="s">
        <v>12322</v>
      </c>
      <c r="AO16" s="1215" t="s">
        <v>12323</v>
      </c>
      <c r="AP16" s="1215" t="s">
        <v>12324</v>
      </c>
      <c r="AQ16" s="1215" t="s">
        <v>12325</v>
      </c>
      <c r="AR16" s="1212"/>
      <c r="AS16" s="1216" t="s">
        <v>12326</v>
      </c>
    </row>
    <row r="17" spans="2:45" ht="15.75" customHeight="1">
      <c r="B17" s="792" t="s">
        <v>12327</v>
      </c>
      <c r="C17" s="325" t="s">
        <v>4215</v>
      </c>
      <c r="D17" s="325">
        <v>3</v>
      </c>
      <c r="E17" s="1670">
        <f>IF(E11&gt;0, E11*E15, 0)</f>
        <v>0</v>
      </c>
      <c r="F17" s="1670">
        <f>IF(F11&gt;0, F11*F15, 0)</f>
        <v>0</v>
      </c>
      <c r="G17" s="1670">
        <f>IF(G11&gt;0, G11*G15, 0)</f>
        <v>0</v>
      </c>
      <c r="H17" s="2600"/>
      <c r="I17" s="1670">
        <f>IF(I11&gt;0, I11*I15, 0)</f>
        <v>0</v>
      </c>
      <c r="J17" s="1670">
        <f>IF(J11&gt;0, J11*J15, 0)</f>
        <v>0</v>
      </c>
      <c r="K17" s="1670">
        <f>IF(K11&gt;0, K11*K15, 0)</f>
        <v>0</v>
      </c>
      <c r="L17" s="1670">
        <f>IF(L11&gt;0, L11*L15, 0)</f>
        <v>0</v>
      </c>
      <c r="M17" s="2600"/>
      <c r="N17" s="1696">
        <f>IF(N11&gt;0, N11*N15, 0)</f>
        <v>0</v>
      </c>
      <c r="O17" s="997"/>
      <c r="P17" s="1071" t="s">
        <v>12328</v>
      </c>
      <c r="Q17" s="197"/>
      <c r="R17" s="291"/>
      <c r="S17" s="282"/>
      <c r="T17" s="1167"/>
      <c r="U17" s="284"/>
      <c r="V17" s="1167"/>
      <c r="W17" s="284"/>
      <c r="X17" s="284"/>
      <c r="Y17" s="284"/>
      <c r="Z17" s="284"/>
      <c r="AA17" s="284"/>
      <c r="AB17" s="284"/>
      <c r="AC17" s="284"/>
      <c r="AD17" s="284"/>
      <c r="AE17" s="284"/>
      <c r="AF17" s="284"/>
      <c r="AG17" s="1167"/>
      <c r="AI17" s="792" t="s">
        <v>12327</v>
      </c>
      <c r="AJ17" s="1215" t="s">
        <v>12329</v>
      </c>
      <c r="AK17" s="1215" t="s">
        <v>12330</v>
      </c>
      <c r="AL17" s="1215" t="s">
        <v>12331</v>
      </c>
      <c r="AM17" s="1212"/>
      <c r="AN17" s="1215" t="s">
        <v>12332</v>
      </c>
      <c r="AO17" s="1215" t="s">
        <v>12333</v>
      </c>
      <c r="AP17" s="1215" t="s">
        <v>12334</v>
      </c>
      <c r="AQ17" s="1215" t="s">
        <v>12335</v>
      </c>
      <c r="AR17" s="1212"/>
      <c r="AS17" s="1216" t="s">
        <v>12336</v>
      </c>
    </row>
    <row r="18" spans="2:45" ht="15.75" customHeight="1">
      <c r="B18" s="792" t="s">
        <v>12337</v>
      </c>
      <c r="C18" s="325" t="s">
        <v>4215</v>
      </c>
      <c r="D18" s="325">
        <v>3</v>
      </c>
      <c r="E18" s="1670">
        <f>IF(E16=0, 0, E11-E16)</f>
        <v>0</v>
      </c>
      <c r="F18" s="1670">
        <f>IF(F16=0, 0, F11-F16)</f>
        <v>0</v>
      </c>
      <c r="G18" s="1670">
        <f>IF(G16=0, 0, G11-G16)</f>
        <v>0</v>
      </c>
      <c r="H18" s="2600"/>
      <c r="I18" s="1670">
        <f>IF(I16=0, 0, I11-I16)</f>
        <v>0</v>
      </c>
      <c r="J18" s="1670">
        <f>IF(J16=0, 0, J11-J16)</f>
        <v>0</v>
      </c>
      <c r="K18" s="1670">
        <f>IF(K16=0, 0, K11-K16)</f>
        <v>0</v>
      </c>
      <c r="L18" s="1670">
        <f>IF(L16=0, 0, L11-L16)</f>
        <v>0</v>
      </c>
      <c r="M18" s="2600"/>
      <c r="N18" s="1696">
        <f>IF(N16=0, 0, N11-N16)</f>
        <v>0</v>
      </c>
      <c r="O18" s="349"/>
      <c r="P18" s="1071" t="s">
        <v>12338</v>
      </c>
      <c r="Q18" s="197"/>
      <c r="R18" s="291"/>
      <c r="S18" s="436"/>
      <c r="T18" s="1167"/>
      <c r="U18" s="284"/>
      <c r="V18" s="1167"/>
      <c r="W18" s="284"/>
      <c r="X18" s="284"/>
      <c r="Y18" s="284"/>
      <c r="Z18" s="284"/>
      <c r="AA18" s="284"/>
      <c r="AB18" s="284"/>
      <c r="AC18" s="284"/>
      <c r="AD18" s="284"/>
      <c r="AE18" s="284"/>
      <c r="AF18" s="284"/>
      <c r="AG18" s="1167"/>
      <c r="AI18" s="792" t="s">
        <v>12337</v>
      </c>
      <c r="AJ18" s="1215" t="s">
        <v>12339</v>
      </c>
      <c r="AK18" s="1215" t="s">
        <v>12340</v>
      </c>
      <c r="AL18" s="1215" t="s">
        <v>12341</v>
      </c>
      <c r="AM18" s="1212"/>
      <c r="AN18" s="1215" t="s">
        <v>12342</v>
      </c>
      <c r="AO18" s="1215" t="s">
        <v>12343</v>
      </c>
      <c r="AP18" s="1215" t="s">
        <v>12344</v>
      </c>
      <c r="AQ18" s="1215" t="s">
        <v>12345</v>
      </c>
      <c r="AR18" s="1212"/>
      <c r="AS18" s="1216" t="s">
        <v>12346</v>
      </c>
    </row>
    <row r="19" spans="2:45" ht="15.75" customHeight="1" thickBot="1">
      <c r="B19" s="453" t="s">
        <v>12347</v>
      </c>
      <c r="C19" s="332" t="s">
        <v>4215</v>
      </c>
      <c r="D19" s="332">
        <v>3</v>
      </c>
      <c r="E19" s="1700">
        <f>IF(E17=0, 0, E11-E17)</f>
        <v>0</v>
      </c>
      <c r="F19" s="1700">
        <f>IF(F17=0, 0, F11-F17)</f>
        <v>0</v>
      </c>
      <c r="G19" s="1700">
        <f>IF(G17=0, 0, G11-G17)</f>
        <v>0</v>
      </c>
      <c r="H19" s="2601"/>
      <c r="I19" s="1700">
        <f>IF(I17=0, 0, I11-I17)</f>
        <v>0</v>
      </c>
      <c r="J19" s="1700">
        <f>IF(J17=0, 0, J11-J17)</f>
        <v>0</v>
      </c>
      <c r="K19" s="1700">
        <f>IF(K17=0, 0, K11-K17)</f>
        <v>0</v>
      </c>
      <c r="L19" s="1700">
        <f>IF(L17=0, 0, L11-L17)</f>
        <v>0</v>
      </c>
      <c r="M19" s="2601"/>
      <c r="N19" s="1665">
        <f>IF(N17=0, 0, N11-N17)</f>
        <v>0</v>
      </c>
      <c r="O19" s="349"/>
      <c r="P19" s="1085" t="s">
        <v>12348</v>
      </c>
      <c r="Q19" s="197"/>
      <c r="R19" s="302"/>
      <c r="S19" s="436"/>
      <c r="T19" s="1167"/>
      <c r="U19" s="284"/>
      <c r="V19" s="1167"/>
      <c r="W19" s="284"/>
      <c r="X19" s="284"/>
      <c r="Y19" s="284"/>
      <c r="Z19" s="284"/>
      <c r="AA19" s="284"/>
      <c r="AB19" s="284"/>
      <c r="AC19" s="284"/>
      <c r="AD19" s="284"/>
      <c r="AE19" s="284"/>
      <c r="AF19" s="284"/>
      <c r="AG19" s="1167"/>
      <c r="AI19" s="453" t="s">
        <v>12347</v>
      </c>
      <c r="AJ19" s="1222" t="s">
        <v>12349</v>
      </c>
      <c r="AK19" s="1222" t="s">
        <v>12350</v>
      </c>
      <c r="AL19" s="1222" t="s">
        <v>12351</v>
      </c>
      <c r="AM19" s="1223"/>
      <c r="AN19" s="1222" t="s">
        <v>12352</v>
      </c>
      <c r="AO19" s="1222" t="s">
        <v>12353</v>
      </c>
      <c r="AP19" s="1222" t="s">
        <v>12354</v>
      </c>
      <c r="AQ19" s="1222" t="s">
        <v>12355</v>
      </c>
      <c r="AR19" s="1223"/>
      <c r="AS19" s="1224" t="s">
        <v>12356</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12357</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12358</v>
      </c>
      <c r="Q21" s="197"/>
      <c r="R21" s="433"/>
      <c r="S21" s="436"/>
      <c r="T21" s="1167"/>
      <c r="U21" s="284"/>
      <c r="V21" s="1167"/>
      <c r="W21" s="284"/>
      <c r="X21" s="284"/>
      <c r="Y21" s="284"/>
      <c r="Z21" s="284"/>
      <c r="AA21" s="284"/>
      <c r="AB21" s="284"/>
      <c r="AC21" s="284"/>
      <c r="AD21" s="284"/>
      <c r="AE21" s="284"/>
      <c r="AF21" s="284"/>
      <c r="AG21" s="1167"/>
      <c r="AI21" s="814" t="s">
        <v>12357</v>
      </c>
      <c r="AJ21" s="1226" t="s">
        <v>12359</v>
      </c>
      <c r="AK21" s="1226" t="s">
        <v>12360</v>
      </c>
      <c r="AL21" s="1226" t="s">
        <v>12361</v>
      </c>
      <c r="AM21" s="1209"/>
      <c r="AN21" s="1226" t="s">
        <v>12362</v>
      </c>
      <c r="AO21" s="1226" t="s">
        <v>12363</v>
      </c>
      <c r="AP21" s="1226" t="s">
        <v>12364</v>
      </c>
      <c r="AQ21" s="1226" t="s">
        <v>12365</v>
      </c>
      <c r="AR21" s="1209"/>
      <c r="AS21" s="1227" t="s">
        <v>12366</v>
      </c>
    </row>
    <row r="22" spans="2:45" ht="15.75" customHeight="1">
      <c r="B22" s="792" t="s">
        <v>12367</v>
      </c>
      <c r="C22" s="325" t="s">
        <v>4215</v>
      </c>
      <c r="D22" s="325">
        <v>3</v>
      </c>
      <c r="E22" s="793">
        <v>0</v>
      </c>
      <c r="F22" s="793">
        <v>0</v>
      </c>
      <c r="G22" s="793">
        <v>0</v>
      </c>
      <c r="H22" s="2100"/>
      <c r="I22" s="793">
        <v>0</v>
      </c>
      <c r="J22" s="793">
        <v>0</v>
      </c>
      <c r="K22" s="793">
        <v>0</v>
      </c>
      <c r="L22" s="793">
        <v>0</v>
      </c>
      <c r="M22" s="2100"/>
      <c r="N22" s="794">
        <v>0</v>
      </c>
      <c r="O22" s="349"/>
      <c r="P22" s="1071" t="s">
        <v>12368</v>
      </c>
      <c r="Q22" s="197"/>
      <c r="R22" s="437"/>
      <c r="S22" s="436"/>
      <c r="T22" s="1167"/>
      <c r="U22" s="284">
        <f>IF( SUM( W22:AF22 ) = 0, 0, $W$7 )</f>
        <v>0</v>
      </c>
      <c r="V22" s="1167"/>
      <c r="W22" s="285">
        <f xml:space="preserve"> IF( ISNUMBER(E22), 0, 1 )</f>
        <v>0</v>
      </c>
      <c r="X22" s="285">
        <f t="shared" ref="X22" si="27" xml:space="preserve"> IF( ISNUMBER(F22), 0, 1 )</f>
        <v>0</v>
      </c>
      <c r="Y22" s="285">
        <f t="shared" ref="Y22" si="28" xml:space="preserve"> IF( ISNUMBER(G22), 0, 1 )</f>
        <v>0</v>
      </c>
      <c r="Z22" s="284"/>
      <c r="AA22" s="285">
        <f t="shared" ref="AA22" si="29" xml:space="preserve"> IF( ISNUMBER(I22), 0, 1 )</f>
        <v>0</v>
      </c>
      <c r="AB22" s="285">
        <f t="shared" ref="AB22" si="30" xml:space="preserve"> IF( ISNUMBER(J22), 0, 1 )</f>
        <v>0</v>
      </c>
      <c r="AC22" s="285">
        <f t="shared" ref="AC22" si="31" xml:space="preserve"> IF( ISNUMBER(K22), 0, 1 )</f>
        <v>0</v>
      </c>
      <c r="AD22" s="285">
        <f t="shared" ref="AD22" si="32" xml:space="preserve"> IF( ISNUMBER(L22), 0, 1 )</f>
        <v>0</v>
      </c>
      <c r="AE22" s="284"/>
      <c r="AF22" s="285">
        <f xml:space="preserve"> IF( ISNUMBER(N22), 0, 1 )</f>
        <v>0</v>
      </c>
      <c r="AG22" s="1167"/>
      <c r="AI22" s="792" t="s">
        <v>12367</v>
      </c>
      <c r="AJ22" s="1213" t="s">
        <v>12369</v>
      </c>
      <c r="AK22" s="1213" t="s">
        <v>12370</v>
      </c>
      <c r="AL22" s="1213" t="s">
        <v>12371</v>
      </c>
      <c r="AM22" s="1212"/>
      <c r="AN22" s="1213" t="s">
        <v>12372</v>
      </c>
      <c r="AO22" s="1213" t="s">
        <v>12373</v>
      </c>
      <c r="AP22" s="1213" t="s">
        <v>12374</v>
      </c>
      <c r="AQ22" s="1213" t="s">
        <v>12375</v>
      </c>
      <c r="AR22" s="1212"/>
      <c r="AS22" s="1214" t="s">
        <v>12376</v>
      </c>
    </row>
    <row r="23" spans="2:45" ht="15.75" customHeight="1" thickBot="1">
      <c r="B23" s="453" t="s">
        <v>12377</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12378</v>
      </c>
      <c r="Q23" s="197"/>
      <c r="R23" s="434"/>
      <c r="S23" s="436"/>
      <c r="T23" s="1167"/>
      <c r="U23" s="284"/>
      <c r="V23" s="1167"/>
      <c r="W23" s="284"/>
      <c r="X23" s="284"/>
      <c r="Y23" s="284"/>
      <c r="Z23" s="284"/>
      <c r="AA23" s="284"/>
      <c r="AB23" s="284"/>
      <c r="AC23" s="284"/>
      <c r="AD23" s="284"/>
      <c r="AE23" s="284"/>
      <c r="AF23" s="284"/>
      <c r="AG23" s="1167"/>
      <c r="AI23" s="453" t="s">
        <v>12377</v>
      </c>
      <c r="AJ23" s="1222" t="s">
        <v>12379</v>
      </c>
      <c r="AK23" s="1222" t="s">
        <v>12380</v>
      </c>
      <c r="AL23" s="1222" t="s">
        <v>12381</v>
      </c>
      <c r="AM23" s="1223"/>
      <c r="AN23" s="1222" t="s">
        <v>12382</v>
      </c>
      <c r="AO23" s="1222" t="s">
        <v>12383</v>
      </c>
      <c r="AP23" s="1222" t="s">
        <v>12384</v>
      </c>
      <c r="AQ23" s="1222" t="s">
        <v>12385</v>
      </c>
      <c r="AR23" s="1223"/>
      <c r="AS23" s="1224" t="s">
        <v>12386</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6" priority="15" operator="equal">
      <formula>0</formula>
    </cfRule>
  </conditionalFormatting>
  <conditionalFormatting sqref="U4:U26">
    <cfRule type="cellIs" dxfId="95" priority="1" operator="equal">
      <formula>0</formula>
    </cfRule>
  </conditionalFormatting>
  <conditionalFormatting sqref="W11:AF11 W13:AF13 W16:AF21 W23:AF26">
    <cfRule type="cellIs" dxfId="94" priority="10" operator="equal">
      <formula>0</formula>
    </cfRule>
  </conditionalFormatting>
  <conditionalFormatting sqref="Z9:Z10 AE9:AE10">
    <cfRule type="cellIs" dxfId="93" priority="9" operator="equal">
      <formula>0</formula>
    </cfRule>
  </conditionalFormatting>
  <conditionalFormatting sqref="Z12 AE12">
    <cfRule type="cellIs" dxfId="92" priority="8" operator="equal">
      <formula>0</formula>
    </cfRule>
  </conditionalFormatting>
  <conditionalFormatting sqref="Z14:Z15 AE14:AE15">
    <cfRule type="cellIs" dxfId="91" priority="6" operator="equal">
      <formula>0</formula>
    </cfRule>
  </conditionalFormatting>
  <conditionalFormatting sqref="Z22 AE22">
    <cfRule type="cellIs" dxfId="90" priority="5"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H23" sqref="H23"/>
    </sheetView>
  </sheetViews>
  <sheetFormatPr defaultColWidth="9" defaultRowHeight="15"/>
  <cols>
    <col min="1" max="1" width="1.59765625" style="2342" customWidth="1"/>
    <col min="2" max="2" width="48.59765625" style="2342" bestFit="1" customWidth="1"/>
    <col min="3" max="3" width="7.19921875" style="2342" customWidth="1"/>
    <col min="4" max="4" width="8.19921875" style="2342" customWidth="1"/>
    <col min="5" max="5" width="14.69921875" style="2342" customWidth="1"/>
    <col min="6" max="7" width="22.09765625" style="2342" customWidth="1"/>
    <col min="8" max="9" width="14.69921875" style="2342" customWidth="1"/>
    <col min="10" max="11" width="22.09765625" style="2342" customWidth="1"/>
    <col min="12" max="12" width="14.69921875" style="2342" customWidth="1"/>
    <col min="13" max="13" width="1.59765625" style="2342" customWidth="1"/>
    <col min="14" max="14" width="12.5" style="2342" customWidth="1"/>
    <col min="15" max="15" width="1.59765625" style="2342" customWidth="1"/>
    <col min="16" max="16" width="33.59765625" style="2342" customWidth="1"/>
    <col min="17" max="18" width="1.59765625" style="106" customWidth="1"/>
    <col min="19" max="19" width="25.09765625" style="106" customWidth="1"/>
    <col min="20" max="20" width="1.59765625" style="106" customWidth="1"/>
    <col min="21" max="27" width="6.09765625" style="106" hidden="1" customWidth="1"/>
    <col min="28" max="28" width="1.59765625" style="106" hidden="1" customWidth="1"/>
    <col min="29" max="29" width="1.59765625" style="2342" customWidth="1"/>
    <col min="30" max="30" width="48.59765625" style="2342" bestFit="1" customWidth="1"/>
    <col min="31" max="31" width="20.59765625" style="2342" bestFit="1" customWidth="1"/>
    <col min="32" max="33" width="22.09765625" style="2342" customWidth="1"/>
    <col min="34" max="35" width="14.69921875" style="2342" customWidth="1"/>
    <col min="36" max="37" width="22.09765625" style="2342" customWidth="1"/>
    <col min="38" max="38" width="14.69921875" style="2342" customWidth="1"/>
    <col min="39" max="16384" width="9" style="2342"/>
  </cols>
  <sheetData>
    <row r="1" spans="1:38" s="2395" customFormat="1" ht="22.8">
      <c r="A1" s="2543"/>
      <c r="B1" s="2544" t="s">
        <v>12387</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5" customFormat="1" ht="22.8">
      <c r="A2" s="2543"/>
      <c r="B2" s="2914" t="str">
        <f>SelectCompany!B4</f>
        <v>Dŵr Cymru</v>
      </c>
      <c r="C2" s="2914"/>
      <c r="D2" s="2914"/>
      <c r="E2" s="2914"/>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6" customFormat="1" ht="19.2">
      <c r="A3" s="2546"/>
      <c r="B3" s="2829" t="s">
        <v>12388</v>
      </c>
      <c r="C3" s="2829"/>
      <c r="D3" s="2829"/>
      <c r="E3" s="2829"/>
      <c r="F3" s="2829"/>
      <c r="G3" s="2829"/>
      <c r="H3" s="2829"/>
      <c r="I3" s="2829"/>
      <c r="J3" s="2829"/>
      <c r="K3" s="2829"/>
      <c r="L3" s="2829"/>
      <c r="M3" s="2829"/>
      <c r="N3" s="2829"/>
      <c r="O3" s="2829"/>
      <c r="P3" s="2829"/>
      <c r="Q3" s="969"/>
      <c r="R3" s="1165"/>
      <c r="S3" s="650" t="s">
        <v>4200</v>
      </c>
      <c r="T3" s="1165"/>
      <c r="U3" s="106"/>
      <c r="V3" s="106"/>
      <c r="W3" s="106"/>
      <c r="X3" s="106"/>
      <c r="Y3" s="106"/>
      <c r="Z3" s="106"/>
      <c r="AA3" s="106"/>
      <c r="AB3" s="1165"/>
      <c r="AC3" s="2546"/>
      <c r="AD3" s="2829" t="s">
        <v>12388</v>
      </c>
      <c r="AE3" s="2829"/>
      <c r="AF3" s="2829"/>
      <c r="AG3" s="2829"/>
      <c r="AH3" s="2829"/>
      <c r="AI3" s="2829"/>
      <c r="AJ3" s="2829"/>
      <c r="AK3" s="2829"/>
      <c r="AL3" s="2829"/>
    </row>
    <row r="4" spans="1:38" s="2396" customFormat="1" ht="19.2"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7" customFormat="1" ht="15" customHeight="1" thickTop="1">
      <c r="A5" s="272"/>
      <c r="B5" s="2734" t="s">
        <v>4202</v>
      </c>
      <c r="C5" s="2915" t="s">
        <v>4203</v>
      </c>
      <c r="D5" s="2915" t="s">
        <v>4204</v>
      </c>
      <c r="E5" s="2715" t="s">
        <v>12389</v>
      </c>
      <c r="F5" s="2715"/>
      <c r="G5" s="2715"/>
      <c r="H5" s="2715"/>
      <c r="I5" s="2715" t="s">
        <v>12390</v>
      </c>
      <c r="J5" s="2715"/>
      <c r="K5" s="2715"/>
      <c r="L5" s="2717"/>
      <c r="M5" s="272"/>
      <c r="N5" s="2811" t="s">
        <v>4208</v>
      </c>
      <c r="O5" s="272"/>
      <c r="P5" s="2811" t="s">
        <v>4209</v>
      </c>
      <c r="Q5" s="969"/>
      <c r="R5" s="1165"/>
      <c r="S5" s="284"/>
      <c r="T5" s="1165"/>
      <c r="U5" s="106"/>
      <c r="V5" s="106"/>
      <c r="W5" s="106"/>
      <c r="X5" s="106"/>
      <c r="Y5" s="106"/>
      <c r="Z5" s="106"/>
      <c r="AA5" s="106"/>
      <c r="AB5" s="1165"/>
      <c r="AC5" s="272"/>
      <c r="AD5" s="2734" t="s">
        <v>4202</v>
      </c>
      <c r="AE5" s="2715" t="s">
        <v>12389</v>
      </c>
      <c r="AF5" s="2715"/>
      <c r="AG5" s="2715"/>
      <c r="AH5" s="2715"/>
      <c r="AI5" s="2715" t="s">
        <v>12390</v>
      </c>
      <c r="AJ5" s="2715"/>
      <c r="AK5" s="2715"/>
      <c r="AL5" s="2717"/>
    </row>
    <row r="6" spans="1:38" s="2397" customFormat="1" ht="15" customHeight="1" thickBot="1">
      <c r="A6" s="272"/>
      <c r="B6" s="2735"/>
      <c r="C6" s="2916"/>
      <c r="D6" s="2916"/>
      <c r="E6" s="271" t="s">
        <v>12391</v>
      </c>
      <c r="F6" s="271" t="s">
        <v>12392</v>
      </c>
      <c r="G6" s="271" t="s">
        <v>12393</v>
      </c>
      <c r="H6" s="271" t="s">
        <v>4425</v>
      </c>
      <c r="I6" s="271" t="s">
        <v>12391</v>
      </c>
      <c r="J6" s="271" t="s">
        <v>12392</v>
      </c>
      <c r="K6" s="271" t="s">
        <v>12393</v>
      </c>
      <c r="L6" s="672" t="s">
        <v>4425</v>
      </c>
      <c r="M6" s="272"/>
      <c r="N6" s="2813"/>
      <c r="O6" s="272"/>
      <c r="P6" s="2813"/>
      <c r="Q6" s="2410"/>
      <c r="R6" s="1165"/>
      <c r="S6" s="284"/>
      <c r="T6" s="1165"/>
      <c r="U6" s="2710" t="s">
        <v>4201</v>
      </c>
      <c r="V6" s="2710"/>
      <c r="W6" s="2710"/>
      <c r="X6" s="2710"/>
      <c r="Y6" s="2710"/>
      <c r="Z6" s="2710"/>
      <c r="AA6" s="2710"/>
      <c r="AB6" s="1165"/>
      <c r="AC6" s="272"/>
      <c r="AD6" s="2735"/>
      <c r="AE6" s="271" t="s">
        <v>12391</v>
      </c>
      <c r="AF6" s="271" t="s">
        <v>12392</v>
      </c>
      <c r="AG6" s="271" t="s">
        <v>12393</v>
      </c>
      <c r="AH6" s="271" t="s">
        <v>4425</v>
      </c>
      <c r="AI6" s="271" t="s">
        <v>12391</v>
      </c>
      <c r="AJ6" s="271" t="s">
        <v>12392</v>
      </c>
      <c r="AK6" s="271" t="s">
        <v>12393</v>
      </c>
      <c r="AL6" s="672" t="s">
        <v>4425</v>
      </c>
    </row>
    <row r="7" spans="1:38" s="2397"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7" customFormat="1" ht="15" customHeight="1" thickTop="1">
      <c r="A8" s="272"/>
      <c r="B8" s="396" t="s">
        <v>12394</v>
      </c>
      <c r="C8" s="2549" t="s">
        <v>4215</v>
      </c>
      <c r="D8" s="2549">
        <v>3</v>
      </c>
      <c r="E8" s="2398">
        <v>-4.6820000000000004</v>
      </c>
      <c r="F8" s="2398">
        <v>0</v>
      </c>
      <c r="G8" s="2398">
        <v>0</v>
      </c>
      <c r="H8" s="2399">
        <f t="shared" ref="H8:H12" si="0">SUM(E8:G8)</f>
        <v>-4.6820000000000004</v>
      </c>
      <c r="I8" s="2398">
        <v>-4.6820000000000004</v>
      </c>
      <c r="J8" s="2398">
        <v>0</v>
      </c>
      <c r="K8" s="2400">
        <v>0</v>
      </c>
      <c r="L8" s="2401">
        <f t="shared" ref="L8:L13" si="1">SUM(I8:K8)</f>
        <v>-4.6820000000000004</v>
      </c>
      <c r="M8" s="272"/>
      <c r="N8" s="1040" t="s">
        <v>12395</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12394</v>
      </c>
      <c r="AE8" s="2398" t="s">
        <v>17644</v>
      </c>
      <c r="AF8" s="2398" t="s">
        <v>17645</v>
      </c>
      <c r="AG8" s="2398" t="s">
        <v>17646</v>
      </c>
      <c r="AH8" s="2399" t="s">
        <v>17647</v>
      </c>
      <c r="AI8" s="2398" t="s">
        <v>17648</v>
      </c>
      <c r="AJ8" s="2398" t="s">
        <v>17649</v>
      </c>
      <c r="AK8" s="2400" t="s">
        <v>17650</v>
      </c>
      <c r="AL8" s="2401" t="s">
        <v>17651</v>
      </c>
    </row>
    <row r="9" spans="1:38" s="2397" customFormat="1" ht="15" customHeight="1">
      <c r="A9" s="272"/>
      <c r="B9" s="403" t="s">
        <v>12396</v>
      </c>
      <c r="C9" s="2550" t="s">
        <v>4215</v>
      </c>
      <c r="D9" s="2550">
        <v>3</v>
      </c>
      <c r="E9" s="2402">
        <v>-4.1310000000000002</v>
      </c>
      <c r="F9" s="2402">
        <v>0</v>
      </c>
      <c r="G9" s="2402">
        <v>0</v>
      </c>
      <c r="H9" s="2403">
        <f t="shared" si="0"/>
        <v>-4.1310000000000002</v>
      </c>
      <c r="I9" s="2402">
        <v>-4.1310000000000002</v>
      </c>
      <c r="J9" s="2402">
        <v>0</v>
      </c>
      <c r="K9" s="2404">
        <v>0</v>
      </c>
      <c r="L9" s="2405">
        <f t="shared" si="1"/>
        <v>-4.1310000000000002</v>
      </c>
      <c r="M9" s="272"/>
      <c r="N9" s="1041" t="s">
        <v>12397</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12396</v>
      </c>
      <c r="AE9" s="2402" t="s">
        <v>17652</v>
      </c>
      <c r="AF9" s="2402" t="s">
        <v>17653</v>
      </c>
      <c r="AG9" s="2402" t="s">
        <v>17654</v>
      </c>
      <c r="AH9" s="2403" t="s">
        <v>17655</v>
      </c>
      <c r="AI9" s="2402" t="s">
        <v>17656</v>
      </c>
      <c r="AJ9" s="2402" t="s">
        <v>17657</v>
      </c>
      <c r="AK9" s="2404" t="s">
        <v>17658</v>
      </c>
      <c r="AL9" s="2405" t="s">
        <v>17659</v>
      </c>
    </row>
    <row r="10" spans="1:38" s="2397" customFormat="1" ht="15" customHeight="1">
      <c r="A10" s="272"/>
      <c r="B10" s="403" t="s">
        <v>12398</v>
      </c>
      <c r="C10" s="2550" t="s">
        <v>4215</v>
      </c>
      <c r="D10" s="2550">
        <v>3</v>
      </c>
      <c r="E10" s="2402">
        <v>48.838000000000001</v>
      </c>
      <c r="F10" s="2402">
        <v>0</v>
      </c>
      <c r="G10" s="2402">
        <v>0</v>
      </c>
      <c r="H10" s="2403">
        <f t="shared" si="0"/>
        <v>48.838000000000001</v>
      </c>
      <c r="I10" s="2402">
        <v>48.838000000000001</v>
      </c>
      <c r="J10" s="2402">
        <v>0</v>
      </c>
      <c r="K10" s="2404">
        <v>0</v>
      </c>
      <c r="L10" s="2405">
        <f t="shared" si="1"/>
        <v>48.838000000000001</v>
      </c>
      <c r="M10" s="272"/>
      <c r="N10" s="1041" t="s">
        <v>12399</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12398</v>
      </c>
      <c r="AE10" s="2402" t="s">
        <v>17660</v>
      </c>
      <c r="AF10" s="2402" t="s">
        <v>17661</v>
      </c>
      <c r="AG10" s="2402" t="s">
        <v>17662</v>
      </c>
      <c r="AH10" s="2403" t="s">
        <v>17663</v>
      </c>
      <c r="AI10" s="2402" t="s">
        <v>17664</v>
      </c>
      <c r="AJ10" s="2402" t="s">
        <v>17665</v>
      </c>
      <c r="AK10" s="2404" t="s">
        <v>17666</v>
      </c>
      <c r="AL10" s="2405" t="s">
        <v>17667</v>
      </c>
    </row>
    <row r="11" spans="1:38" s="2397" customFormat="1" ht="15" customHeight="1">
      <c r="A11" s="272"/>
      <c r="B11" s="403" t="s">
        <v>12400</v>
      </c>
      <c r="C11" s="2550" t="s">
        <v>4215</v>
      </c>
      <c r="D11" s="2550">
        <v>3</v>
      </c>
      <c r="E11" s="2402">
        <v>0</v>
      </c>
      <c r="F11" s="2402">
        <v>0</v>
      </c>
      <c r="G11" s="2402">
        <v>0</v>
      </c>
      <c r="H11" s="2403">
        <f t="shared" si="0"/>
        <v>0</v>
      </c>
      <c r="I11" s="2402">
        <v>0</v>
      </c>
      <c r="J11" s="2402">
        <v>0</v>
      </c>
      <c r="K11" s="2404">
        <v>0</v>
      </c>
      <c r="L11" s="2405">
        <f t="shared" si="1"/>
        <v>0</v>
      </c>
      <c r="M11" s="272"/>
      <c r="N11" s="1041" t="s">
        <v>12401</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12400</v>
      </c>
      <c r="AE11" s="2402" t="s">
        <v>17668</v>
      </c>
      <c r="AF11" s="2402" t="s">
        <v>17669</v>
      </c>
      <c r="AG11" s="2402" t="s">
        <v>17670</v>
      </c>
      <c r="AH11" s="2403" t="s">
        <v>17671</v>
      </c>
      <c r="AI11" s="2402" t="s">
        <v>17672</v>
      </c>
      <c r="AJ11" s="2402" t="s">
        <v>17673</v>
      </c>
      <c r="AK11" s="2404" t="s">
        <v>17674</v>
      </c>
      <c r="AL11" s="2405" t="s">
        <v>17675</v>
      </c>
    </row>
    <row r="12" spans="1:38" s="2397" customFormat="1" ht="15" customHeight="1">
      <c r="A12" s="272"/>
      <c r="B12" s="403" t="s">
        <v>12402</v>
      </c>
      <c r="C12" s="2550" t="s">
        <v>4215</v>
      </c>
      <c r="D12" s="2550">
        <v>3</v>
      </c>
      <c r="E12" s="2402">
        <v>100.96899999999999</v>
      </c>
      <c r="F12" s="2402">
        <v>0</v>
      </c>
      <c r="G12" s="2402">
        <v>0</v>
      </c>
      <c r="H12" s="2403">
        <f t="shared" si="0"/>
        <v>100.96899999999999</v>
      </c>
      <c r="I12" s="2402">
        <v>100.96899999999999</v>
      </c>
      <c r="J12" s="2402">
        <v>0</v>
      </c>
      <c r="K12" s="2404">
        <v>0</v>
      </c>
      <c r="L12" s="2405">
        <f t="shared" si="1"/>
        <v>100.96899999999999</v>
      </c>
      <c r="M12" s="272"/>
      <c r="N12" s="1041" t="s">
        <v>12403</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12402</v>
      </c>
      <c r="AE12" s="2402" t="s">
        <v>17676</v>
      </c>
      <c r="AF12" s="2402" t="s">
        <v>17677</v>
      </c>
      <c r="AG12" s="2402" t="s">
        <v>17678</v>
      </c>
      <c r="AH12" s="2403" t="s">
        <v>17679</v>
      </c>
      <c r="AI12" s="2402" t="s">
        <v>17680</v>
      </c>
      <c r="AJ12" s="2402" t="s">
        <v>17681</v>
      </c>
      <c r="AK12" s="2404" t="s">
        <v>17682</v>
      </c>
      <c r="AL12" s="2405" t="s">
        <v>17683</v>
      </c>
    </row>
    <row r="13" spans="1:38" s="2397" customFormat="1" ht="15" customHeight="1">
      <c r="A13" s="272"/>
      <c r="B13" s="403" t="s">
        <v>12404</v>
      </c>
      <c r="C13" s="2550" t="s">
        <v>4215</v>
      </c>
      <c r="D13" s="2550">
        <v>3</v>
      </c>
      <c r="E13" s="2402">
        <v>293.65499999999997</v>
      </c>
      <c r="F13" s="2402">
        <v>0</v>
      </c>
      <c r="G13" s="2402">
        <v>0</v>
      </c>
      <c r="H13" s="2403">
        <f>SUM(E13:G13)</f>
        <v>293.65499999999997</v>
      </c>
      <c r="I13" s="2402">
        <v>293.65499999999997</v>
      </c>
      <c r="J13" s="2402">
        <v>0</v>
      </c>
      <c r="K13" s="2404">
        <v>0</v>
      </c>
      <c r="L13" s="2405">
        <f t="shared" si="1"/>
        <v>293.65499999999997</v>
      </c>
      <c r="M13" s="272"/>
      <c r="N13" s="1041" t="s">
        <v>12405</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12404</v>
      </c>
      <c r="AE13" s="2402" t="s">
        <v>17684</v>
      </c>
      <c r="AF13" s="2402" t="s">
        <v>17685</v>
      </c>
      <c r="AG13" s="2402" t="s">
        <v>17686</v>
      </c>
      <c r="AH13" s="2403" t="s">
        <v>17687</v>
      </c>
      <c r="AI13" s="2402" t="s">
        <v>17688</v>
      </c>
      <c r="AJ13" s="2402" t="s">
        <v>17689</v>
      </c>
      <c r="AK13" s="2404" t="s">
        <v>17690</v>
      </c>
      <c r="AL13" s="2405" t="s">
        <v>17691</v>
      </c>
    </row>
    <row r="14" spans="1:38" s="2397" customFormat="1" ht="15" customHeight="1" thickBot="1">
      <c r="A14" s="272"/>
      <c r="B14" s="406" t="s">
        <v>4425</v>
      </c>
      <c r="C14" s="2409" t="s">
        <v>4215</v>
      </c>
      <c r="D14" s="2409">
        <v>3</v>
      </c>
      <c r="E14" s="2406">
        <f>IFERROR(SUM(E8:E13), 0)</f>
        <v>434.649</v>
      </c>
      <c r="F14" s="2406">
        <f t="shared" ref="F14:L14" si="11">IFERROR(SUM(F8:F13), 0)</f>
        <v>0</v>
      </c>
      <c r="G14" s="2406">
        <f t="shared" si="11"/>
        <v>0</v>
      </c>
      <c r="H14" s="2406">
        <f t="shared" si="11"/>
        <v>434.649</v>
      </c>
      <c r="I14" s="2406">
        <f>IFERROR(SUM(I8:I13), 0)</f>
        <v>434.649</v>
      </c>
      <c r="J14" s="2406">
        <f t="shared" si="11"/>
        <v>0</v>
      </c>
      <c r="K14" s="2407">
        <f t="shared" si="11"/>
        <v>0</v>
      </c>
      <c r="L14" s="2408">
        <f t="shared" si="11"/>
        <v>434.649</v>
      </c>
      <c r="M14" s="272"/>
      <c r="N14" s="1043" t="s">
        <v>12406</v>
      </c>
      <c r="O14" s="272"/>
      <c r="P14" s="560"/>
      <c r="Q14" s="1031"/>
      <c r="R14" s="1165"/>
      <c r="S14" s="284">
        <f>IF( SUM( U14:AA14 ) = 0, 0, $W$7 )</f>
        <v>0</v>
      </c>
      <c r="T14" s="1165"/>
      <c r="U14" s="106"/>
      <c r="V14" s="106"/>
      <c r="W14" s="106"/>
      <c r="X14" s="106"/>
      <c r="Y14" s="106"/>
      <c r="Z14" s="106"/>
      <c r="AA14" s="106"/>
      <c r="AB14" s="1165"/>
      <c r="AC14" s="272"/>
      <c r="AD14" s="406" t="s">
        <v>4425</v>
      </c>
      <c r="AE14" s="2406" t="s">
        <v>17692</v>
      </c>
      <c r="AF14" s="2406" t="s">
        <v>17693</v>
      </c>
      <c r="AG14" s="2406" t="s">
        <v>17694</v>
      </c>
      <c r="AH14" s="2406" t="s">
        <v>17695</v>
      </c>
      <c r="AI14" s="2406" t="s">
        <v>17696</v>
      </c>
      <c r="AJ14" s="2406" t="s">
        <v>17697</v>
      </c>
      <c r="AK14" s="2407" t="s">
        <v>17698</v>
      </c>
      <c r="AL14" s="2408" t="s">
        <v>17699</v>
      </c>
    </row>
    <row r="15" spans="1:38" ht="15.6"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ht="15.6">
      <c r="G17" s="260"/>
      <c r="H17" s="260"/>
      <c r="I17" s="224"/>
      <c r="J17" s="224"/>
      <c r="K17" s="106"/>
      <c r="L17" s="17"/>
      <c r="M17" s="17"/>
      <c r="N17" s="17"/>
      <c r="O17" s="17"/>
      <c r="P17" s="17"/>
      <c r="AC17" s="17"/>
      <c r="AD17" s="17"/>
      <c r="AE17" s="17"/>
      <c r="AF17" s="17"/>
      <c r="AG17" s="260"/>
      <c r="AH17" s="260"/>
      <c r="AI17" s="224"/>
      <c r="AJ17" s="224"/>
      <c r="AK17" s="106"/>
    </row>
    <row r="18" spans="7:37" ht="15.6">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89" priority="7" operator="equal">
      <formula>0</formula>
    </cfRule>
  </conditionalFormatting>
  <conditionalFormatting sqref="S4:S14">
    <cfRule type="cellIs" dxfId="88" priority="2" operator="equal">
      <formula>0</formula>
    </cfRule>
  </conditionalFormatting>
  <conditionalFormatting sqref="U11:AA11 U13:AA13">
    <cfRule type="cellIs" dxfId="87" priority="19" operator="equal">
      <formula>0</formula>
    </cfRule>
  </conditionalFormatting>
  <conditionalFormatting sqref="X8:X13">
    <cfRule type="cellIs" dxfId="86"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3" zoomScale="70" zoomScaleNormal="70" workbookViewId="0">
      <selection activeCell="I30" sqref="I30"/>
    </sheetView>
  </sheetViews>
  <sheetFormatPr defaultColWidth="9" defaultRowHeight="15" zeroHeight="1"/>
  <cols>
    <col min="1" max="1" width="1.59765625" style="2342" customWidth="1"/>
    <col min="2" max="2" width="48.59765625" style="2342" bestFit="1" customWidth="1"/>
    <col min="3" max="3" width="7.19921875" style="2342" customWidth="1"/>
    <col min="4" max="4" width="8.19921875" style="2342" customWidth="1"/>
    <col min="5" max="7" width="27.09765625" style="2342" customWidth="1"/>
    <col min="8" max="8" width="1.59765625" style="2342" customWidth="1"/>
    <col min="9" max="9" width="12.5" style="2342" customWidth="1"/>
    <col min="10" max="10" width="1.59765625" style="2342" customWidth="1"/>
    <col min="11" max="11" width="33.59765625" style="2342" customWidth="1"/>
    <col min="12" max="13" width="1.59765625" style="106" customWidth="1"/>
    <col min="14" max="14" width="25.09765625" style="106" customWidth="1"/>
    <col min="15" max="15" width="1.59765625" style="106" customWidth="1"/>
    <col min="16" max="18" width="6.09765625" style="106" hidden="1" customWidth="1"/>
    <col min="19" max="19" width="1.59765625" style="106" hidden="1" customWidth="1"/>
    <col min="20" max="20" width="1.59765625" style="2342" customWidth="1"/>
    <col min="21" max="21" width="48.59765625" style="2342" bestFit="1" customWidth="1"/>
    <col min="22" max="24" width="27.09765625" style="2342" customWidth="1"/>
    <col min="25" max="16384" width="9" style="2342"/>
  </cols>
  <sheetData>
    <row r="1" spans="1:25" s="2395" customFormat="1" ht="22.8">
      <c r="A1" s="2543"/>
      <c r="B1" s="2544" t="s">
        <v>12407</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5" customFormat="1" ht="22.8">
      <c r="A2" s="2543"/>
      <c r="B2" s="2914" t="str">
        <f>SelectCompany!B4</f>
        <v>Dŵr Cymru</v>
      </c>
      <c r="C2" s="2914"/>
      <c r="D2" s="2914"/>
      <c r="E2" s="2914"/>
      <c r="F2" s="2545"/>
      <c r="G2" s="2545"/>
      <c r="H2" s="2543"/>
      <c r="I2" s="2543"/>
      <c r="J2" s="2543"/>
      <c r="K2" s="2543"/>
      <c r="L2" s="969"/>
      <c r="M2" s="1165"/>
      <c r="N2" s="284"/>
      <c r="O2" s="1165"/>
      <c r="P2" s="106"/>
      <c r="Q2" s="106"/>
      <c r="R2" s="106"/>
      <c r="S2" s="1165"/>
      <c r="T2" s="649"/>
      <c r="U2" s="2544"/>
      <c r="V2" s="2544"/>
      <c r="W2" s="2545"/>
      <c r="X2" s="2545"/>
      <c r="Y2" s="2545"/>
    </row>
    <row r="3" spans="1:25" s="2396" customFormat="1" ht="19.2">
      <c r="A3" s="2546"/>
      <c r="B3" s="2829" t="s">
        <v>12408</v>
      </c>
      <c r="C3" s="2829"/>
      <c r="D3" s="2829"/>
      <c r="E3" s="2829"/>
      <c r="F3" s="2829"/>
      <c r="G3" s="2829"/>
      <c r="H3" s="2829"/>
      <c r="I3" s="2829"/>
      <c r="J3" s="2829"/>
      <c r="K3" s="2829"/>
      <c r="L3" s="969"/>
      <c r="M3" s="1165"/>
      <c r="N3" s="650" t="s">
        <v>4200</v>
      </c>
      <c r="O3" s="1165"/>
      <c r="P3" s="106"/>
      <c r="Q3" s="106"/>
      <c r="R3" s="106"/>
      <c r="S3" s="1165"/>
      <c r="T3" s="651"/>
      <c r="U3" s="2829" t="s">
        <v>12408</v>
      </c>
      <c r="V3" s="2829"/>
      <c r="W3" s="2829"/>
      <c r="X3" s="2829"/>
      <c r="Y3" s="2545"/>
    </row>
    <row r="4" spans="1:25" s="2396" customFormat="1" ht="19.2"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7" customFormat="1" ht="16.05" customHeight="1" thickTop="1">
      <c r="A5" s="272"/>
      <c r="B5" s="2734" t="s">
        <v>4202</v>
      </c>
      <c r="C5" s="2915" t="s">
        <v>4203</v>
      </c>
      <c r="D5" s="2915" t="s">
        <v>4204</v>
      </c>
      <c r="E5" s="2715" t="s">
        <v>12409</v>
      </c>
      <c r="F5" s="2715"/>
      <c r="G5" s="2717"/>
      <c r="H5" s="272"/>
      <c r="I5" s="2811" t="s">
        <v>4208</v>
      </c>
      <c r="J5" s="272"/>
      <c r="K5" s="2811" t="s">
        <v>4209</v>
      </c>
      <c r="L5" s="969"/>
      <c r="M5" s="1165"/>
      <c r="N5" s="284"/>
      <c r="O5" s="1165"/>
      <c r="P5" s="106"/>
      <c r="Q5" s="106"/>
      <c r="R5" s="106"/>
      <c r="S5" s="1165"/>
      <c r="T5" s="197"/>
      <c r="U5" s="2734" t="s">
        <v>4202</v>
      </c>
      <c r="V5" s="2715" t="s">
        <v>12409</v>
      </c>
      <c r="W5" s="2715"/>
      <c r="X5" s="2717"/>
      <c r="Y5" s="2545"/>
    </row>
    <row r="6" spans="1:25" s="2397" customFormat="1" ht="16.2" thickBot="1">
      <c r="A6" s="272"/>
      <c r="B6" s="2735"/>
      <c r="C6" s="2916"/>
      <c r="D6" s="2916"/>
      <c r="E6" s="271" t="s">
        <v>12410</v>
      </c>
      <c r="F6" s="271" t="s">
        <v>12411</v>
      </c>
      <c r="G6" s="672" t="s">
        <v>12412</v>
      </c>
      <c r="H6" s="272"/>
      <c r="I6" s="2813"/>
      <c r="J6" s="272"/>
      <c r="K6" s="2813"/>
      <c r="L6" s="2410"/>
      <c r="M6" s="1165"/>
      <c r="N6" s="284"/>
      <c r="O6" s="1165"/>
      <c r="P6" s="2710" t="s">
        <v>4201</v>
      </c>
      <c r="Q6" s="2710"/>
      <c r="R6" s="2710"/>
      <c r="S6" s="1165"/>
      <c r="T6" s="197"/>
      <c r="U6" s="2735"/>
      <c r="V6" s="271" t="s">
        <v>12410</v>
      </c>
      <c r="W6" s="271" t="s">
        <v>12411</v>
      </c>
      <c r="X6" s="672" t="s">
        <v>12412</v>
      </c>
      <c r="Y6" s="2545"/>
    </row>
    <row r="7" spans="1:25" s="2397" customFormat="1" ht="16.8"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7" customFormat="1" ht="16.8" thickTop="1" thickBot="1">
      <c r="A8" s="272"/>
      <c r="B8" s="784" t="s">
        <v>12413</v>
      </c>
      <c r="C8" s="2411"/>
      <c r="D8" s="2411"/>
      <c r="E8" s="1037"/>
      <c r="F8" s="274"/>
      <c r="G8" s="2552"/>
      <c r="H8" s="272"/>
      <c r="I8" s="272"/>
      <c r="J8" s="272"/>
      <c r="K8" s="272"/>
      <c r="L8" s="1031"/>
      <c r="M8" s="345"/>
      <c r="N8" s="2413"/>
      <c r="O8" s="345"/>
      <c r="P8" s="106"/>
      <c r="Q8" s="106"/>
      <c r="R8" s="106"/>
      <c r="S8" s="345"/>
      <c r="T8" s="197"/>
      <c r="U8" s="784" t="s">
        <v>12413</v>
      </c>
      <c r="V8" s="1037"/>
      <c r="W8" s="274"/>
      <c r="X8" s="2552"/>
      <c r="Y8" s="2545"/>
    </row>
    <row r="9" spans="1:25" s="2397" customFormat="1" ht="16.2" thickTop="1">
      <c r="A9" s="272"/>
      <c r="B9" s="396" t="s">
        <v>12414</v>
      </c>
      <c r="C9" s="2549" t="s">
        <v>6861</v>
      </c>
      <c r="D9" s="2549" t="s">
        <v>8431</v>
      </c>
      <c r="E9" s="2398" t="s">
        <v>18781</v>
      </c>
      <c r="F9" s="2398" t="s">
        <v>8431</v>
      </c>
      <c r="G9" s="2553" t="s">
        <v>8431</v>
      </c>
      <c r="H9" s="272"/>
      <c r="I9" s="1040" t="s">
        <v>12415</v>
      </c>
      <c r="J9" s="272"/>
      <c r="K9" s="1040"/>
      <c r="L9" s="1031"/>
      <c r="M9" s="345"/>
      <c r="N9" s="2413"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12414</v>
      </c>
      <c r="V9" s="2398" t="s">
        <v>12416</v>
      </c>
      <c r="W9" s="2398" t="s">
        <v>12417</v>
      </c>
      <c r="X9" s="2553" t="s">
        <v>12418</v>
      </c>
      <c r="Y9" s="2545"/>
    </row>
    <row r="10" spans="1:25" s="2397" customFormat="1" ht="16.2" thickBot="1">
      <c r="A10" s="272"/>
      <c r="B10" s="406" t="s">
        <v>12419</v>
      </c>
      <c r="C10" s="2409" t="s">
        <v>6861</v>
      </c>
      <c r="D10" s="2409" t="s">
        <v>8431</v>
      </c>
      <c r="E10" s="2414" t="s">
        <v>18782</v>
      </c>
      <c r="F10" s="2414" t="s">
        <v>8431</v>
      </c>
      <c r="G10" s="2554" t="s">
        <v>8431</v>
      </c>
      <c r="H10" s="272"/>
      <c r="I10" s="1043" t="s">
        <v>12420</v>
      </c>
      <c r="J10" s="272"/>
      <c r="K10" s="1043"/>
      <c r="L10" s="1031"/>
      <c r="M10" s="345"/>
      <c r="N10" s="2413"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12419</v>
      </c>
      <c r="V10" s="2414" t="s">
        <v>12421</v>
      </c>
      <c r="W10" s="2414" t="s">
        <v>12422</v>
      </c>
      <c r="X10" s="2554" t="s">
        <v>12423</v>
      </c>
      <c r="Y10" s="2545"/>
    </row>
    <row r="11" spans="1:25" s="2397" customFormat="1" ht="16.8" thickTop="1" thickBot="1">
      <c r="A11" s="272"/>
      <c r="B11" s="969"/>
      <c r="C11" s="1002"/>
      <c r="D11" s="1002"/>
      <c r="E11" s="1630"/>
      <c r="F11" s="2555"/>
      <c r="G11" s="2555"/>
      <c r="H11" s="272"/>
      <c r="I11" s="1805"/>
      <c r="J11" s="272"/>
      <c r="K11" s="272"/>
      <c r="L11" s="1031"/>
      <c r="M11" s="345"/>
      <c r="N11" s="2413"/>
      <c r="O11" s="345"/>
      <c r="P11" s="106"/>
      <c r="Q11" s="106"/>
      <c r="R11" s="106"/>
      <c r="S11" s="345"/>
      <c r="T11" s="197"/>
      <c r="U11" s="969"/>
      <c r="V11" s="1630"/>
      <c r="W11" s="2555"/>
      <c r="X11" s="2555"/>
      <c r="Y11" s="2545"/>
    </row>
    <row r="12" spans="1:25" s="2397" customFormat="1" ht="16.8" thickTop="1" thickBot="1">
      <c r="A12" s="272"/>
      <c r="B12" s="784" t="s">
        <v>12424</v>
      </c>
      <c r="C12" s="2412"/>
      <c r="D12" s="2412"/>
      <c r="E12" s="1643"/>
      <c r="F12" s="1630"/>
      <c r="G12" s="1630"/>
      <c r="H12" s="272"/>
      <c r="I12" s="1805"/>
      <c r="J12" s="272"/>
      <c r="K12" s="272"/>
      <c r="L12" s="1031"/>
      <c r="M12" s="345"/>
      <c r="N12" s="2413"/>
      <c r="O12" s="345"/>
      <c r="P12" s="106"/>
      <c r="Q12" s="106"/>
      <c r="R12" s="106"/>
      <c r="S12" s="345"/>
      <c r="T12" s="197"/>
      <c r="U12" s="784" t="s">
        <v>12424</v>
      </c>
      <c r="V12" s="1643"/>
      <c r="W12" s="1630"/>
      <c r="X12" s="1630"/>
      <c r="Y12" s="2545"/>
    </row>
    <row r="13" spans="1:25" s="2397" customFormat="1" ht="16.2" thickTop="1">
      <c r="A13" s="272"/>
      <c r="B13" s="396" t="s">
        <v>12425</v>
      </c>
      <c r="C13" s="2549" t="s">
        <v>4215</v>
      </c>
      <c r="D13" s="2549">
        <v>3</v>
      </c>
      <c r="E13" s="2398">
        <v>412.07799999999997</v>
      </c>
      <c r="F13" s="2398">
        <v>0</v>
      </c>
      <c r="G13" s="2553">
        <v>0</v>
      </c>
      <c r="H13" s="272"/>
      <c r="I13" s="1040" t="s">
        <v>12426</v>
      </c>
      <c r="J13" s="272"/>
      <c r="K13" s="557"/>
      <c r="L13" s="1031"/>
      <c r="M13" s="345"/>
      <c r="N13" s="2413">
        <f xml:space="preserve"> IF( SUM( P13:R13 ) = 0, 0,$P$7)</f>
        <v>0</v>
      </c>
      <c r="O13" s="345"/>
      <c r="P13" s="285">
        <f xml:space="preserve"> IF( ISNUMBER(E13), 0, 1 )</f>
        <v>0</v>
      </c>
      <c r="Q13" s="285">
        <f t="shared" ref="Q13:Q14" si="3" xml:space="preserve"> IF( ISNUMBER(F13), 0, 1 )</f>
        <v>0</v>
      </c>
      <c r="R13" s="285">
        <f t="shared" ref="R13:R14" si="4" xml:space="preserve"> IF( ISNUMBER(G13), 0, 1 )</f>
        <v>0</v>
      </c>
      <c r="S13" s="345"/>
      <c r="T13" s="197"/>
      <c r="U13" s="396" t="s">
        <v>12425</v>
      </c>
      <c r="V13" s="2398" t="s">
        <v>12427</v>
      </c>
      <c r="W13" s="2398" t="s">
        <v>12428</v>
      </c>
      <c r="X13" s="2553" t="s">
        <v>12429</v>
      </c>
      <c r="Y13" s="2545"/>
    </row>
    <row r="14" spans="1:25" s="2397" customFormat="1" ht="15.75" customHeight="1">
      <c r="A14" s="272"/>
      <c r="B14" s="403" t="s">
        <v>12430</v>
      </c>
      <c r="C14" s="2550" t="s">
        <v>4215</v>
      </c>
      <c r="D14" s="2550">
        <v>3</v>
      </c>
      <c r="E14" s="2402">
        <v>397.39400000000001</v>
      </c>
      <c r="F14" s="2402">
        <v>0</v>
      </c>
      <c r="G14" s="2556">
        <v>0</v>
      </c>
      <c r="H14" s="272"/>
      <c r="I14" s="1041" t="s">
        <v>12431</v>
      </c>
      <c r="J14" s="272"/>
      <c r="K14" s="558"/>
      <c r="L14" s="1031"/>
      <c r="M14" s="1165"/>
      <c r="N14" s="2413">
        <f xml:space="preserve"> IF( SUM( P14:R14 ) = 0, 0,$P$7)</f>
        <v>0</v>
      </c>
      <c r="O14" s="345"/>
      <c r="P14" s="285">
        <f xml:space="preserve"> IF( ISNUMBER(E14), 0, 1 )</f>
        <v>0</v>
      </c>
      <c r="Q14" s="285">
        <f t="shared" si="3"/>
        <v>0</v>
      </c>
      <c r="R14" s="285">
        <f t="shared" si="4"/>
        <v>0</v>
      </c>
      <c r="S14" s="345"/>
      <c r="T14" s="197"/>
      <c r="U14" s="403" t="s">
        <v>12430</v>
      </c>
      <c r="V14" s="2402" t="s">
        <v>12432</v>
      </c>
      <c r="W14" s="2402" t="s">
        <v>12433</v>
      </c>
      <c r="X14" s="2556" t="s">
        <v>12434</v>
      </c>
      <c r="Y14" s="2545"/>
    </row>
    <row r="15" spans="1:25" s="2397" customFormat="1" ht="15.75" customHeight="1">
      <c r="A15" s="272"/>
      <c r="B15" s="403" t="s">
        <v>12435</v>
      </c>
      <c r="C15" s="2550" t="s">
        <v>4215</v>
      </c>
      <c r="D15" s="2550">
        <v>3</v>
      </c>
      <c r="E15" s="2557">
        <f>E13-E14</f>
        <v>14.683999999999969</v>
      </c>
      <c r="F15" s="2557">
        <f>F13-F14</f>
        <v>0</v>
      </c>
      <c r="G15" s="2558">
        <f>G13-G14</f>
        <v>0</v>
      </c>
      <c r="H15" s="272"/>
      <c r="I15" s="1041" t="s">
        <v>12436</v>
      </c>
      <c r="J15" s="272"/>
      <c r="K15" s="558"/>
      <c r="L15" s="969"/>
      <c r="M15" s="1165"/>
      <c r="N15" s="2413"/>
      <c r="O15" s="345"/>
      <c r="P15" s="106"/>
      <c r="Q15" s="106"/>
      <c r="R15" s="106"/>
      <c r="S15" s="345"/>
      <c r="T15" s="197"/>
      <c r="U15" s="403" t="s">
        <v>12435</v>
      </c>
      <c r="V15" s="2557" t="s">
        <v>12437</v>
      </c>
      <c r="W15" s="2557" t="s">
        <v>12438</v>
      </c>
      <c r="X15" s="2558" t="s">
        <v>12439</v>
      </c>
      <c r="Y15" s="2545"/>
    </row>
    <row r="16" spans="1:25" s="2397" customFormat="1" ht="15.75" customHeight="1">
      <c r="A16" s="272"/>
      <c r="B16" s="403" t="s">
        <v>12440</v>
      </c>
      <c r="C16" s="2550" t="s">
        <v>4215</v>
      </c>
      <c r="D16" s="2550">
        <v>3</v>
      </c>
      <c r="E16" s="2402">
        <v>14.683999999999999</v>
      </c>
      <c r="F16" s="2402">
        <v>0</v>
      </c>
      <c r="G16" s="2556">
        <v>0</v>
      </c>
      <c r="H16" s="272"/>
      <c r="I16" s="1041" t="s">
        <v>12441</v>
      </c>
      <c r="J16" s="272"/>
      <c r="K16" s="558"/>
      <c r="L16" s="969"/>
      <c r="M16" s="1165"/>
      <c r="N16" s="2413">
        <f xml:space="preserve"> IF( SUM( P16:R16 ) = 0, 0,$P$7)</f>
        <v>0</v>
      </c>
      <c r="O16" s="345"/>
      <c r="P16" s="285">
        <f xml:space="preserve"> IF( ISNUMBER(E16), 0, 1 )</f>
        <v>0</v>
      </c>
      <c r="Q16" s="285">
        <f t="shared" ref="Q16:Q17" si="5" xml:space="preserve"> IF( ISNUMBER(F16), 0, 1 )</f>
        <v>0</v>
      </c>
      <c r="R16" s="285">
        <f t="shared" ref="R16:R17" si="6" xml:space="preserve"> IF( ISNUMBER(G16), 0, 1 )</f>
        <v>0</v>
      </c>
      <c r="S16" s="345"/>
      <c r="T16" s="197"/>
      <c r="U16" s="403" t="s">
        <v>12440</v>
      </c>
      <c r="V16" s="2402" t="s">
        <v>12442</v>
      </c>
      <c r="W16" s="2402" t="s">
        <v>12443</v>
      </c>
      <c r="X16" s="2556" t="s">
        <v>12444</v>
      </c>
      <c r="Y16" s="2545"/>
    </row>
    <row r="17" spans="1:25" s="2397" customFormat="1" ht="16.2" thickBot="1">
      <c r="A17" s="272"/>
      <c r="B17" s="406" t="s">
        <v>5432</v>
      </c>
      <c r="C17" s="2409" t="s">
        <v>4215</v>
      </c>
      <c r="D17" s="2409">
        <v>3</v>
      </c>
      <c r="E17" s="2414">
        <v>0</v>
      </c>
      <c r="F17" s="2414">
        <v>0</v>
      </c>
      <c r="G17" s="2554">
        <v>0</v>
      </c>
      <c r="H17" s="272"/>
      <c r="I17" s="1043" t="s">
        <v>12445</v>
      </c>
      <c r="J17" s="272"/>
      <c r="K17" s="560"/>
      <c r="L17" s="106"/>
      <c r="M17" s="1165"/>
      <c r="N17" s="2413">
        <f xml:space="preserve"> IF( SUM( P17:R17 ) = 0, 0,$P$7)</f>
        <v>0</v>
      </c>
      <c r="O17" s="345"/>
      <c r="P17" s="285">
        <f xml:space="preserve"> IF( ISNUMBER(E17), 0, 1 )</f>
        <v>0</v>
      </c>
      <c r="Q17" s="285">
        <f t="shared" si="5"/>
        <v>0</v>
      </c>
      <c r="R17" s="285">
        <f t="shared" si="6"/>
        <v>0</v>
      </c>
      <c r="S17" s="345"/>
      <c r="T17" s="197"/>
      <c r="U17" s="406" t="s">
        <v>5432</v>
      </c>
      <c r="V17" s="2414" t="s">
        <v>12446</v>
      </c>
      <c r="W17" s="2414" t="s">
        <v>12447</v>
      </c>
      <c r="X17" s="2554" t="s">
        <v>12448</v>
      </c>
      <c r="Y17" s="2545"/>
    </row>
    <row r="18" spans="1:25" s="2397" customFormat="1" ht="16.8" thickTop="1" thickBot="1">
      <c r="A18" s="272"/>
      <c r="B18" s="956"/>
      <c r="C18" s="957"/>
      <c r="D18" s="957"/>
      <c r="E18" s="2559"/>
      <c r="F18" s="1630"/>
      <c r="G18" s="1630"/>
      <c r="H18" s="272"/>
      <c r="I18" s="272"/>
      <c r="J18" s="272"/>
      <c r="K18" s="272"/>
      <c r="L18" s="106"/>
      <c r="M18" s="1165"/>
      <c r="N18" s="2413"/>
      <c r="O18" s="345"/>
      <c r="P18" s="106"/>
      <c r="Q18" s="106"/>
      <c r="R18" s="106"/>
      <c r="S18" s="345"/>
      <c r="T18" s="197"/>
      <c r="U18" s="956"/>
      <c r="V18" s="2559"/>
      <c r="W18" s="1630"/>
      <c r="X18" s="1630"/>
      <c r="Y18" s="2545"/>
    </row>
    <row r="19" spans="1:25" s="2397" customFormat="1" ht="16.8" thickTop="1" thickBot="1">
      <c r="A19" s="272"/>
      <c r="B19" s="784" t="s">
        <v>12449</v>
      </c>
      <c r="C19" s="2412"/>
      <c r="D19" s="2412"/>
      <c r="E19" s="1643"/>
      <c r="F19" s="1630"/>
      <c r="G19" s="1630"/>
      <c r="H19" s="272"/>
      <c r="I19" s="1805"/>
      <c r="J19" s="272"/>
      <c r="K19" s="272"/>
      <c r="L19" s="106"/>
      <c r="M19" s="1165"/>
      <c r="N19" s="2413"/>
      <c r="O19" s="345"/>
      <c r="P19" s="106"/>
      <c r="Q19" s="106"/>
      <c r="R19" s="106"/>
      <c r="S19" s="345"/>
      <c r="T19" s="197"/>
      <c r="U19" s="784" t="s">
        <v>12449</v>
      </c>
      <c r="V19" s="1643"/>
      <c r="W19" s="1630"/>
      <c r="X19" s="1630"/>
      <c r="Y19" s="2545"/>
    </row>
    <row r="20" spans="1:25" s="2397" customFormat="1" ht="16.2" thickTop="1">
      <c r="A20" s="272"/>
      <c r="B20" s="396" t="s">
        <v>12450</v>
      </c>
      <c r="C20" s="2549" t="s">
        <v>6862</v>
      </c>
      <c r="D20" s="2549" t="s">
        <v>8431</v>
      </c>
      <c r="E20" s="2540">
        <v>44651</v>
      </c>
      <c r="F20" s="2560"/>
      <c r="G20" s="2561"/>
      <c r="H20" s="272"/>
      <c r="I20" s="1040" t="s">
        <v>4196</v>
      </c>
      <c r="J20" s="272"/>
      <c r="K20" s="557"/>
      <c r="L20" s="106"/>
      <c r="M20" s="1165"/>
      <c r="N20" s="2413" t="str">
        <f xml:space="preserve"> IF( SUM( P20:R20 ) = 0, 0,$P$7)</f>
        <v>Please complete all cells in row</v>
      </c>
      <c r="O20" s="345"/>
      <c r="P20" s="285">
        <f xml:space="preserve"> IF( ISNUMBER(E20), 0, 1 )</f>
        <v>0</v>
      </c>
      <c r="Q20" s="285">
        <f t="shared" ref="Q20:Q22" si="7" xml:space="preserve"> IF( ISNUMBER(F20), 0, 1 )</f>
        <v>1</v>
      </c>
      <c r="R20" s="285">
        <f t="shared" ref="R20:R22" si="8" xml:space="preserve"> IF( ISNUMBER(G20), 0, 1 )</f>
        <v>1</v>
      </c>
      <c r="S20" s="345"/>
      <c r="T20" s="197"/>
      <c r="U20" s="396" t="s">
        <v>12450</v>
      </c>
      <c r="V20" s="2398" t="s">
        <v>12451</v>
      </c>
      <c r="W20" s="2398" t="s">
        <v>12452</v>
      </c>
      <c r="X20" s="2553" t="s">
        <v>12453</v>
      </c>
      <c r="Y20" s="2545"/>
    </row>
    <row r="21" spans="1:25" s="2397" customFormat="1" ht="15.75" customHeight="1">
      <c r="A21" s="272"/>
      <c r="B21" s="403" t="s">
        <v>12454</v>
      </c>
      <c r="C21" s="2550" t="s">
        <v>4215</v>
      </c>
      <c r="D21" s="2550">
        <v>3</v>
      </c>
      <c r="E21" s="2402">
        <v>428.6</v>
      </c>
      <c r="F21" s="2402">
        <v>0</v>
      </c>
      <c r="G21" s="2556">
        <v>0</v>
      </c>
      <c r="H21" s="272"/>
      <c r="I21" s="1041" t="s">
        <v>12455</v>
      </c>
      <c r="J21" s="272"/>
      <c r="K21" s="558"/>
      <c r="L21" s="106"/>
      <c r="M21" s="1165"/>
      <c r="N21" s="2413">
        <f xml:space="preserve"> IF( SUM( P21:R21 ) = 0, 0,$P$7)</f>
        <v>0</v>
      </c>
      <c r="O21" s="345"/>
      <c r="P21" s="285">
        <f xml:space="preserve"> IF( ISNUMBER(E21), 0, 1 )</f>
        <v>0</v>
      </c>
      <c r="Q21" s="285">
        <f t="shared" si="7"/>
        <v>0</v>
      </c>
      <c r="R21" s="285">
        <f t="shared" si="8"/>
        <v>0</v>
      </c>
      <c r="S21" s="345"/>
      <c r="T21" s="197"/>
      <c r="U21" s="403" t="s">
        <v>12454</v>
      </c>
      <c r="V21" s="2402" t="s">
        <v>12456</v>
      </c>
      <c r="W21" s="2402" t="s">
        <v>12457</v>
      </c>
      <c r="X21" s="2556" t="s">
        <v>12458</v>
      </c>
      <c r="Y21" s="2545"/>
    </row>
    <row r="22" spans="1:25" s="2397" customFormat="1" ht="15.75" customHeight="1">
      <c r="A22" s="272"/>
      <c r="B22" s="403" t="s">
        <v>12459</v>
      </c>
      <c r="C22" s="2550" t="s">
        <v>4215</v>
      </c>
      <c r="D22" s="2550">
        <v>3</v>
      </c>
      <c r="E22" s="2402">
        <v>423.3</v>
      </c>
      <c r="F22" s="2402">
        <v>0</v>
      </c>
      <c r="G22" s="2556">
        <v>0</v>
      </c>
      <c r="H22" s="272"/>
      <c r="I22" s="1041" t="s">
        <v>12460</v>
      </c>
      <c r="J22" s="272"/>
      <c r="K22" s="558"/>
      <c r="L22" s="106"/>
      <c r="M22" s="1165"/>
      <c r="N22" s="2413">
        <f xml:space="preserve"> IF( SUM( P22:R22 ) = 0, 0,$P$7)</f>
        <v>0</v>
      </c>
      <c r="O22" s="345"/>
      <c r="P22" s="285">
        <f xml:space="preserve"> IF( ISNUMBER(E22), 0, 1 )</f>
        <v>0</v>
      </c>
      <c r="Q22" s="285">
        <f t="shared" si="7"/>
        <v>0</v>
      </c>
      <c r="R22" s="285">
        <f t="shared" si="8"/>
        <v>0</v>
      </c>
      <c r="S22" s="345"/>
      <c r="T22" s="197"/>
      <c r="U22" s="403" t="s">
        <v>12459</v>
      </c>
      <c r="V22" s="2402" t="s">
        <v>12461</v>
      </c>
      <c r="W22" s="2402" t="s">
        <v>12462</v>
      </c>
      <c r="X22" s="2556" t="s">
        <v>12463</v>
      </c>
      <c r="Y22" s="2545"/>
    </row>
    <row r="23" spans="1:25" s="2397" customFormat="1" ht="15.75" customHeight="1">
      <c r="A23" s="272"/>
      <c r="B23" s="403" t="s">
        <v>12464</v>
      </c>
      <c r="C23" s="2550" t="s">
        <v>4215</v>
      </c>
      <c r="D23" s="2550">
        <v>3</v>
      </c>
      <c r="E23" s="2557">
        <f>E21-E22</f>
        <v>5.3000000000000114</v>
      </c>
      <c r="F23" s="2557">
        <f>F21-F22</f>
        <v>0</v>
      </c>
      <c r="G23" s="2558">
        <f>G21-G22</f>
        <v>0</v>
      </c>
      <c r="H23" s="272"/>
      <c r="I23" s="1041" t="s">
        <v>12465</v>
      </c>
      <c r="J23" s="272"/>
      <c r="K23" s="558"/>
      <c r="L23" s="106"/>
      <c r="M23" s="1165"/>
      <c r="N23" s="2413"/>
      <c r="O23" s="345"/>
      <c r="P23" s="106"/>
      <c r="Q23" s="106"/>
      <c r="R23" s="106"/>
      <c r="S23" s="345"/>
      <c r="T23" s="197"/>
      <c r="U23" s="403" t="s">
        <v>12464</v>
      </c>
      <c r="V23" s="2557" t="s">
        <v>12466</v>
      </c>
      <c r="W23" s="2557" t="s">
        <v>12467</v>
      </c>
      <c r="X23" s="2558" t="s">
        <v>12468</v>
      </c>
      <c r="Y23" s="2545"/>
    </row>
    <row r="24" spans="1:25" s="2397" customFormat="1" ht="30.6" thickBot="1">
      <c r="A24" s="272"/>
      <c r="B24" s="406" t="s">
        <v>12469</v>
      </c>
      <c r="C24" s="2409" t="s">
        <v>6861</v>
      </c>
      <c r="D24" s="2409" t="s">
        <v>8431</v>
      </c>
      <c r="E24" s="2414" t="s">
        <v>18783</v>
      </c>
      <c r="F24" s="2414">
        <v>0</v>
      </c>
      <c r="G24" s="2554">
        <v>0</v>
      </c>
      <c r="H24" s="272"/>
      <c r="I24" s="1043" t="s">
        <v>12470</v>
      </c>
      <c r="J24" s="272"/>
      <c r="K24" s="560"/>
      <c r="L24" s="106"/>
      <c r="M24" s="1165"/>
      <c r="N24" s="2413" t="str">
        <f xml:space="preserve"> IF( SUM( P24:R24 ) = 0, 0,$P$7)</f>
        <v>Please complete all cells in row</v>
      </c>
      <c r="O24" s="345"/>
      <c r="P24" s="285">
        <f xml:space="preserve"> IF( ISNUMBER(E24), 0, 1 )</f>
        <v>1</v>
      </c>
      <c r="Q24" s="285">
        <f t="shared" ref="Q24" si="9" xml:space="preserve"> IF( ISNUMBER(F24), 0, 1 )</f>
        <v>0</v>
      </c>
      <c r="R24" s="285">
        <f t="shared" ref="R24" si="10" xml:space="preserve"> IF( ISNUMBER(G24), 0, 1 )</f>
        <v>0</v>
      </c>
      <c r="S24" s="345"/>
      <c r="T24" s="197"/>
      <c r="U24" s="406" t="s">
        <v>12469</v>
      </c>
      <c r="V24" s="2414" t="s">
        <v>12471</v>
      </c>
      <c r="W24" s="2414" t="s">
        <v>12472</v>
      </c>
      <c r="X24" s="2554" t="s">
        <v>12473</v>
      </c>
      <c r="Y24" s="2545"/>
    </row>
    <row r="25" spans="1:25" s="2397" customFormat="1" ht="16.8" thickTop="1" thickBot="1">
      <c r="A25" s="272"/>
      <c r="B25" s="956"/>
      <c r="C25" s="957"/>
      <c r="D25" s="957"/>
      <c r="E25" s="2559"/>
      <c r="F25" s="1630"/>
      <c r="G25" s="1630"/>
      <c r="H25" s="272"/>
      <c r="I25" s="272"/>
      <c r="J25" s="272"/>
      <c r="K25" s="272"/>
      <c r="L25" s="106"/>
      <c r="M25" s="1165"/>
      <c r="N25" s="2413"/>
      <c r="O25" s="345"/>
      <c r="P25" s="106"/>
      <c r="Q25" s="106"/>
      <c r="R25" s="106"/>
      <c r="S25" s="345"/>
      <c r="T25" s="197"/>
      <c r="U25" s="956"/>
      <c r="V25" s="2559"/>
      <c r="W25" s="1630"/>
      <c r="X25" s="1630"/>
      <c r="Y25" s="2545"/>
    </row>
    <row r="26" spans="1:25" s="2397" customFormat="1" ht="16.8" thickTop="1" thickBot="1">
      <c r="A26" s="272"/>
      <c r="B26" s="784" t="s">
        <v>12474</v>
      </c>
      <c r="C26" s="2412"/>
      <c r="D26" s="2412"/>
      <c r="E26" s="1643"/>
      <c r="F26" s="1630"/>
      <c r="G26" s="1630"/>
      <c r="H26" s="272"/>
      <c r="I26" s="1805"/>
      <c r="J26" s="272"/>
      <c r="K26" s="272"/>
      <c r="L26" s="106"/>
      <c r="M26" s="1165"/>
      <c r="N26" s="2413"/>
      <c r="O26" s="345"/>
      <c r="P26" s="106"/>
      <c r="Q26" s="106"/>
      <c r="R26" s="106"/>
      <c r="S26" s="345"/>
      <c r="T26" s="197"/>
      <c r="U26" s="784" t="s">
        <v>12474</v>
      </c>
      <c r="V26" s="1643"/>
      <c r="W26" s="1630"/>
      <c r="X26" s="1630"/>
      <c r="Y26" s="2545"/>
    </row>
    <row r="27" spans="1:25" s="2397" customFormat="1" ht="16.2" thickTop="1">
      <c r="A27" s="272"/>
      <c r="B27" s="396" t="s">
        <v>12475</v>
      </c>
      <c r="C27" s="2549" t="s">
        <v>6861</v>
      </c>
      <c r="D27" s="2549" t="s">
        <v>8431</v>
      </c>
      <c r="E27" s="2398" t="s">
        <v>18784</v>
      </c>
      <c r="F27" s="2398" t="s">
        <v>8431</v>
      </c>
      <c r="G27" s="2553" t="s">
        <v>8431</v>
      </c>
      <c r="H27" s="272"/>
      <c r="I27" s="1040" t="s">
        <v>12476</v>
      </c>
      <c r="J27" s="272"/>
      <c r="K27" s="557"/>
      <c r="L27" s="106"/>
      <c r="M27" s="1165"/>
      <c r="N27" s="2413"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12475</v>
      </c>
      <c r="V27" s="2398" t="s">
        <v>12477</v>
      </c>
      <c r="W27" s="2398" t="s">
        <v>12478</v>
      </c>
      <c r="X27" s="2553" t="s">
        <v>12479</v>
      </c>
      <c r="Y27" s="2545"/>
    </row>
    <row r="28" spans="1:25" s="2397" customFormat="1" ht="15.75" customHeight="1">
      <c r="A28" s="272"/>
      <c r="B28" s="403" t="s">
        <v>12480</v>
      </c>
      <c r="C28" s="2550" t="s">
        <v>6862</v>
      </c>
      <c r="D28" s="2550" t="s">
        <v>8431</v>
      </c>
      <c r="E28" s="2562" t="s">
        <v>18784</v>
      </c>
      <c r="F28" s="2562" t="s">
        <v>8431</v>
      </c>
      <c r="G28" s="2563" t="s">
        <v>8431</v>
      </c>
      <c r="H28" s="272"/>
      <c r="I28" s="1041" t="s">
        <v>12481</v>
      </c>
      <c r="J28" s="272"/>
      <c r="K28" s="558"/>
      <c r="L28" s="106"/>
      <c r="M28" s="1165"/>
      <c r="N28" s="2413" t="str">
        <f xml:space="preserve"> IF( SUM( P28:R28 ) = 0, 0,$P$7)</f>
        <v>Please complete all cells in row</v>
      </c>
      <c r="O28" s="345"/>
      <c r="P28" s="285">
        <f xml:space="preserve"> IF( ISNUMBER(E28), 0, 1 )</f>
        <v>1</v>
      </c>
      <c r="Q28" s="285">
        <f t="shared" si="11"/>
        <v>1</v>
      </c>
      <c r="R28" s="285">
        <f t="shared" si="12"/>
        <v>1</v>
      </c>
      <c r="S28" s="345"/>
      <c r="T28" s="197"/>
      <c r="U28" s="403" t="s">
        <v>12480</v>
      </c>
      <c r="V28" s="2402" t="s">
        <v>12482</v>
      </c>
      <c r="W28" s="2402" t="s">
        <v>12483</v>
      </c>
      <c r="X28" s="2556" t="s">
        <v>12484</v>
      </c>
      <c r="Y28" s="2545"/>
    </row>
    <row r="29" spans="1:25" s="2397" customFormat="1" ht="15.75" customHeight="1">
      <c r="A29" s="272"/>
      <c r="B29" s="403" t="s">
        <v>12485</v>
      </c>
      <c r="C29" s="2550" t="s">
        <v>6861</v>
      </c>
      <c r="D29" s="2550" t="s">
        <v>8431</v>
      </c>
      <c r="E29" s="2402" t="s">
        <v>18785</v>
      </c>
      <c r="F29" s="2402" t="s">
        <v>8431</v>
      </c>
      <c r="G29" s="2556" t="s">
        <v>8431</v>
      </c>
      <c r="H29" s="272"/>
      <c r="I29" s="1041" t="s">
        <v>12486</v>
      </c>
      <c r="J29" s="864"/>
      <c r="K29" s="558"/>
      <c r="L29" s="106"/>
      <c r="M29" s="1165"/>
      <c r="N29" s="2413" t="str">
        <f xml:space="preserve"> IF( SUM( P29:R29 ) = 0, 0,$P$7)</f>
        <v>Please complete all cells in row</v>
      </c>
      <c r="O29" s="345"/>
      <c r="P29" s="285">
        <f xml:space="preserve"> IF( ISNUMBER(E29), 0, 1 )</f>
        <v>1</v>
      </c>
      <c r="Q29" s="285">
        <f t="shared" si="11"/>
        <v>1</v>
      </c>
      <c r="R29" s="285">
        <f t="shared" si="12"/>
        <v>1</v>
      </c>
      <c r="S29" s="345"/>
      <c r="T29" s="197"/>
      <c r="U29" s="403" t="s">
        <v>12485</v>
      </c>
      <c r="V29" s="2402" t="s">
        <v>12487</v>
      </c>
      <c r="W29" s="2402" t="s">
        <v>12488</v>
      </c>
      <c r="X29" s="2556" t="s">
        <v>12489</v>
      </c>
      <c r="Y29" s="2545"/>
    </row>
    <row r="30" spans="1:25" s="2397" customFormat="1" ht="16.2" thickBot="1">
      <c r="A30" s="272"/>
      <c r="B30" s="406" t="s">
        <v>12490</v>
      </c>
      <c r="C30" s="2409" t="s">
        <v>6861</v>
      </c>
      <c r="D30" s="2409" t="s">
        <v>8431</v>
      </c>
      <c r="E30" s="2414" t="s">
        <v>18784</v>
      </c>
      <c r="F30" s="2414" t="s">
        <v>8431</v>
      </c>
      <c r="G30" s="2554" t="s">
        <v>8431</v>
      </c>
      <c r="H30" s="272"/>
      <c r="I30" s="1043" t="s">
        <v>12491</v>
      </c>
      <c r="J30" s="864"/>
      <c r="K30" s="560"/>
      <c r="L30" s="106"/>
      <c r="M30" s="1165"/>
      <c r="N30" s="2413" t="str">
        <f xml:space="preserve"> IF( SUM( P30:R30 ) = 0, 0,$P$7)</f>
        <v>Please complete all cells in row</v>
      </c>
      <c r="O30" s="345"/>
      <c r="P30" s="285">
        <f xml:space="preserve"> IF( ISNUMBER(E30), 0, 1 )</f>
        <v>1</v>
      </c>
      <c r="Q30" s="285">
        <f t="shared" si="11"/>
        <v>1</v>
      </c>
      <c r="R30" s="285">
        <f t="shared" si="12"/>
        <v>1</v>
      </c>
      <c r="S30" s="345"/>
      <c r="T30" s="197"/>
      <c r="U30" s="406" t="s">
        <v>12490</v>
      </c>
      <c r="V30" s="2414" t="s">
        <v>12492</v>
      </c>
      <c r="W30" s="2414" t="s">
        <v>12493</v>
      </c>
      <c r="X30" s="2554" t="s">
        <v>12494</v>
      </c>
      <c r="Y30" s="2545"/>
    </row>
    <row r="31" spans="1:25" ht="15.6" thickTop="1">
      <c r="A31" s="2411"/>
      <c r="B31" s="2411"/>
      <c r="C31" s="2411"/>
      <c r="D31" s="2411"/>
      <c r="E31" s="2411"/>
      <c r="F31" s="2411"/>
      <c r="G31" s="2411"/>
      <c r="H31" s="2411"/>
      <c r="I31" s="2411"/>
      <c r="J31" s="2411"/>
      <c r="K31" s="2411"/>
      <c r="M31" s="1165"/>
      <c r="N31" s="2413"/>
      <c r="O31" s="345"/>
      <c r="S31" s="345"/>
      <c r="T31"/>
      <c r="U31" s="2411"/>
      <c r="V31" s="2411"/>
      <c r="W31" s="2411"/>
      <c r="X31" s="2411"/>
      <c r="Y31" s="2545"/>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5" priority="42" operator="equal">
      <formula>0</formula>
    </cfRule>
  </conditionalFormatting>
  <conditionalFormatting sqref="N4:N31">
    <cfRule type="cellIs" dxfId="84" priority="1" operator="equal">
      <formula>0</formula>
    </cfRule>
  </conditionalFormatting>
  <conditionalFormatting sqref="P11:R11">
    <cfRule type="cellIs" dxfId="83" priority="47" operator="equal">
      <formula>0</formula>
    </cfRule>
  </conditionalFormatting>
  <conditionalFormatting sqref="Q9:R14">
    <cfRule type="cellIs" dxfId="82" priority="32" operator="equal">
      <formula>0</formula>
    </cfRule>
  </conditionalFormatting>
  <conditionalFormatting sqref="Q16:R17">
    <cfRule type="cellIs" dxfId="81" priority="26" operator="equal">
      <formula>0</formula>
    </cfRule>
  </conditionalFormatting>
  <conditionalFormatting sqref="Q20:R22">
    <cfRule type="cellIs" dxfId="80" priority="17" operator="equal">
      <formula>0</formula>
    </cfRule>
  </conditionalFormatting>
  <conditionalFormatting sqref="Q24:R24">
    <cfRule type="cellIs" dxfId="79" priority="14" operator="equal">
      <formula>0</formula>
    </cfRule>
  </conditionalFormatting>
  <conditionalFormatting sqref="Q27:R30">
    <cfRule type="cellIs" dxfId="78"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15" activePane="bottomLeft" state="frozen"/>
      <selection pane="bottomLeft" activeCell="E24" sqref="E24"/>
    </sheetView>
  </sheetViews>
  <sheetFormatPr defaultColWidth="8.59765625" defaultRowHeight="29.55" customHeight="1"/>
  <cols>
    <col min="1" max="1" width="1.59765625" style="219" customWidth="1"/>
    <col min="2" max="2" width="69.296875" style="219" customWidth="1"/>
    <col min="3" max="3" width="5.59765625" style="219" bestFit="1" customWidth="1"/>
    <col min="4" max="4" width="4.69921875" style="219" bestFit="1" customWidth="1"/>
    <col min="5" max="5" width="11.69921875" style="219" customWidth="1"/>
    <col min="6" max="6" width="1.59765625" style="219" customWidth="1"/>
    <col min="7" max="7" width="12.5" style="219" customWidth="1"/>
    <col min="8" max="8" width="1.59765625" style="219" customWidth="1"/>
    <col min="9" max="9" width="33.59765625" style="219" customWidth="1"/>
    <col min="10" max="11" width="1.59765625" style="219" customWidth="1"/>
    <col min="12" max="12" width="25.296875" style="219" customWidth="1"/>
    <col min="13" max="13" width="1.59765625" style="219" hidden="1" customWidth="1"/>
    <col min="14" max="14" width="25" style="219" hidden="1" customWidth="1"/>
    <col min="15" max="16" width="1.59765625" style="219" customWidth="1"/>
    <col min="17" max="17" width="40" style="246" customWidth="1"/>
    <col min="18" max="18" width="17.796875" style="219" bestFit="1" customWidth="1"/>
    <col min="19" max="19" width="1.59765625" style="219" customWidth="1"/>
    <col min="20" max="21" width="14.59765625" style="219" customWidth="1"/>
    <col min="22" max="16384" width="8.59765625" style="219"/>
  </cols>
  <sheetData>
    <row r="1" spans="1:18" ht="29.55" customHeight="1">
      <c r="B1" s="1229" t="s">
        <v>12495</v>
      </c>
      <c r="C1" s="1229"/>
      <c r="D1" s="1229"/>
      <c r="E1" s="1229"/>
      <c r="F1" s="1229"/>
      <c r="G1" s="261"/>
      <c r="K1" s="238"/>
      <c r="M1" s="238"/>
      <c r="O1" s="238"/>
      <c r="Q1" s="1229" t="s">
        <v>4198</v>
      </c>
      <c r="R1" s="1229"/>
    </row>
    <row r="2" spans="1:18" ht="29.55" customHeight="1">
      <c r="B2" s="1229" t="str">
        <f>SelectCompany!B4</f>
        <v>Dŵr Cymru</v>
      </c>
      <c r="C2" s="529"/>
      <c r="D2" s="529"/>
      <c r="E2" s="529"/>
      <c r="F2" s="529"/>
      <c r="G2" s="261"/>
      <c r="K2" s="238"/>
      <c r="M2" s="238"/>
      <c r="O2" s="238"/>
      <c r="Q2" s="1229"/>
      <c r="R2" s="529"/>
    </row>
    <row r="3" spans="1:18" ht="29.55" customHeight="1">
      <c r="B3" s="2829" t="s">
        <v>12496</v>
      </c>
      <c r="C3" s="2829"/>
      <c r="D3" s="2829"/>
      <c r="E3" s="2829"/>
      <c r="F3" s="2829"/>
      <c r="G3" s="2829"/>
      <c r="H3" s="2829"/>
      <c r="I3" s="2829"/>
      <c r="K3" s="238"/>
      <c r="L3" s="1240" t="s">
        <v>4200</v>
      </c>
      <c r="M3" s="238"/>
      <c r="O3" s="238"/>
      <c r="Q3" s="2829" t="s">
        <v>12496</v>
      </c>
      <c r="R3" s="2829"/>
    </row>
    <row r="4" spans="1:18" ht="29.55" customHeight="1" thickBot="1">
      <c r="B4" s="690"/>
      <c r="C4" s="690"/>
      <c r="D4" s="690"/>
      <c r="E4" s="690"/>
      <c r="F4" s="827"/>
      <c r="G4" s="261"/>
      <c r="K4" s="238"/>
      <c r="M4" s="238"/>
      <c r="N4" s="1230" t="s">
        <v>4201</v>
      </c>
      <c r="O4" s="238"/>
      <c r="Q4" s="690"/>
      <c r="R4" s="690"/>
    </row>
    <row r="5" spans="1:18" ht="29.55" customHeight="1" thickTop="1" thickBot="1">
      <c r="A5" s="242"/>
      <c r="B5" s="445" t="s">
        <v>4202</v>
      </c>
      <c r="C5" s="446" t="s">
        <v>4203</v>
      </c>
      <c r="D5" s="446" t="s">
        <v>4204</v>
      </c>
      <c r="E5" s="447" t="s">
        <v>12497</v>
      </c>
      <c r="F5" s="197"/>
      <c r="G5" s="449" t="s">
        <v>4208</v>
      </c>
      <c r="H5" s="242"/>
      <c r="I5" s="449" t="s">
        <v>4209</v>
      </c>
      <c r="J5" s="242"/>
      <c r="K5" s="238"/>
      <c r="M5" s="238"/>
      <c r="N5" s="269" t="s">
        <v>4210</v>
      </c>
      <c r="O5" s="238"/>
      <c r="Q5" s="445" t="s">
        <v>4202</v>
      </c>
      <c r="R5" s="447" t="s">
        <v>12497</v>
      </c>
    </row>
    <row r="6" spans="1:18" ht="29.55" customHeight="1" thickTop="1" thickBot="1">
      <c r="A6" s="242"/>
      <c r="B6" s="358"/>
      <c r="C6" s="358"/>
      <c r="D6" s="358"/>
      <c r="E6" s="871"/>
      <c r="F6" s="197"/>
      <c r="G6" s="261"/>
      <c r="H6" s="242"/>
      <c r="I6" s="242"/>
      <c r="J6" s="242"/>
      <c r="K6" s="238"/>
      <c r="M6" s="238"/>
      <c r="O6" s="238"/>
      <c r="Q6" s="358"/>
      <c r="R6" s="871"/>
    </row>
    <row r="7" spans="1:18" ht="29.55" customHeight="1" thickTop="1" thickBot="1">
      <c r="A7" s="242"/>
      <c r="B7" s="393" t="s">
        <v>12498</v>
      </c>
      <c r="C7" s="482"/>
      <c r="D7" s="482"/>
      <c r="E7" s="859"/>
      <c r="F7" s="106"/>
      <c r="G7" s="944"/>
      <c r="H7" s="242"/>
      <c r="I7" s="242"/>
      <c r="J7" s="242"/>
      <c r="K7" s="238"/>
      <c r="M7" s="238"/>
      <c r="O7" s="238"/>
      <c r="Q7" s="393" t="s">
        <v>12498</v>
      </c>
      <c r="R7" s="859"/>
    </row>
    <row r="8" spans="1:18" ht="29.55" customHeight="1" thickTop="1">
      <c r="A8" s="242"/>
      <c r="B8" s="451" t="s">
        <v>12499</v>
      </c>
      <c r="C8" s="277" t="s">
        <v>12500</v>
      </c>
      <c r="D8" s="277">
        <v>2</v>
      </c>
      <c r="E8" s="1296">
        <v>677.68553466015362</v>
      </c>
      <c r="F8" s="106"/>
      <c r="G8" s="281" t="s">
        <v>12501</v>
      </c>
      <c r="H8" s="242"/>
      <c r="I8" s="1231"/>
      <c r="J8" s="242"/>
      <c r="K8" s="238"/>
      <c r="L8" s="1232">
        <f>IF( SUM( N8:N8 ) = 0, 0, $N$5 )</f>
        <v>0</v>
      </c>
      <c r="M8" s="238"/>
      <c r="N8" s="285">
        <f xml:space="preserve"> IF( ISNUMBER(E8), 0, 1 )</f>
        <v>0</v>
      </c>
      <c r="O8" s="238"/>
      <c r="Q8" s="451" t="s">
        <v>12499</v>
      </c>
      <c r="R8" s="960" t="s">
        <v>12502</v>
      </c>
    </row>
    <row r="9" spans="1:18" ht="29.55" customHeight="1">
      <c r="A9" s="242"/>
      <c r="B9" s="460" t="s">
        <v>12503</v>
      </c>
      <c r="C9" s="286" t="s">
        <v>12500</v>
      </c>
      <c r="D9" s="286">
        <v>2</v>
      </c>
      <c r="E9" s="1234">
        <v>282.34195385505188</v>
      </c>
      <c r="F9" s="106"/>
      <c r="G9" s="290" t="s">
        <v>12504</v>
      </c>
      <c r="H9" s="242"/>
      <c r="I9" s="1233"/>
      <c r="J9" s="242"/>
      <c r="K9" s="238"/>
      <c r="L9" s="1232">
        <f t="shared" ref="L9:L23" si="0">IF( SUM( N9:N9 ) = 0, 0, $N$5 )</f>
        <v>0</v>
      </c>
      <c r="M9" s="238"/>
      <c r="N9" s="285">
        <f t="shared" ref="N9:N23" si="1" xml:space="preserve"> IF( ISNUMBER(E9), 0, 1 )</f>
        <v>0</v>
      </c>
      <c r="O9" s="238"/>
      <c r="Q9" s="460" t="s">
        <v>12503</v>
      </c>
      <c r="R9" s="964" t="s">
        <v>12505</v>
      </c>
    </row>
    <row r="10" spans="1:18" ht="29.55" customHeight="1">
      <c r="A10" s="242"/>
      <c r="B10" s="460" t="s">
        <v>12506</v>
      </c>
      <c r="C10" s="286" t="s">
        <v>12500</v>
      </c>
      <c r="D10" s="286">
        <v>2</v>
      </c>
      <c r="E10" s="1234">
        <v>223.87589703802752</v>
      </c>
      <c r="F10" s="106"/>
      <c r="G10" s="290" t="s">
        <v>12507</v>
      </c>
      <c r="H10" s="242"/>
      <c r="I10" s="1233"/>
      <c r="J10" s="242"/>
      <c r="K10" s="238"/>
      <c r="L10" s="1232">
        <f t="shared" si="0"/>
        <v>0</v>
      </c>
      <c r="M10" s="238"/>
      <c r="N10" s="285">
        <f t="shared" si="1"/>
        <v>0</v>
      </c>
      <c r="O10" s="238"/>
      <c r="Q10" s="460" t="s">
        <v>12506</v>
      </c>
      <c r="R10" s="964" t="s">
        <v>12508</v>
      </c>
    </row>
    <row r="11" spans="1:18" ht="29.55" customHeight="1">
      <c r="A11" s="242"/>
      <c r="B11" s="460" t="s">
        <v>12509</v>
      </c>
      <c r="C11" s="286" t="s">
        <v>12500</v>
      </c>
      <c r="D11" s="286">
        <v>2</v>
      </c>
      <c r="E11" s="1234">
        <v>29.916714477837257</v>
      </c>
      <c r="F11" s="106"/>
      <c r="G11" s="290" t="s">
        <v>12510</v>
      </c>
      <c r="H11" s="242"/>
      <c r="I11" s="1233"/>
      <c r="J11" s="242"/>
      <c r="K11" s="238"/>
      <c r="L11" s="1232">
        <f t="shared" si="0"/>
        <v>0</v>
      </c>
      <c r="M11" s="238"/>
      <c r="N11" s="285">
        <f t="shared" si="1"/>
        <v>0</v>
      </c>
      <c r="O11" s="238"/>
      <c r="Q11" s="460" t="s">
        <v>12511</v>
      </c>
      <c r="R11" s="1234" t="s">
        <v>12512</v>
      </c>
    </row>
    <row r="12" spans="1:18" ht="29.55" customHeight="1">
      <c r="A12" s="242"/>
      <c r="B12" s="460" t="s">
        <v>12513</v>
      </c>
      <c r="C12" s="286" t="s">
        <v>12500</v>
      </c>
      <c r="D12" s="286">
        <v>2</v>
      </c>
      <c r="E12" s="1234">
        <v>0</v>
      </c>
      <c r="F12" s="106"/>
      <c r="G12" s="290" t="s">
        <v>12514</v>
      </c>
      <c r="H12" s="242"/>
      <c r="I12" s="1233"/>
      <c r="J12" s="242"/>
      <c r="K12" s="238"/>
      <c r="L12" s="1232">
        <f t="shared" si="0"/>
        <v>0</v>
      </c>
      <c r="M12" s="238"/>
      <c r="N12" s="285">
        <f t="shared" si="1"/>
        <v>0</v>
      </c>
      <c r="O12" s="238"/>
      <c r="Q12" s="460" t="s">
        <v>12513</v>
      </c>
      <c r="R12" s="1234" t="s">
        <v>12515</v>
      </c>
    </row>
    <row r="13" spans="1:18" ht="29.55" customHeight="1">
      <c r="A13" s="242"/>
      <c r="B13" s="460" t="s">
        <v>12516</v>
      </c>
      <c r="C13" s="286" t="s">
        <v>12500</v>
      </c>
      <c r="D13" s="286">
        <v>2</v>
      </c>
      <c r="E13" s="1234">
        <v>0</v>
      </c>
      <c r="F13" s="106"/>
      <c r="G13" s="290" t="s">
        <v>12517</v>
      </c>
      <c r="H13" s="242"/>
      <c r="I13" s="1233"/>
      <c r="J13" s="242"/>
      <c r="K13" s="238"/>
      <c r="L13" s="1232">
        <f t="shared" si="0"/>
        <v>0</v>
      </c>
      <c r="M13" s="238"/>
      <c r="N13" s="285">
        <f t="shared" si="1"/>
        <v>0</v>
      </c>
      <c r="O13" s="238"/>
      <c r="Q13" s="460" t="s">
        <v>12516</v>
      </c>
      <c r="R13" s="1234" t="s">
        <v>12518</v>
      </c>
    </row>
    <row r="14" spans="1:18" ht="29.55" customHeight="1">
      <c r="A14" s="242"/>
      <c r="B14" s="460" t="s">
        <v>12519</v>
      </c>
      <c r="C14" s="286" t="s">
        <v>12500</v>
      </c>
      <c r="D14" s="286">
        <v>2</v>
      </c>
      <c r="E14" s="1234">
        <v>0</v>
      </c>
      <c r="F14" s="200"/>
      <c r="G14" s="290" t="s">
        <v>12520</v>
      </c>
      <c r="H14" s="242"/>
      <c r="I14" s="1233"/>
      <c r="J14" s="242"/>
      <c r="K14" s="238"/>
      <c r="L14" s="1232">
        <f t="shared" si="0"/>
        <v>0</v>
      </c>
      <c r="M14" s="238"/>
      <c r="N14" s="285">
        <f t="shared" si="1"/>
        <v>0</v>
      </c>
      <c r="O14" s="238"/>
      <c r="Q14" s="460" t="s">
        <v>12519</v>
      </c>
      <c r="R14" s="1234" t="s">
        <v>12521</v>
      </c>
    </row>
    <row r="15" spans="1:18" ht="29.55" customHeight="1">
      <c r="A15" s="242"/>
      <c r="B15" s="460" t="s">
        <v>12522</v>
      </c>
      <c r="C15" s="286" t="s">
        <v>12500</v>
      </c>
      <c r="D15" s="286">
        <v>2</v>
      </c>
      <c r="E15" s="1234">
        <v>0</v>
      </c>
      <c r="F15" s="200"/>
      <c r="G15" s="290" t="s">
        <v>12523</v>
      </c>
      <c r="H15" s="242"/>
      <c r="I15" s="1233"/>
      <c r="J15" s="242"/>
      <c r="K15" s="238"/>
      <c r="L15" s="1232">
        <f t="shared" si="0"/>
        <v>0</v>
      </c>
      <c r="M15" s="238"/>
      <c r="N15" s="285">
        <f t="shared" si="1"/>
        <v>0</v>
      </c>
      <c r="O15" s="238"/>
      <c r="Q15" s="460" t="s">
        <v>12522</v>
      </c>
      <c r="R15" s="1234" t="s">
        <v>12524</v>
      </c>
    </row>
    <row r="16" spans="1:18" ht="29.55" customHeight="1">
      <c r="A16" s="242"/>
      <c r="B16" s="460" t="s">
        <v>12525</v>
      </c>
      <c r="C16" s="286" t="s">
        <v>4843</v>
      </c>
      <c r="D16" s="286">
        <v>0</v>
      </c>
      <c r="E16" s="1330">
        <v>37</v>
      </c>
      <c r="F16" s="106"/>
      <c r="G16" s="290" t="s">
        <v>12526</v>
      </c>
      <c r="H16" s="242"/>
      <c r="I16" s="1233"/>
      <c r="J16" s="242"/>
      <c r="K16" s="238"/>
      <c r="L16" s="1232">
        <f t="shared" si="0"/>
        <v>0</v>
      </c>
      <c r="M16" s="238"/>
      <c r="N16" s="285">
        <f t="shared" si="1"/>
        <v>0</v>
      </c>
      <c r="O16" s="238"/>
      <c r="Q16" s="460" t="s">
        <v>12525</v>
      </c>
      <c r="R16" s="964" t="s">
        <v>12527</v>
      </c>
    </row>
    <row r="17" spans="1:21" ht="29.55" customHeight="1">
      <c r="A17" s="242"/>
      <c r="B17" s="460" t="s">
        <v>12528</v>
      </c>
      <c r="C17" s="286" t="s">
        <v>4843</v>
      </c>
      <c r="D17" s="286">
        <v>0</v>
      </c>
      <c r="E17" s="1330">
        <v>4</v>
      </c>
      <c r="F17" s="106"/>
      <c r="G17" s="290" t="s">
        <v>12529</v>
      </c>
      <c r="H17" s="242"/>
      <c r="I17" s="1233"/>
      <c r="J17" s="242"/>
      <c r="K17" s="238"/>
      <c r="L17" s="1232">
        <f t="shared" si="0"/>
        <v>0</v>
      </c>
      <c r="M17" s="238"/>
      <c r="N17" s="285">
        <f t="shared" si="1"/>
        <v>0</v>
      </c>
      <c r="O17" s="238"/>
      <c r="Q17" s="460" t="s">
        <v>12528</v>
      </c>
      <c r="R17" s="964" t="s">
        <v>12530</v>
      </c>
    </row>
    <row r="18" spans="1:21" ht="29.55" customHeight="1">
      <c r="A18" s="242"/>
      <c r="B18" s="460" t="s">
        <v>12531</v>
      </c>
      <c r="C18" s="286" t="s">
        <v>4843</v>
      </c>
      <c r="D18" s="286">
        <v>0</v>
      </c>
      <c r="E18" s="1330">
        <v>26</v>
      </c>
      <c r="F18" s="106"/>
      <c r="G18" s="290" t="s">
        <v>12532</v>
      </c>
      <c r="H18" s="242"/>
      <c r="I18" s="1233"/>
      <c r="J18" s="242"/>
      <c r="K18" s="238"/>
      <c r="L18" s="1232">
        <f t="shared" si="0"/>
        <v>0</v>
      </c>
      <c r="M18" s="238"/>
      <c r="N18" s="285">
        <f t="shared" si="1"/>
        <v>0</v>
      </c>
      <c r="O18" s="238"/>
      <c r="Q18" s="460" t="s">
        <v>12531</v>
      </c>
      <c r="R18" s="964" t="s">
        <v>12533</v>
      </c>
    </row>
    <row r="19" spans="1:21" ht="29.55" customHeight="1">
      <c r="A19" s="242"/>
      <c r="B19" s="460" t="s">
        <v>12534</v>
      </c>
      <c r="C19" s="286" t="s">
        <v>4843</v>
      </c>
      <c r="D19" s="286">
        <v>0</v>
      </c>
      <c r="E19" s="1330">
        <v>14</v>
      </c>
      <c r="F19" s="106"/>
      <c r="G19" s="290" t="s">
        <v>12535</v>
      </c>
      <c r="H19" s="242"/>
      <c r="I19" s="1233"/>
      <c r="J19" s="242"/>
      <c r="K19" s="238"/>
      <c r="L19" s="1232">
        <f t="shared" si="0"/>
        <v>0</v>
      </c>
      <c r="M19" s="238"/>
      <c r="N19" s="285">
        <f t="shared" si="1"/>
        <v>0</v>
      </c>
      <c r="O19" s="238"/>
      <c r="Q19" s="460" t="s">
        <v>12534</v>
      </c>
      <c r="R19" s="964" t="s">
        <v>12536</v>
      </c>
      <c r="S19" s="308"/>
      <c r="T19" s="308"/>
      <c r="U19" s="338"/>
    </row>
    <row r="20" spans="1:21" ht="29.55" customHeight="1">
      <c r="A20" s="242"/>
      <c r="B20" s="460" t="s">
        <v>12537</v>
      </c>
      <c r="C20" s="286" t="s">
        <v>4843</v>
      </c>
      <c r="D20" s="286">
        <v>0</v>
      </c>
      <c r="E20" s="1330">
        <v>0</v>
      </c>
      <c r="F20" s="106"/>
      <c r="G20" s="290" t="s">
        <v>12538</v>
      </c>
      <c r="H20" s="242"/>
      <c r="I20" s="1233"/>
      <c r="J20" s="242"/>
      <c r="K20" s="238"/>
      <c r="L20" s="1232">
        <f t="shared" si="0"/>
        <v>0</v>
      </c>
      <c r="M20" s="238"/>
      <c r="N20" s="285">
        <f t="shared" si="1"/>
        <v>0</v>
      </c>
      <c r="O20" s="238"/>
      <c r="Q20" s="460" t="s">
        <v>12537</v>
      </c>
      <c r="R20" s="964" t="s">
        <v>12539</v>
      </c>
    </row>
    <row r="21" spans="1:21" ht="29.55" customHeight="1">
      <c r="A21" s="242"/>
      <c r="B21" s="460" t="s">
        <v>12540</v>
      </c>
      <c r="C21" s="286" t="s">
        <v>4843</v>
      </c>
      <c r="D21" s="286">
        <v>0</v>
      </c>
      <c r="E21" s="1330">
        <v>0</v>
      </c>
      <c r="F21" s="106"/>
      <c r="G21" s="290" t="s">
        <v>12541</v>
      </c>
      <c r="H21" s="242"/>
      <c r="I21" s="1233"/>
      <c r="J21" s="242"/>
      <c r="K21" s="238"/>
      <c r="L21" s="1232">
        <f t="shared" si="0"/>
        <v>0</v>
      </c>
      <c r="M21" s="238"/>
      <c r="N21" s="285">
        <f t="shared" si="1"/>
        <v>0</v>
      </c>
      <c r="O21" s="238"/>
      <c r="Q21" s="460" t="s">
        <v>12540</v>
      </c>
      <c r="R21" s="964" t="s">
        <v>12542</v>
      </c>
    </row>
    <row r="22" spans="1:21" ht="29.55" customHeight="1">
      <c r="A22" s="242"/>
      <c r="B22" s="460" t="s">
        <v>12543</v>
      </c>
      <c r="C22" s="286" t="s">
        <v>4843</v>
      </c>
      <c r="D22" s="286">
        <v>0</v>
      </c>
      <c r="E22" s="1330">
        <v>0</v>
      </c>
      <c r="F22" s="200"/>
      <c r="G22" s="290" t="s">
        <v>12544</v>
      </c>
      <c r="H22" s="242"/>
      <c r="I22" s="1233"/>
      <c r="J22" s="242"/>
      <c r="K22" s="238"/>
      <c r="L22" s="1232">
        <f t="shared" si="0"/>
        <v>0</v>
      </c>
      <c r="M22" s="238"/>
      <c r="N22" s="285">
        <f t="shared" si="1"/>
        <v>0</v>
      </c>
      <c r="O22" s="238"/>
      <c r="Q22" s="460" t="s">
        <v>12543</v>
      </c>
      <c r="R22" s="964" t="s">
        <v>12545</v>
      </c>
    </row>
    <row r="23" spans="1:21" ht="29.55" customHeight="1">
      <c r="A23" s="242"/>
      <c r="B23" s="460" t="s">
        <v>12546</v>
      </c>
      <c r="C23" s="286" t="s">
        <v>4843</v>
      </c>
      <c r="D23" s="286">
        <v>0</v>
      </c>
      <c r="E23" s="1330">
        <v>0</v>
      </c>
      <c r="F23" s="106"/>
      <c r="G23" s="290" t="s">
        <v>12547</v>
      </c>
      <c r="H23" s="242"/>
      <c r="I23" s="1233"/>
      <c r="J23" s="242"/>
      <c r="K23" s="238"/>
      <c r="L23" s="1232">
        <f t="shared" si="0"/>
        <v>0</v>
      </c>
      <c r="M23" s="238"/>
      <c r="N23" s="285">
        <f t="shared" si="1"/>
        <v>0</v>
      </c>
      <c r="O23" s="238"/>
      <c r="Q23" s="460" t="s">
        <v>12546</v>
      </c>
      <c r="R23" s="964" t="s">
        <v>12548</v>
      </c>
    </row>
    <row r="24" spans="1:21" ht="29.55" customHeight="1">
      <c r="A24" s="242"/>
      <c r="B24" s="460" t="s">
        <v>12549</v>
      </c>
      <c r="C24" s="286" t="s">
        <v>4843</v>
      </c>
      <c r="D24" s="286">
        <v>0</v>
      </c>
      <c r="E24" s="1332">
        <f>IFERROR(SUM(E16:E23),0)</f>
        <v>81</v>
      </c>
      <c r="F24" s="200"/>
      <c r="G24" s="290" t="s">
        <v>12550</v>
      </c>
      <c r="H24" s="242"/>
      <c r="I24" s="1233"/>
      <c r="J24" s="242"/>
      <c r="K24" s="238"/>
      <c r="M24" s="238"/>
      <c r="O24" s="238"/>
      <c r="Q24" s="460" t="s">
        <v>12549</v>
      </c>
      <c r="R24" s="1235" t="s">
        <v>12551</v>
      </c>
    </row>
    <row r="25" spans="1:21" ht="29.55" customHeight="1">
      <c r="A25" s="242"/>
      <c r="B25" s="460" t="s">
        <v>12552</v>
      </c>
      <c r="C25" s="286" t="s">
        <v>4843</v>
      </c>
      <c r="D25" s="286">
        <v>0</v>
      </c>
      <c r="E25" s="1330">
        <v>73</v>
      </c>
      <c r="F25" s="106"/>
      <c r="G25" s="290" t="s">
        <v>12553</v>
      </c>
      <c r="H25" s="242"/>
      <c r="I25" s="1233" t="s">
        <v>18534</v>
      </c>
      <c r="J25" s="242"/>
      <c r="K25" s="238"/>
      <c r="L25" s="1232">
        <f t="shared" ref="L25:L37" si="2">IF( SUM( N25:N25 ) = 0, 0, $N$5 )</f>
        <v>0</v>
      </c>
      <c r="M25" s="238"/>
      <c r="N25" s="285">
        <f t="shared" ref="N25:N37" si="3" xml:space="preserve"> IF( ISNUMBER(E25), 0, 1 )</f>
        <v>0</v>
      </c>
      <c r="O25" s="238"/>
      <c r="Q25" s="460" t="s">
        <v>12552</v>
      </c>
      <c r="R25" s="1073" t="s">
        <v>12554</v>
      </c>
    </row>
    <row r="26" spans="1:21" ht="29.55" customHeight="1">
      <c r="A26" s="242"/>
      <c r="B26" s="460" t="s">
        <v>12555</v>
      </c>
      <c r="C26" s="286" t="s">
        <v>6755</v>
      </c>
      <c r="D26" s="286">
        <v>0</v>
      </c>
      <c r="E26" s="1330">
        <v>459105</v>
      </c>
      <c r="F26" s="106"/>
      <c r="G26" s="290" t="s">
        <v>12556</v>
      </c>
      <c r="H26" s="242"/>
      <c r="I26" s="1233" t="s">
        <v>18535</v>
      </c>
      <c r="J26" s="242"/>
      <c r="K26" s="238"/>
      <c r="L26" s="1232">
        <f t="shared" si="2"/>
        <v>0</v>
      </c>
      <c r="M26" s="238"/>
      <c r="N26" s="285">
        <f t="shared" si="3"/>
        <v>0</v>
      </c>
      <c r="O26" s="238"/>
      <c r="Q26" s="460" t="s">
        <v>12555</v>
      </c>
      <c r="R26" s="964" t="s">
        <v>12557</v>
      </c>
    </row>
    <row r="27" spans="1:21" ht="29.55" customHeight="1">
      <c r="A27" s="242"/>
      <c r="B27" s="460" t="s">
        <v>12558</v>
      </c>
      <c r="C27" s="286" t="s">
        <v>4843</v>
      </c>
      <c r="D27" s="286">
        <v>0</v>
      </c>
      <c r="E27" s="1330">
        <v>56</v>
      </c>
      <c r="F27" s="106"/>
      <c r="G27" s="290" t="s">
        <v>12559</v>
      </c>
      <c r="H27" s="242"/>
      <c r="I27" s="1233"/>
      <c r="J27" s="242"/>
      <c r="K27" s="238"/>
      <c r="L27" s="1232">
        <f t="shared" si="2"/>
        <v>0</v>
      </c>
      <c r="M27" s="238"/>
      <c r="N27" s="285">
        <f t="shared" si="3"/>
        <v>0</v>
      </c>
      <c r="O27" s="238"/>
      <c r="Q27" s="460" t="s">
        <v>12558</v>
      </c>
      <c r="R27" s="964" t="s">
        <v>12560</v>
      </c>
    </row>
    <row r="28" spans="1:21" ht="29.55" customHeight="1">
      <c r="A28" s="242"/>
      <c r="B28" s="460" t="s">
        <v>12561</v>
      </c>
      <c r="C28" s="286" t="s">
        <v>12562</v>
      </c>
      <c r="D28" s="286">
        <v>0</v>
      </c>
      <c r="E28" s="1330">
        <v>32522</v>
      </c>
      <c r="F28" s="106"/>
      <c r="G28" s="290" t="s">
        <v>12563</v>
      </c>
      <c r="H28" s="242"/>
      <c r="I28" s="1233"/>
      <c r="J28" s="242"/>
      <c r="K28" s="238"/>
      <c r="L28" s="1232">
        <f t="shared" si="2"/>
        <v>0</v>
      </c>
      <c r="M28" s="238"/>
      <c r="N28" s="285">
        <f t="shared" si="3"/>
        <v>0</v>
      </c>
      <c r="O28" s="238"/>
      <c r="Q28" s="460" t="s">
        <v>12561</v>
      </c>
      <c r="R28" s="964" t="s">
        <v>12564</v>
      </c>
    </row>
    <row r="29" spans="1:21" ht="29.55" customHeight="1">
      <c r="A29" s="242"/>
      <c r="B29" s="460" t="s">
        <v>12565</v>
      </c>
      <c r="C29" s="286" t="s">
        <v>12566</v>
      </c>
      <c r="D29" s="286">
        <v>2</v>
      </c>
      <c r="E29" s="1234">
        <v>78.84</v>
      </c>
      <c r="F29" s="106"/>
      <c r="G29" s="290" t="s">
        <v>12567</v>
      </c>
      <c r="H29" s="242"/>
      <c r="I29" s="1233"/>
      <c r="J29" s="242"/>
      <c r="K29" s="238"/>
      <c r="L29" s="1232">
        <f t="shared" si="2"/>
        <v>0</v>
      </c>
      <c r="M29" s="238"/>
      <c r="N29" s="285">
        <f t="shared" si="3"/>
        <v>0</v>
      </c>
      <c r="O29" s="238"/>
      <c r="Q29" s="460" t="s">
        <v>12565</v>
      </c>
      <c r="R29" s="964" t="s">
        <v>12568</v>
      </c>
    </row>
    <row r="30" spans="1:21" ht="29.55" customHeight="1">
      <c r="A30" s="242"/>
      <c r="B30" s="460" t="s">
        <v>12569</v>
      </c>
      <c r="C30" s="286" t="s">
        <v>12570</v>
      </c>
      <c r="D30" s="286">
        <v>2</v>
      </c>
      <c r="E30" s="1234">
        <v>37.46</v>
      </c>
      <c r="F30" s="106"/>
      <c r="G30" s="290" t="s">
        <v>12571</v>
      </c>
      <c r="H30" s="242"/>
      <c r="I30" s="1233" t="s">
        <v>18536</v>
      </c>
      <c r="J30" s="242"/>
      <c r="K30" s="238"/>
      <c r="L30" s="1232">
        <f t="shared" si="2"/>
        <v>0</v>
      </c>
      <c r="M30" s="238"/>
      <c r="N30" s="285">
        <f t="shared" si="3"/>
        <v>0</v>
      </c>
      <c r="O30" s="238"/>
      <c r="Q30" s="460" t="s">
        <v>12569</v>
      </c>
      <c r="R30" s="964" t="s">
        <v>12572</v>
      </c>
    </row>
    <row r="31" spans="1:21" ht="29.55" customHeight="1">
      <c r="A31" s="242"/>
      <c r="B31" s="460" t="s">
        <v>12573</v>
      </c>
      <c r="C31" s="286" t="s">
        <v>12574</v>
      </c>
      <c r="D31" s="286">
        <v>3</v>
      </c>
      <c r="E31" s="698">
        <v>65162.906000000003</v>
      </c>
      <c r="F31" s="200"/>
      <c r="G31" s="290" t="s">
        <v>12575</v>
      </c>
      <c r="H31" s="242"/>
      <c r="I31" s="1233"/>
      <c r="J31" s="242"/>
      <c r="K31" s="238"/>
      <c r="L31" s="1232">
        <f t="shared" si="2"/>
        <v>0</v>
      </c>
      <c r="M31" s="238"/>
      <c r="N31" s="285">
        <f t="shared" si="3"/>
        <v>0</v>
      </c>
      <c r="O31" s="238"/>
      <c r="Q31" s="460" t="s">
        <v>12576</v>
      </c>
      <c r="R31" s="964" t="s">
        <v>12577</v>
      </c>
    </row>
    <row r="32" spans="1:21" ht="29.55" customHeight="1">
      <c r="A32" s="242"/>
      <c r="B32" s="460" t="s">
        <v>12578</v>
      </c>
      <c r="C32" s="286" t="s">
        <v>4843</v>
      </c>
      <c r="D32" s="286">
        <v>0</v>
      </c>
      <c r="E32" s="1330">
        <v>0</v>
      </c>
      <c r="F32" s="106"/>
      <c r="G32" s="290" t="s">
        <v>12579</v>
      </c>
      <c r="H32" s="242"/>
      <c r="I32" s="1233"/>
      <c r="J32" s="242"/>
      <c r="K32" s="238"/>
      <c r="L32" s="1232">
        <f t="shared" si="2"/>
        <v>0</v>
      </c>
      <c r="M32" s="238"/>
      <c r="N32" s="285">
        <f t="shared" si="3"/>
        <v>0</v>
      </c>
      <c r="O32" s="238"/>
      <c r="Q32" s="460" t="s">
        <v>12578</v>
      </c>
      <c r="R32" s="964" t="s">
        <v>12580</v>
      </c>
    </row>
    <row r="33" spans="1:18" ht="29.55" customHeight="1">
      <c r="A33" s="242"/>
      <c r="B33" s="460" t="s">
        <v>12581</v>
      </c>
      <c r="C33" s="286" t="s">
        <v>12500</v>
      </c>
      <c r="D33" s="286">
        <v>2</v>
      </c>
      <c r="E33" s="1234">
        <v>0</v>
      </c>
      <c r="F33" s="106"/>
      <c r="G33" s="290" t="s">
        <v>12582</v>
      </c>
      <c r="H33" s="242"/>
      <c r="I33" s="1233"/>
      <c r="J33" s="242"/>
      <c r="K33" s="238"/>
      <c r="L33" s="1232">
        <f t="shared" si="2"/>
        <v>0</v>
      </c>
      <c r="M33" s="238"/>
      <c r="N33" s="285">
        <f t="shared" si="3"/>
        <v>0</v>
      </c>
      <c r="O33" s="238"/>
      <c r="Q33" s="460" t="s">
        <v>12583</v>
      </c>
      <c r="R33" s="1234" t="s">
        <v>12584</v>
      </c>
    </row>
    <row r="34" spans="1:18" ht="29.55" customHeight="1">
      <c r="A34" s="242"/>
      <c r="B34" s="460" t="s">
        <v>12585</v>
      </c>
      <c r="C34" s="286" t="s">
        <v>4843</v>
      </c>
      <c r="D34" s="286">
        <v>0</v>
      </c>
      <c r="E34" s="1330">
        <v>1</v>
      </c>
      <c r="F34" s="106"/>
      <c r="G34" s="290" t="s">
        <v>12586</v>
      </c>
      <c r="H34" s="242"/>
      <c r="I34" s="1233" t="s">
        <v>18537</v>
      </c>
      <c r="J34" s="242"/>
      <c r="K34" s="238"/>
      <c r="L34" s="1232">
        <f t="shared" si="2"/>
        <v>0</v>
      </c>
      <c r="M34" s="238"/>
      <c r="N34" s="285">
        <f t="shared" si="3"/>
        <v>0</v>
      </c>
      <c r="O34" s="238"/>
      <c r="Q34" s="460" t="s">
        <v>12585</v>
      </c>
      <c r="R34" s="964" t="s">
        <v>12587</v>
      </c>
    </row>
    <row r="35" spans="1:18" ht="29.55" customHeight="1">
      <c r="A35" s="242"/>
      <c r="B35" s="460" t="s">
        <v>12588</v>
      </c>
      <c r="C35" s="286" t="s">
        <v>12500</v>
      </c>
      <c r="D35" s="286">
        <v>2</v>
      </c>
      <c r="E35" s="1234">
        <v>280.57</v>
      </c>
      <c r="F35" s="200"/>
      <c r="G35" s="290" t="s">
        <v>12589</v>
      </c>
      <c r="H35" s="242"/>
      <c r="I35" s="1233"/>
      <c r="J35" s="242"/>
      <c r="K35" s="238"/>
      <c r="L35" s="1232">
        <f t="shared" ref="L35:L36" si="4">IF( SUM( N35:N35 ) = 0, 0, $N$5 )</f>
        <v>0</v>
      </c>
      <c r="M35" s="238"/>
      <c r="N35" s="285">
        <f t="shared" ref="N35:N36" si="5" xml:space="preserve"> IF( ISNUMBER(E35), 0, 1 )</f>
        <v>0</v>
      </c>
      <c r="O35" s="238"/>
      <c r="Q35" s="460" t="s">
        <v>12590</v>
      </c>
      <c r="R35" s="1234" t="s">
        <v>12591</v>
      </c>
    </row>
    <row r="36" spans="1:18" ht="29.55" customHeight="1">
      <c r="A36" s="242"/>
      <c r="B36" s="2326" t="s">
        <v>12592</v>
      </c>
      <c r="C36" s="2327" t="s">
        <v>12500</v>
      </c>
      <c r="D36" s="2327">
        <v>2</v>
      </c>
      <c r="E36" s="2339">
        <v>932.7</v>
      </c>
      <c r="F36" s="200"/>
      <c r="G36" s="2328" t="s">
        <v>12593</v>
      </c>
      <c r="H36" s="242"/>
      <c r="I36" s="2330"/>
      <c r="J36" s="242"/>
      <c r="K36" s="238"/>
      <c r="L36" s="1232">
        <f t="shared" si="4"/>
        <v>0</v>
      </c>
      <c r="M36" s="238"/>
      <c r="N36" s="285">
        <f t="shared" si="5"/>
        <v>0</v>
      </c>
      <c r="O36" s="238"/>
      <c r="Q36" s="2326" t="s">
        <v>12592</v>
      </c>
      <c r="R36" s="2339" t="s">
        <v>12594</v>
      </c>
    </row>
    <row r="37" spans="1:18" ht="29.55" customHeight="1" thickBot="1">
      <c r="A37" s="242"/>
      <c r="B37" s="2415" t="s">
        <v>12595</v>
      </c>
      <c r="C37" s="2416" t="s">
        <v>4843</v>
      </c>
      <c r="D37" s="2416">
        <v>0</v>
      </c>
      <c r="E37" s="2338">
        <v>4</v>
      </c>
      <c r="F37" s="200"/>
      <c r="G37" s="290" t="s">
        <v>12596</v>
      </c>
      <c r="H37" s="242"/>
      <c r="I37" s="2329"/>
      <c r="J37" s="242"/>
      <c r="K37" s="238"/>
      <c r="L37" s="1232">
        <f t="shared" si="2"/>
        <v>0</v>
      </c>
      <c r="M37" s="238"/>
      <c r="N37" s="285">
        <f t="shared" si="3"/>
        <v>0</v>
      </c>
      <c r="O37" s="238"/>
      <c r="Q37" s="2415" t="s">
        <v>12595</v>
      </c>
      <c r="R37" s="2338" t="s">
        <v>17463</v>
      </c>
    </row>
    <row r="38" spans="1:18" ht="29.55" customHeight="1" thickTop="1">
      <c r="A38" s="242"/>
      <c r="B38" s="242"/>
      <c r="C38" s="242"/>
      <c r="D38" s="242"/>
      <c r="E38" s="242"/>
      <c r="F38" s="242"/>
      <c r="G38" s="242"/>
      <c r="H38" s="242"/>
      <c r="I38" s="242"/>
      <c r="J38" s="242"/>
    </row>
    <row r="39" spans="1:18" ht="29.55" customHeight="1">
      <c r="A39" s="242"/>
      <c r="B39" s="242"/>
      <c r="C39" s="242"/>
      <c r="D39" s="242"/>
      <c r="E39" s="242"/>
      <c r="F39" s="242"/>
      <c r="G39" s="242"/>
      <c r="H39" s="242"/>
      <c r="I39" s="242"/>
      <c r="J39" s="242"/>
    </row>
    <row r="40" spans="1:18" ht="29.55" customHeight="1">
      <c r="A40" s="242"/>
      <c r="B40" s="242"/>
      <c r="C40" s="242"/>
      <c r="D40" s="242"/>
      <c r="E40" s="242"/>
      <c r="F40" s="242"/>
      <c r="G40" s="242"/>
      <c r="H40" s="242"/>
      <c r="I40" s="242"/>
      <c r="J40" s="242"/>
    </row>
    <row r="41" spans="1:18" ht="29.5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7" priority="3" operator="equal">
      <formula>0</formula>
    </cfRule>
  </conditionalFormatting>
  <conditionalFormatting sqref="L25:L37">
    <cfRule type="cellIs" dxfId="76"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H22" sqref="H22"/>
    </sheetView>
  </sheetViews>
  <sheetFormatPr defaultColWidth="9" defaultRowHeight="15.6"/>
  <cols>
    <col min="1" max="1" width="1.59765625" style="17" customWidth="1"/>
    <col min="2" max="2" width="45.09765625" style="17" bestFit="1" customWidth="1"/>
    <col min="3" max="3" width="5.5" style="17" bestFit="1" customWidth="1"/>
    <col min="4" max="4" width="4.69921875" style="17" bestFit="1" customWidth="1"/>
    <col min="5" max="5" width="11.59765625" style="17" bestFit="1" customWidth="1"/>
    <col min="6" max="6" width="8.5" style="17" bestFit="1" customWidth="1"/>
    <col min="7" max="7" width="12.09765625" style="17" bestFit="1" customWidth="1"/>
    <col min="8" max="8" width="19.69921875" style="17" bestFit="1" customWidth="1"/>
    <col min="9" max="9" width="17.19921875" style="17" bestFit="1" customWidth="1"/>
    <col min="10" max="10" width="20.59765625" style="17" bestFit="1" customWidth="1"/>
    <col min="11" max="11" width="10.2968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197"/>
      <c r="B1" s="1229" t="s">
        <v>12597</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Dŵr Cymru</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29" t="s">
        <v>12598</v>
      </c>
      <c r="C3" s="2829"/>
      <c r="D3" s="2829"/>
      <c r="E3" s="2829"/>
      <c r="F3" s="2829"/>
      <c r="G3" s="2829"/>
      <c r="H3" s="2829"/>
      <c r="I3" s="2829"/>
      <c r="J3" s="2829"/>
      <c r="K3" s="2829"/>
      <c r="L3" s="2829"/>
      <c r="M3" s="2829"/>
      <c r="N3" s="2829"/>
      <c r="O3" s="2829"/>
      <c r="P3" s="2829"/>
      <c r="Q3" s="267"/>
      <c r="R3" s="238"/>
      <c r="S3" s="1240" t="s">
        <v>4200</v>
      </c>
      <c r="T3" s="238"/>
      <c r="U3" s="219"/>
      <c r="V3" s="219"/>
      <c r="W3" s="219"/>
      <c r="X3" s="219"/>
      <c r="Y3" s="219"/>
      <c r="Z3" s="219"/>
      <c r="AA3" s="219"/>
      <c r="AB3" s="238"/>
      <c r="AC3" s="219"/>
      <c r="AD3" s="2829" t="s">
        <v>12598</v>
      </c>
      <c r="AE3" s="2829"/>
      <c r="AF3" s="2829"/>
      <c r="AG3" s="2829"/>
      <c r="AH3" s="2829"/>
      <c r="AI3" s="2829"/>
      <c r="AJ3" s="2829"/>
      <c r="AK3" s="2829"/>
      <c r="AL3" s="2829"/>
      <c r="AM3" s="2829"/>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17" t="s">
        <v>4201</v>
      </c>
      <c r="V4" s="2917"/>
      <c r="W4" s="2917"/>
      <c r="X4" s="2917"/>
      <c r="Y4" s="2917"/>
      <c r="Z4" s="2917"/>
      <c r="AA4" s="2917"/>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12599</v>
      </c>
      <c r="F5" s="446" t="s">
        <v>12600</v>
      </c>
      <c r="G5" s="446" t="s">
        <v>12601</v>
      </c>
      <c r="H5" s="446" t="s">
        <v>12602</v>
      </c>
      <c r="I5" s="446" t="s">
        <v>12603</v>
      </c>
      <c r="J5" s="446" t="s">
        <v>12604</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12599</v>
      </c>
      <c r="AF5" s="446" t="s">
        <v>12600</v>
      </c>
      <c r="AG5" s="446" t="s">
        <v>12601</v>
      </c>
      <c r="AH5" s="446" t="s">
        <v>12602</v>
      </c>
      <c r="AI5" s="446" t="s">
        <v>12603</v>
      </c>
      <c r="AJ5" s="446" t="s">
        <v>12604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0.55800000000000005</v>
      </c>
      <c r="F8" s="278">
        <v>0.57799999999999996</v>
      </c>
      <c r="G8" s="278">
        <v>8.9039999999999999</v>
      </c>
      <c r="H8" s="278">
        <v>0.73399999999999999</v>
      </c>
      <c r="I8" s="278">
        <v>0</v>
      </c>
      <c r="J8" s="278">
        <v>0</v>
      </c>
      <c r="K8" s="278">
        <v>0</v>
      </c>
      <c r="L8" s="280">
        <f>IFERROR(SUM(E8:K8),0)</f>
        <v>10.773999999999999</v>
      </c>
      <c r="M8" s="415"/>
      <c r="N8" s="281" t="s">
        <v>12605</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12606</v>
      </c>
      <c r="AF8" s="278" t="s">
        <v>12607</v>
      </c>
      <c r="AG8" s="278" t="s">
        <v>12608</v>
      </c>
      <c r="AH8" s="278" t="s">
        <v>12609</v>
      </c>
      <c r="AI8" s="278" t="s">
        <v>12610</v>
      </c>
      <c r="AJ8" s="278" t="s">
        <v>12611</v>
      </c>
      <c r="AK8" s="278" t="s">
        <v>12612</v>
      </c>
      <c r="AL8" s="280" t="s">
        <v>12613</v>
      </c>
      <c r="AM8" s="415"/>
      <c r="AN8" s="219"/>
      <c r="AO8" s="195"/>
      <c r="AP8" s="195"/>
    </row>
    <row r="9" spans="1:42" s="15" customFormat="1" ht="15.75" customHeight="1">
      <c r="A9" s="195"/>
      <c r="B9" s="460" t="s">
        <v>5251</v>
      </c>
      <c r="C9" s="286" t="s">
        <v>4215</v>
      </c>
      <c r="D9" s="286">
        <v>3</v>
      </c>
      <c r="E9" s="287">
        <v>-6.4409999999999998</v>
      </c>
      <c r="F9" s="287">
        <v>-0.03</v>
      </c>
      <c r="G9" s="287">
        <v>-0.23699999999999999</v>
      </c>
      <c r="H9" s="287">
        <v>-3.4000000000000002E-2</v>
      </c>
      <c r="I9" s="287">
        <v>0</v>
      </c>
      <c r="J9" s="287">
        <v>0</v>
      </c>
      <c r="K9" s="287">
        <v>0</v>
      </c>
      <c r="L9" s="289">
        <f>IFERROR(SUM(E9:K9),0)</f>
        <v>-6.742</v>
      </c>
      <c r="M9" s="415"/>
      <c r="N9" s="290" t="s">
        <v>12614</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12615</v>
      </c>
      <c r="AF9" s="287" t="s">
        <v>12616</v>
      </c>
      <c r="AG9" s="287" t="s">
        <v>12617</v>
      </c>
      <c r="AH9" s="287" t="s">
        <v>12618</v>
      </c>
      <c r="AI9" s="287" t="s">
        <v>12619</v>
      </c>
      <c r="AJ9" s="287" t="s">
        <v>12620</v>
      </c>
      <c r="AK9" s="287" t="s">
        <v>12621</v>
      </c>
      <c r="AL9" s="289" t="s">
        <v>12622</v>
      </c>
      <c r="AM9" s="415"/>
      <c r="AN9" s="219"/>
      <c r="AO9" s="195"/>
      <c r="AP9" s="195"/>
    </row>
    <row r="10" spans="1:42" s="15" customFormat="1" ht="15.75" customHeight="1">
      <c r="A10" s="195"/>
      <c r="B10" s="460" t="s">
        <v>5261</v>
      </c>
      <c r="C10" s="286" t="s">
        <v>4215</v>
      </c>
      <c r="D10" s="286">
        <v>3</v>
      </c>
      <c r="E10" s="287">
        <v>2.95</v>
      </c>
      <c r="F10" s="287">
        <v>0.75800000000000001</v>
      </c>
      <c r="G10" s="287">
        <v>5.5709999999999997</v>
      </c>
      <c r="H10" s="287">
        <v>0.38200000000000001</v>
      </c>
      <c r="I10" s="287">
        <v>0</v>
      </c>
      <c r="J10" s="287">
        <v>0</v>
      </c>
      <c r="K10" s="287">
        <v>0</v>
      </c>
      <c r="L10" s="289">
        <f>IFERROR(SUM(E10:K10),0)</f>
        <v>9.6609999999999996</v>
      </c>
      <c r="M10" s="415"/>
      <c r="N10" s="290" t="s">
        <v>12623</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12624</v>
      </c>
      <c r="AF10" s="287" t="s">
        <v>12625</v>
      </c>
      <c r="AG10" s="287" t="s">
        <v>12626</v>
      </c>
      <c r="AH10" s="287" t="s">
        <v>12627</v>
      </c>
      <c r="AI10" s="287" t="s">
        <v>12628</v>
      </c>
      <c r="AJ10" s="287" t="s">
        <v>12629</v>
      </c>
      <c r="AK10" s="287" t="s">
        <v>12630</v>
      </c>
      <c r="AL10" s="289" t="s">
        <v>12631</v>
      </c>
      <c r="AM10" s="415"/>
      <c r="AN10" s="219"/>
      <c r="AO10" s="195"/>
      <c r="AP10" s="195"/>
    </row>
    <row r="11" spans="1:42" s="15" customFormat="1" ht="15.75" customHeight="1" thickBot="1">
      <c r="A11" s="195"/>
      <c r="B11" s="463" t="s">
        <v>8911</v>
      </c>
      <c r="C11" s="355" t="s">
        <v>4215</v>
      </c>
      <c r="D11" s="355">
        <v>3</v>
      </c>
      <c r="E11" s="297">
        <v>0.84799999999999998</v>
      </c>
      <c r="F11" s="297">
        <v>0</v>
      </c>
      <c r="G11" s="297">
        <v>-0.38900000000000001</v>
      </c>
      <c r="H11" s="297">
        <v>-0.317</v>
      </c>
      <c r="I11" s="297">
        <v>0</v>
      </c>
      <c r="J11" s="297">
        <v>0</v>
      </c>
      <c r="K11" s="297">
        <v>0</v>
      </c>
      <c r="L11" s="299">
        <f>IFERROR(SUM(E11:K11),0)</f>
        <v>0.14199999999999996</v>
      </c>
      <c r="M11" s="415"/>
      <c r="N11" s="356" t="s">
        <v>12632</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8911</v>
      </c>
      <c r="AE11" s="297" t="s">
        <v>12633</v>
      </c>
      <c r="AF11" s="297" t="s">
        <v>12634</v>
      </c>
      <c r="AG11" s="297" t="s">
        <v>12635</v>
      </c>
      <c r="AH11" s="297" t="s">
        <v>12636</v>
      </c>
      <c r="AI11" s="297" t="s">
        <v>12637</v>
      </c>
      <c r="AJ11" s="297" t="s">
        <v>12638</v>
      </c>
      <c r="AK11" s="297" t="s">
        <v>12639</v>
      </c>
      <c r="AL11" s="299" t="s">
        <v>12640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0.65100000000000002</v>
      </c>
      <c r="F14" s="278">
        <v>0</v>
      </c>
      <c r="G14" s="278">
        <v>0</v>
      </c>
      <c r="H14" s="278">
        <v>0</v>
      </c>
      <c r="I14" s="278">
        <v>0</v>
      </c>
      <c r="J14" s="278">
        <v>0</v>
      </c>
      <c r="K14" s="278">
        <v>0</v>
      </c>
      <c r="L14" s="280">
        <f t="shared" ref="L14:L18" si="8">IFERROR(SUM(E14:K14),0)</f>
        <v>0.65100000000000002</v>
      </c>
      <c r="M14" s="415"/>
      <c r="N14" s="281" t="s">
        <v>12641</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12642</v>
      </c>
      <c r="AF14" s="278" t="s">
        <v>12643</v>
      </c>
      <c r="AG14" s="278" t="s">
        <v>12644</v>
      </c>
      <c r="AH14" s="278" t="s">
        <v>12645</v>
      </c>
      <c r="AI14" s="278" t="s">
        <v>12646</v>
      </c>
      <c r="AJ14" s="278" t="s">
        <v>12647</v>
      </c>
      <c r="AK14" s="278" t="s">
        <v>12648</v>
      </c>
      <c r="AL14" s="280" t="s">
        <v>12649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12650</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12651</v>
      </c>
      <c r="AF15" s="287" t="s">
        <v>12652</v>
      </c>
      <c r="AG15" s="287" t="s">
        <v>12653</v>
      </c>
      <c r="AH15" s="287" t="s">
        <v>12654</v>
      </c>
      <c r="AI15" s="287" t="s">
        <v>12655</v>
      </c>
      <c r="AJ15" s="287" t="s">
        <v>12656</v>
      </c>
      <c r="AK15" s="287" t="s">
        <v>12657</v>
      </c>
      <c r="AL15" s="289" t="s">
        <v>12658</v>
      </c>
      <c r="AM15" s="415"/>
      <c r="AN15" s="219"/>
      <c r="AO15" s="195"/>
      <c r="AP15" s="195"/>
    </row>
    <row r="16" spans="1:42" s="15" customFormat="1" ht="15.75" customHeight="1">
      <c r="A16" s="195"/>
      <c r="B16" s="460" t="s">
        <v>12659</v>
      </c>
      <c r="C16" s="286" t="s">
        <v>4215</v>
      </c>
      <c r="D16" s="286">
        <v>3</v>
      </c>
      <c r="E16" s="287">
        <v>7.7552379683597001</v>
      </c>
      <c r="F16" s="287">
        <v>0.85351014154870941</v>
      </c>
      <c r="G16" s="287">
        <v>3.7737191340549545</v>
      </c>
      <c r="H16" s="287">
        <v>1.8925327560366361</v>
      </c>
      <c r="I16" s="287">
        <v>0</v>
      </c>
      <c r="J16" s="287">
        <v>0</v>
      </c>
      <c r="K16" s="287">
        <v>0</v>
      </c>
      <c r="L16" s="289">
        <f t="shared" si="8"/>
        <v>14.275000000000002</v>
      </c>
      <c r="M16" s="415"/>
      <c r="N16" s="290" t="s">
        <v>12660</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12661</v>
      </c>
      <c r="AE16" s="287" t="s">
        <v>12662</v>
      </c>
      <c r="AF16" s="287" t="s">
        <v>12663</v>
      </c>
      <c r="AG16" s="287" t="s">
        <v>12664</v>
      </c>
      <c r="AH16" s="287" t="s">
        <v>12665</v>
      </c>
      <c r="AI16" s="287" t="s">
        <v>12666</v>
      </c>
      <c r="AJ16" s="287" t="s">
        <v>12667</v>
      </c>
      <c r="AK16" s="287" t="s">
        <v>12668</v>
      </c>
      <c r="AL16" s="289" t="s">
        <v>12669</v>
      </c>
      <c r="AM16" s="415"/>
      <c r="AN16" s="219"/>
      <c r="AO16" s="195"/>
      <c r="AP16" s="195"/>
    </row>
    <row r="17" spans="1:42" s="15" customFormat="1" ht="15.75" customHeight="1">
      <c r="A17" s="195"/>
      <c r="B17" s="460" t="s">
        <v>5301</v>
      </c>
      <c r="C17" s="286" t="s">
        <v>4215</v>
      </c>
      <c r="D17" s="286">
        <v>3</v>
      </c>
      <c r="E17" s="287">
        <v>2.1070000000000002</v>
      </c>
      <c r="F17" s="287">
        <v>2E-3</v>
      </c>
      <c r="G17" s="287">
        <v>7.3999999999999996E-2</v>
      </c>
      <c r="H17" s="287">
        <v>4.9000000000000002E-2</v>
      </c>
      <c r="I17" s="287">
        <v>0</v>
      </c>
      <c r="J17" s="287">
        <v>0</v>
      </c>
      <c r="K17" s="287">
        <v>0</v>
      </c>
      <c r="L17" s="289">
        <f t="shared" si="8"/>
        <v>2.2319999999999998</v>
      </c>
      <c r="M17" s="415"/>
      <c r="N17" s="290" t="s">
        <v>12670</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12671</v>
      </c>
      <c r="AF17" s="287" t="s">
        <v>12672</v>
      </c>
      <c r="AG17" s="287" t="s">
        <v>12673</v>
      </c>
      <c r="AH17" s="287" t="s">
        <v>12674</v>
      </c>
      <c r="AI17" s="287" t="s">
        <v>12675</v>
      </c>
      <c r="AJ17" s="287" t="s">
        <v>12676</v>
      </c>
      <c r="AK17" s="287" t="s">
        <v>12677</v>
      </c>
      <c r="AL17" s="289" t="s">
        <v>12678</v>
      </c>
      <c r="AM17" s="415"/>
      <c r="AN17" s="219"/>
      <c r="AO17" s="195"/>
      <c r="AP17" s="195"/>
    </row>
    <row r="18" spans="1:42" s="15" customFormat="1" ht="15.75" customHeight="1" thickBot="1">
      <c r="A18" s="195"/>
      <c r="B18" s="463" t="s">
        <v>12679</v>
      </c>
      <c r="C18" s="355" t="s">
        <v>4215</v>
      </c>
      <c r="D18" s="355">
        <v>3</v>
      </c>
      <c r="E18" s="298">
        <f t="shared" ref="E18:K18" si="17">IFERROR(SUM(E8:E11,E14:E17),0)</f>
        <v>8.4282379683596993</v>
      </c>
      <c r="F18" s="298">
        <f t="shared" si="17"/>
        <v>2.1615101415487095</v>
      </c>
      <c r="G18" s="298">
        <f t="shared" si="17"/>
        <v>17.696719134054955</v>
      </c>
      <c r="H18" s="298">
        <f t="shared" si="17"/>
        <v>2.7065327560366357</v>
      </c>
      <c r="I18" s="298">
        <f t="shared" si="17"/>
        <v>0</v>
      </c>
      <c r="J18" s="298">
        <f t="shared" si="17"/>
        <v>0</v>
      </c>
      <c r="K18" s="298">
        <f t="shared" si="17"/>
        <v>0</v>
      </c>
      <c r="L18" s="299">
        <f t="shared" si="8"/>
        <v>30.993000000000002</v>
      </c>
      <c r="M18" s="415"/>
      <c r="N18" s="356" t="s">
        <v>12680</v>
      </c>
      <c r="O18" s="415"/>
      <c r="P18" s="302"/>
      <c r="Q18" s="415"/>
      <c r="R18" s="238"/>
      <c r="S18" s="219"/>
      <c r="T18" s="238"/>
      <c r="U18" s="219"/>
      <c r="V18" s="219"/>
      <c r="W18" s="219"/>
      <c r="X18" s="219"/>
      <c r="Y18" s="219"/>
      <c r="Z18" s="219"/>
      <c r="AA18" s="219"/>
      <c r="AB18" s="238"/>
      <c r="AC18" s="219"/>
      <c r="AD18" s="463" t="s">
        <v>12679</v>
      </c>
      <c r="AE18" s="298" t="s">
        <v>12681</v>
      </c>
      <c r="AF18" s="298" t="s">
        <v>12682</v>
      </c>
      <c r="AG18" s="298" t="s">
        <v>12683</v>
      </c>
      <c r="AH18" s="298" t="s">
        <v>12684</v>
      </c>
      <c r="AI18" s="298" t="s">
        <v>12685</v>
      </c>
      <c r="AJ18" s="298" t="s">
        <v>12686</v>
      </c>
      <c r="AK18" s="298" t="s">
        <v>12687</v>
      </c>
      <c r="AL18" s="299" t="s">
        <v>12688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5" priority="2" operator="equal">
      <formula>0</formula>
    </cfRule>
  </conditionalFormatting>
  <conditionalFormatting sqref="S14:S17">
    <cfRule type="cellIs" dxfId="7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3.8"/>
  <cols>
    <col min="1" max="1" width="9" style="219"/>
    <col min="2" max="2" width="23.19921875" style="219" bestFit="1" customWidth="1"/>
    <col min="3" max="3" width="144.5" style="219" bestFit="1" customWidth="1"/>
    <col min="4" max="4" width="5.19921875" style="219" bestFit="1" customWidth="1"/>
    <col min="5" max="5" width="17.19921875" style="219" bestFit="1" customWidth="1"/>
    <col min="6" max="6" width="10.19921875" style="249" bestFit="1" customWidth="1"/>
    <col min="7" max="16384" width="9" style="219"/>
  </cols>
  <sheetData>
    <row r="1" spans="1:6">
      <c r="C1" s="219" t="str">
        <f>CONCATENATE(Lists!$B$60,"_APR2022_F2")</f>
        <v>WSH_APR2022_F2</v>
      </c>
      <c r="F1" s="219"/>
    </row>
    <row r="2" spans="1:6">
      <c r="A2" s="219" t="s">
        <v>3</v>
      </c>
      <c r="B2" s="249" t="s">
        <v>628</v>
      </c>
      <c r="C2" s="249" t="s">
        <v>629</v>
      </c>
      <c r="D2" s="249" t="s">
        <v>630</v>
      </c>
      <c r="E2" s="249" t="s">
        <v>631</v>
      </c>
      <c r="F2" s="251" t="s">
        <v>632</v>
      </c>
    </row>
    <row r="3" spans="1:6">
      <c r="B3" s="239"/>
      <c r="C3" s="250"/>
      <c r="D3" s="249"/>
      <c r="E3" s="249"/>
      <c r="F3" s="251"/>
    </row>
    <row r="4" spans="1:6">
      <c r="B4" s="219" t="str">
        <f>'2A'!AM7</f>
        <v>A19030TOTRPC</v>
      </c>
      <c r="C4" s="219" t="s">
        <v>1103</v>
      </c>
      <c r="E4" s="249" t="s">
        <v>634</v>
      </c>
      <c r="F4" s="255">
        <f>IF(ISBLANK('2A'!L7),"##BLANK",'2A'!L7)</f>
        <v>809.91499999999996</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19.186</v>
      </c>
    </row>
    <row r="8" spans="1:6">
      <c r="B8" s="219" t="str">
        <f>'2A'!AI8</f>
        <v>A19030WNNPC</v>
      </c>
      <c r="C8" s="219" t="s">
        <v>1107</v>
      </c>
      <c r="E8" s="249" t="s">
        <v>634</v>
      </c>
      <c r="F8" s="255">
        <f>IF(ISBLANK('2A'!H8),"##BLANK",'2A'!H8)</f>
        <v>0</v>
      </c>
    </row>
    <row r="9" spans="1:6">
      <c r="B9" s="219" t="str">
        <f>'2A'!AJ8</f>
        <v>A19030WNKNPC</v>
      </c>
      <c r="C9" s="219" t="s">
        <v>1108</v>
      </c>
      <c r="E9" s="249" t="s">
        <v>634</v>
      </c>
      <c r="F9" s="255">
        <f>IF(ISBLANK('2A'!I8),"##BLANK",'2A'!I8)</f>
        <v>0.10100000000000001</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19.286999999999999</v>
      </c>
    </row>
    <row r="13" spans="1:6">
      <c r="B13" s="219" t="str">
        <f>'2A'!AF10</f>
        <v>BM9023XPUH</v>
      </c>
      <c r="C13" s="219" t="s">
        <v>1112</v>
      </c>
      <c r="E13" s="249" t="s">
        <v>634</v>
      </c>
      <c r="F13" s="255">
        <f>IF(ISBLANK('2A'!E10),"##BLANK",'2A'!E10)</f>
        <v>-61.364000000000004</v>
      </c>
    </row>
    <row r="14" spans="1:6">
      <c r="B14" s="219" t="str">
        <f>'2A'!AG10</f>
        <v>BM9223XPUNH</v>
      </c>
      <c r="C14" s="219" t="s">
        <v>1113</v>
      </c>
      <c r="E14" s="249" t="s">
        <v>634</v>
      </c>
      <c r="F14" s="255">
        <f>IF(ISBLANK('2A'!F10),"##BLANK",'2A'!F10)</f>
        <v>-6.0339999999999998</v>
      </c>
    </row>
    <row r="15" spans="1:6">
      <c r="B15" s="219" t="str">
        <f>'2A'!AH10</f>
        <v>BM9223XPU_WR</v>
      </c>
      <c r="C15" s="219" t="s">
        <v>1114</v>
      </c>
      <c r="E15" s="249" t="s">
        <v>634</v>
      </c>
      <c r="F15" s="255">
        <f>IF(ISBLANK('2A'!G10),"##BLANK",'2A'!G10)</f>
        <v>-33.744</v>
      </c>
    </row>
    <row r="16" spans="1:6">
      <c r="B16" s="219" t="str">
        <f>'2A'!AI10</f>
        <v>BM9223XPU_WN</v>
      </c>
      <c r="C16" s="219" t="s">
        <v>1115</v>
      </c>
      <c r="E16" s="249" t="s">
        <v>634</v>
      </c>
      <c r="F16" s="255">
        <f>IF(ISBLANK('2A'!H10),"##BLANK",'2A'!H10)</f>
        <v>-232.86</v>
      </c>
    </row>
    <row r="17" spans="2:6">
      <c r="B17" s="219" t="str">
        <f>'2A'!AJ10</f>
        <v>BM9223XPU_WWN</v>
      </c>
      <c r="C17" s="219" t="s">
        <v>1116</v>
      </c>
      <c r="E17" s="249" t="s">
        <v>634</v>
      </c>
      <c r="F17" s="255">
        <f>IF(ISBLANK('2A'!I10),"##BLANK",'2A'!I10)</f>
        <v>-153.84200000000001</v>
      </c>
    </row>
    <row r="18" spans="2:6">
      <c r="B18" s="219" t="str">
        <f>'2A'!AK10</f>
        <v>BM9223XPU_B</v>
      </c>
      <c r="C18" s="219" t="s">
        <v>1117</v>
      </c>
      <c r="E18" s="249" t="s">
        <v>634</v>
      </c>
      <c r="F18" s="255">
        <f>IF(ISBLANK('2A'!J10),"##BLANK",'2A'!J10)</f>
        <v>-17.568999999999996</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-505.41300000000007</v>
      </c>
    </row>
    <row r="21" spans="2:6">
      <c r="B21" s="219" t="str">
        <f>'2A'!AF11</f>
        <v>BM9023PUH</v>
      </c>
      <c r="C21" s="219" t="s">
        <v>1120</v>
      </c>
      <c r="E21" s="249" t="s">
        <v>634</v>
      </c>
      <c r="F21" s="255">
        <f>IF(ISBLANK('2A'!E11),"##BLANK",'2A'!E11)</f>
        <v>-0.55099999999999993</v>
      </c>
    </row>
    <row r="22" spans="2:6">
      <c r="B22" s="219" t="str">
        <f>'2A'!AG11</f>
        <v>BM9223PUNH</v>
      </c>
      <c r="C22" s="219" t="s">
        <v>1121</v>
      </c>
      <c r="E22" s="249" t="s">
        <v>634</v>
      </c>
      <c r="F22" s="255">
        <f>IF(ISBLANK('2A'!F11),"##BLANK",'2A'!F11)</f>
        <v>-4.2000000000000003E-2</v>
      </c>
    </row>
    <row r="23" spans="2:6">
      <c r="B23" s="219" t="str">
        <f>'2A'!AH11</f>
        <v>BM9223PU_WR</v>
      </c>
      <c r="C23" s="219" t="s">
        <v>1122</v>
      </c>
      <c r="E23" s="249" t="s">
        <v>634</v>
      </c>
      <c r="F23" s="255">
        <f>IF(ISBLANK('2A'!G11),"##BLANK",'2A'!G11)</f>
        <v>-0.96799999999999642</v>
      </c>
    </row>
    <row r="24" spans="2:6">
      <c r="B24" s="219" t="str">
        <f>'2A'!AI11</f>
        <v>BM9223PU_WN</v>
      </c>
      <c r="C24" s="219" t="s">
        <v>1123</v>
      </c>
      <c r="E24" s="249" t="s">
        <v>634</v>
      </c>
      <c r="F24" s="255">
        <f>IF(ISBLANK('2A'!H11),"##BLANK",'2A'!H11)</f>
        <v>10.742999999999995</v>
      </c>
    </row>
    <row r="25" spans="2:6">
      <c r="B25" s="219" t="str">
        <f>'2A'!AJ11</f>
        <v>BM9223PU_WWN</v>
      </c>
      <c r="C25" s="219" t="s">
        <v>1124</v>
      </c>
      <c r="E25" s="249" t="s">
        <v>634</v>
      </c>
      <c r="F25" s="255">
        <f>IF(ISBLANK('2A'!I11),"##BLANK",'2A'!I11)</f>
        <v>-7.0579999999999643</v>
      </c>
    </row>
    <row r="26" spans="2:6">
      <c r="B26" s="219" t="str">
        <f>'2A'!AK11</f>
        <v>BM9223PU_B</v>
      </c>
      <c r="C26" s="219" t="s">
        <v>1125</v>
      </c>
      <c r="E26" s="249" t="s">
        <v>634</v>
      </c>
      <c r="F26" s="255">
        <f>IF(ISBLANK('2A'!J11),"##BLANK",'2A'!J11)</f>
        <v>-2.1240000000000059</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2.8421709430404007E-14</v>
      </c>
    </row>
    <row r="29" spans="2:6">
      <c r="B29" s="219" t="str">
        <f>'2A'!AF12</f>
        <v>BM9023IPUH</v>
      </c>
      <c r="C29" s="219" t="s">
        <v>1128</v>
      </c>
      <c r="E29" s="249" t="s">
        <v>634</v>
      </c>
      <c r="F29" s="255">
        <f>IF(ISBLANK('2A'!E12),"##BLANK",'2A'!E12)</f>
        <v>-61.915000000000006</v>
      </c>
    </row>
    <row r="30" spans="2:6">
      <c r="B30" s="219" t="str">
        <f>'2A'!AG12</f>
        <v>BM9223IPUNH</v>
      </c>
      <c r="C30" s="219" t="s">
        <v>1129</v>
      </c>
      <c r="E30" s="249" t="s">
        <v>634</v>
      </c>
      <c r="F30" s="255">
        <f>IF(ISBLANK('2A'!F12),"##BLANK",'2A'!F12)</f>
        <v>-6.0759999999999996</v>
      </c>
    </row>
    <row r="31" spans="2:6">
      <c r="B31" s="219" t="str">
        <f>'2A'!AH12</f>
        <v>BM9223IPU_WR</v>
      </c>
      <c r="C31" s="219" t="s">
        <v>1130</v>
      </c>
      <c r="E31" s="249" t="s">
        <v>634</v>
      </c>
      <c r="F31" s="255">
        <f>IF(ISBLANK('2A'!G12),"##BLANK",'2A'!G12)</f>
        <v>-34.711999999999996</v>
      </c>
    </row>
    <row r="32" spans="2:6">
      <c r="B32" s="219" t="str">
        <f>'2A'!AI12</f>
        <v>BM9223IPU_WN</v>
      </c>
      <c r="C32" s="219" t="s">
        <v>1131</v>
      </c>
      <c r="E32" s="249" t="s">
        <v>634</v>
      </c>
      <c r="F32" s="255">
        <f>IF(ISBLANK('2A'!H12),"##BLANK",'2A'!H12)</f>
        <v>-222.11700000000002</v>
      </c>
    </row>
    <row r="33" spans="2:6">
      <c r="B33" s="219" t="str">
        <f>'2A'!AJ12</f>
        <v>BM9223IPU_WWN</v>
      </c>
      <c r="C33" s="219" t="s">
        <v>1132</v>
      </c>
      <c r="E33" s="249" t="s">
        <v>634</v>
      </c>
      <c r="F33" s="255">
        <f>IF(ISBLANK('2A'!I12),"##BLANK",'2A'!I12)</f>
        <v>-160.89999999999998</v>
      </c>
    </row>
    <row r="34" spans="2:6">
      <c r="B34" s="219" t="str">
        <f>'2A'!AK12</f>
        <v>BM9223IPU_B</v>
      </c>
      <c r="C34" s="219" t="s">
        <v>1133</v>
      </c>
      <c r="E34" s="249" t="s">
        <v>634</v>
      </c>
      <c r="F34" s="255">
        <f>IF(ISBLANK('2A'!J12),"##BLANK",'2A'!J12)</f>
        <v>-19.693000000000001</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-505.41300000000001</v>
      </c>
    </row>
    <row r="37" spans="2:6">
      <c r="B37" s="219" t="str">
        <f>'2A'!AM14</f>
        <v>A19030BIONDEPT_T</v>
      </c>
      <c r="C37" s="219" t="s">
        <v>1136</v>
      </c>
      <c r="E37" s="249" t="s">
        <v>634</v>
      </c>
      <c r="F37" s="255">
        <f>IF(ISBLANK('2A'!L14),"##BLANK",'2A'!L14)</f>
        <v>-315.09800000000001</v>
      </c>
    </row>
    <row r="38" spans="2:6">
      <c r="B38" s="219" t="str">
        <f>'2A'!AM15</f>
        <v>A19030BIONAMOIT_T</v>
      </c>
      <c r="C38" s="219" t="s">
        <v>1137</v>
      </c>
      <c r="E38" s="249" t="s">
        <v>634</v>
      </c>
      <c r="F38" s="255">
        <f>IF(ISBLANK('2A'!L15),"##BLANK",'2A'!L15)</f>
        <v>-38.515000000000001</v>
      </c>
    </row>
    <row r="39" spans="2:6">
      <c r="B39" s="219" t="str">
        <f>'2A'!AF17</f>
        <v>BM9027H</v>
      </c>
      <c r="C39" s="219" t="s">
        <v>1138</v>
      </c>
      <c r="E39" s="249" t="s">
        <v>634</v>
      </c>
      <c r="F39" s="255">
        <f>IF(ISBLANK('2A'!E17),"##BLANK",'2A'!E17)</f>
        <v>0</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v>
      </c>
    </row>
    <row r="42" spans="2:6">
      <c r="B42" s="219" t="str">
        <f>'2A'!AI17</f>
        <v>BM320WN</v>
      </c>
      <c r="C42" s="219" t="s">
        <v>1138</v>
      </c>
      <c r="E42" s="249" t="s">
        <v>634</v>
      </c>
      <c r="F42" s="255">
        <f>IF(ISBLANK('2A'!H17),"##BLANK",'2A'!H17)</f>
        <v>0.161</v>
      </c>
    </row>
    <row r="43" spans="2:6">
      <c r="B43" s="219" t="str">
        <f>'2A'!AJ17</f>
        <v>BM820WNK</v>
      </c>
      <c r="C43" s="219" t="s">
        <v>1138</v>
      </c>
      <c r="E43" s="249" t="s">
        <v>634</v>
      </c>
      <c r="F43" s="255">
        <f>IF(ISBLANK('2A'!I17),"##BLANK",'2A'!I17)</f>
        <v>0.19700000000000001</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0.35799999999999998</v>
      </c>
    </row>
    <row r="47" spans="2:6">
      <c r="B47" s="219" t="str">
        <f>'2A'!AF19</f>
        <v>HP00030RH</v>
      </c>
      <c r="C47" s="219" t="s">
        <v>1139</v>
      </c>
      <c r="E47" s="249" t="s">
        <v>634</v>
      </c>
      <c r="F47" s="255">
        <f>IF(ISBLANK('2A'!E19),"##BLANK",'2A'!E19)</f>
        <v>-29.017000000000003</v>
      </c>
    </row>
    <row r="48" spans="2:6">
      <c r="B48" s="219" t="str">
        <f>'2A'!AG19</f>
        <v>HP00030RNH</v>
      </c>
      <c r="C48" s="219" t="s">
        <v>1140</v>
      </c>
      <c r="E48" s="249" t="s">
        <v>634</v>
      </c>
      <c r="F48" s="255">
        <f>IF(ISBLANK('2A'!F19),"##BLANK",'2A'!F19)</f>
        <v>1.2380000000000002</v>
      </c>
    </row>
    <row r="49" spans="2:6">
      <c r="B49" s="219" t="str">
        <f>'2A'!AH19</f>
        <v>HP00030WR</v>
      </c>
      <c r="C49" s="219" t="s">
        <v>1141</v>
      </c>
      <c r="E49" s="249" t="s">
        <v>634</v>
      </c>
      <c r="F49" s="255">
        <f>IF(ISBLANK('2A'!G19),"##BLANK",'2A'!G19)</f>
        <v>9.8260000000000005</v>
      </c>
    </row>
    <row r="50" spans="2:6">
      <c r="B50" s="219" t="str">
        <f>'2A'!AI19</f>
        <v>HP00030WNP</v>
      </c>
      <c r="C50" s="219" t="s">
        <v>1142</v>
      </c>
      <c r="E50" s="249" t="s">
        <v>634</v>
      </c>
      <c r="F50" s="255">
        <f>IF(ISBLANK('2A'!H19),"##BLANK",'2A'!H19)</f>
        <v>-84.189000000000078</v>
      </c>
    </row>
    <row r="51" spans="2:6">
      <c r="B51" s="219" t="str">
        <f>'2A'!AJ19</f>
        <v>HP00030WWNP</v>
      </c>
      <c r="C51" s="219" t="s">
        <v>1143</v>
      </c>
      <c r="E51" s="249" t="s">
        <v>634</v>
      </c>
      <c r="F51" s="255">
        <f>IF(ISBLANK('2A'!I19),"##BLANK",'2A'!I19)</f>
        <v>69.483000000000047</v>
      </c>
    </row>
    <row r="52" spans="2:6">
      <c r="B52" s="219" t="str">
        <f>'2A'!AK19</f>
        <v>HP00030BIO</v>
      </c>
      <c r="C52" s="219" t="s">
        <v>1144</v>
      </c>
      <c r="E52" s="249" t="s">
        <v>634</v>
      </c>
      <c r="F52" s="255">
        <f>IF(ISBLANK('2A'!J19),"##BLANK",'2A'!J19)</f>
        <v>3.1929999999999961</v>
      </c>
    </row>
    <row r="53" spans="2:6">
      <c r="B53" s="219" t="str">
        <f>'2A'!AL19</f>
        <v>HP00030APC</v>
      </c>
      <c r="C53" s="219" t="s">
        <v>1145</v>
      </c>
      <c r="E53" s="249" t="s">
        <v>634</v>
      </c>
      <c r="F53" s="255">
        <f>IF(ISBLANK('2A'!K19),"##BLANK",'2A'!K19)</f>
        <v>0</v>
      </c>
    </row>
    <row r="54" spans="2:6">
      <c r="B54" s="219" t="str">
        <f>'2A'!AM19</f>
        <v>HP00030CTOT</v>
      </c>
      <c r="C54" s="219" t="s">
        <v>1146</v>
      </c>
      <c r="E54" s="249" t="s">
        <v>634</v>
      </c>
      <c r="F54" s="255">
        <f>IF(ISBLANK('2A'!L19),"##BLANK",'2A'!L19)</f>
        <v>-29.466000000000037</v>
      </c>
    </row>
    <row r="55" spans="2:6">
      <c r="B55" s="219" t="str">
        <f>'2A'!AM22</f>
        <v>BR75033</v>
      </c>
      <c r="C55" s="219" t="s">
        <v>1147</v>
      </c>
      <c r="E55" s="249" t="s">
        <v>634</v>
      </c>
      <c r="F55" s="255">
        <f>IF(ISBLANK('2A'!L22),"##BLANK",'2A'!L22)</f>
        <v>2.1000000000000001E-2</v>
      </c>
    </row>
    <row r="56" spans="2:6">
      <c r="B56" s="219" t="str">
        <f>'2B'!AF8</f>
        <v>B0010WN</v>
      </c>
      <c r="C56" s="219" t="s">
        <v>1148</v>
      </c>
      <c r="E56" s="249" t="s">
        <v>634</v>
      </c>
      <c r="F56" s="255">
        <f>IF(ISBLANK('2B'!F8),"##BLANK",'2B'!F8)</f>
        <v>33.141999999999996</v>
      </c>
    </row>
    <row r="57" spans="2:6">
      <c r="B57" s="219" t="str">
        <f>'2B'!AG8</f>
        <v>B0010WNK</v>
      </c>
      <c r="C57" s="219" t="s">
        <v>1149</v>
      </c>
      <c r="E57" s="249" t="s">
        <v>634</v>
      </c>
      <c r="F57" s="255">
        <f>IF(ISBLANK('2B'!G8),"##BLANK",'2B'!G8)</f>
        <v>42.923000000000002</v>
      </c>
    </row>
    <row r="58" spans="2:6">
      <c r="B58" s="219" t="str">
        <f>'2B'!AH8</f>
        <v>B0010BIO</v>
      </c>
      <c r="C58" s="219" t="s">
        <v>1150</v>
      </c>
      <c r="E58" s="249" t="s">
        <v>634</v>
      </c>
      <c r="F58" s="241">
        <f>IF(ISBLANK('2B'!H8),"##BLANK",'2B'!H8)</f>
        <v>0.61899999999999988</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87.457999999999998</v>
      </c>
    </row>
    <row r="61" spans="2:6">
      <c r="B61" s="219" t="str">
        <f>'2B'!AF9</f>
        <v>B0011WN</v>
      </c>
      <c r="C61" s="219" t="s">
        <v>1153</v>
      </c>
      <c r="E61" s="249" t="s">
        <v>634</v>
      </c>
      <c r="F61" s="255">
        <f>IF(ISBLANK('2B'!F9),"##BLANK",'2B'!F9)</f>
        <v>-3.3759999999999999</v>
      </c>
    </row>
    <row r="62" spans="2:6">
      <c r="B62" s="219" t="str">
        <f>'2B'!AG9</f>
        <v>B0011WNK</v>
      </c>
      <c r="C62" s="219" t="s">
        <v>1154</v>
      </c>
      <c r="E62" s="249" t="s">
        <v>634</v>
      </c>
      <c r="F62" s="255">
        <f>IF(ISBLANK('2B'!G9),"##BLANK",'2B'!G9)</f>
        <v>-0.70199999999999996</v>
      </c>
    </row>
    <row r="63" spans="2:6">
      <c r="B63" s="219" t="str">
        <f>'2B'!AH9</f>
        <v>B0011BIO</v>
      </c>
      <c r="C63" s="219" t="s">
        <v>1155</v>
      </c>
      <c r="E63" s="249" t="s">
        <v>634</v>
      </c>
      <c r="F63" s="255">
        <f>IF(ISBLANK('2B'!H9),"##BLANK",'2B'!H9)</f>
        <v>-7.6459999999999999</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-18.466000000000001</v>
      </c>
    </row>
    <row r="66" spans="2:6">
      <c r="B66" s="219" t="str">
        <f>'2B'!AE10</f>
        <v>B0012WR</v>
      </c>
      <c r="C66" s="219" t="s">
        <v>1158</v>
      </c>
      <c r="E66" s="249" t="s">
        <v>634</v>
      </c>
      <c r="F66" s="255">
        <f>IF(ISBLANK('2B'!E10),"##BLANK",'2B'!E10)</f>
        <v>9.6620000000000008</v>
      </c>
    </row>
    <row r="67" spans="2:6">
      <c r="B67" s="219" t="str">
        <f>'2B'!AF10</f>
        <v>B0012WN</v>
      </c>
      <c r="C67" s="219" t="s">
        <v>1159</v>
      </c>
      <c r="E67" s="249" t="s">
        <v>634</v>
      </c>
      <c r="F67" s="255">
        <f>IF(ISBLANK('2B'!F10),"##BLANK",'2B'!F10)</f>
        <v>0.24</v>
      </c>
    </row>
    <row r="68" spans="2:6">
      <c r="B68" s="219" t="str">
        <f>'2B'!AG10</f>
        <v>B0012WNK</v>
      </c>
      <c r="C68" s="219" t="s">
        <v>1160</v>
      </c>
      <c r="E68" s="249" t="s">
        <v>634</v>
      </c>
      <c r="F68" s="255">
        <f>IF(ISBLANK('2B'!G10),"##BLANK",'2B'!G10)</f>
        <v>5.2309999999999999</v>
      </c>
    </row>
    <row r="69" spans="2:6">
      <c r="B69" s="219" t="str">
        <f>'2B'!AH10</f>
        <v>B0012BIO</v>
      </c>
      <c r="C69" s="219" t="s">
        <v>1161</v>
      </c>
      <c r="E69" s="249" t="s">
        <v>634</v>
      </c>
      <c r="F69" s="255">
        <f>IF(ISBLANK('2B'!H10),"##BLANK",'2B'!H10)</f>
        <v>3.2000000000000001E-2</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15.165000000000001</v>
      </c>
    </row>
    <row r="72" spans="2:6">
      <c r="B72" s="219" t="str">
        <f>'2B'!AF11</f>
        <v>B0013WN</v>
      </c>
      <c r="C72" s="219" t="s">
        <v>1164</v>
      </c>
      <c r="E72" s="249" t="s">
        <v>634</v>
      </c>
      <c r="F72" s="255">
        <f>IF(ISBLANK('2B'!F11),"##BLANK",'2B'!F11)</f>
        <v>1.04</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1.181</v>
      </c>
    </row>
    <row r="77" spans="2:6">
      <c r="B77" s="219" t="str">
        <f>'2B'!AF12</f>
        <v>B0014WN</v>
      </c>
      <c r="C77" s="219" t="s">
        <v>1169</v>
      </c>
      <c r="E77" s="249" t="s">
        <v>634</v>
      </c>
      <c r="F77" s="255">
        <f>IF(ISBLANK('2B'!F12),"##BLANK",'2B'!F12)</f>
        <v>45.625999999999998</v>
      </c>
    </row>
    <row r="78" spans="2:6">
      <c r="B78" s="219" t="str">
        <f>'2B'!AG12</f>
        <v>B0014WNK</v>
      </c>
      <c r="C78" s="219" t="s">
        <v>1170</v>
      </c>
      <c r="E78" s="249" t="s">
        <v>634</v>
      </c>
      <c r="F78" s="256">
        <f>IF(ISBLANK('2B'!G12),"##BLANK",'2B'!G12)</f>
        <v>22.137999999999998</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68.414999999999992</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14.262</v>
      </c>
    </row>
    <row r="88" spans="2:6">
      <c r="B88" s="219" t="str">
        <f>'2B'!AF14</f>
        <v>B0016WN</v>
      </c>
      <c r="C88" s="219" t="s">
        <v>1180</v>
      </c>
      <c r="E88" s="249" t="s">
        <v>634</v>
      </c>
      <c r="F88" s="256">
        <f>IF(ISBLANK('2B'!F14),"##BLANK",'2B'!F14)</f>
        <v>102.492</v>
      </c>
    </row>
    <row r="89" spans="2:6">
      <c r="B89" s="219" t="str">
        <f>'2B'!AG14</f>
        <v>B0016WNK</v>
      </c>
      <c r="C89" s="219" t="s">
        <v>1181</v>
      </c>
      <c r="E89" s="249" t="s">
        <v>634</v>
      </c>
      <c r="F89" s="256">
        <f>IF(ISBLANK('2B'!G14),"##BLANK",'2B'!G14)</f>
        <v>76.285000000000011</v>
      </c>
    </row>
    <row r="90" spans="2:6">
      <c r="B90" s="219" t="str">
        <f>'2B'!AH14</f>
        <v>B0016BIO</v>
      </c>
      <c r="C90" s="219" t="s">
        <v>1182</v>
      </c>
      <c r="E90" s="249" t="s">
        <v>634</v>
      </c>
      <c r="F90" s="256">
        <f>IF(ISBLANK('2B'!H14),"##BLANK",'2B'!H14)</f>
        <v>26.048000000000002</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219.08700000000002</v>
      </c>
    </row>
    <row r="93" spans="2:6">
      <c r="B93" s="219" t="str">
        <f>'2B'!AF15</f>
        <v>BM317WN</v>
      </c>
      <c r="C93" s="219" t="s">
        <v>1185</v>
      </c>
      <c r="E93" s="249" t="s">
        <v>634</v>
      </c>
      <c r="F93" s="256">
        <f>IF(ISBLANK('2B'!F15),"##BLANK",'2B'!F15)</f>
        <v>13.913</v>
      </c>
    </row>
    <row r="94" spans="2:6">
      <c r="B94" s="219" t="str">
        <f>'2B'!AG15</f>
        <v>BM817WNK</v>
      </c>
      <c r="C94" s="219" t="s">
        <v>1186</v>
      </c>
      <c r="E94" s="249" t="s">
        <v>634</v>
      </c>
      <c r="F94" s="256">
        <f>IF(ISBLANK('2B'!G15),"##BLANK",'2B'!G15)</f>
        <v>8.2909999999999986</v>
      </c>
    </row>
    <row r="95" spans="2:6">
      <c r="B95" s="219" t="str">
        <f>'2B'!AH15</f>
        <v>BM817SG</v>
      </c>
      <c r="C95" s="219" t="s">
        <v>1187</v>
      </c>
      <c r="E95" s="249" t="s">
        <v>634</v>
      </c>
      <c r="F95" s="256">
        <f>IF(ISBLANK('2B'!H15),"##BLANK",'2B'!H15)</f>
        <v>0.64</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25.076000000000001</v>
      </c>
    </row>
    <row r="98" spans="2:6">
      <c r="B98" s="219" t="str">
        <f>'2B'!AE16</f>
        <v>B0017WR</v>
      </c>
      <c r="C98" s="219" t="s">
        <v>1190</v>
      </c>
      <c r="E98" s="249" t="s">
        <v>634</v>
      </c>
      <c r="F98" s="256">
        <f>IF(ISBLANK('2B'!E16),"##BLANK",'2B'!E16)</f>
        <v>30.979999999999997</v>
      </c>
    </row>
    <row r="99" spans="2:6">
      <c r="B99" s="219" t="str">
        <f>'2B'!AF16</f>
        <v>B0017WN</v>
      </c>
      <c r="C99" s="219" t="s">
        <v>1191</v>
      </c>
      <c r="E99" s="249" t="s">
        <v>634</v>
      </c>
      <c r="F99" s="256">
        <f>IF(ISBLANK('2B'!F16),"##BLANK",'2B'!F16)</f>
        <v>193.077</v>
      </c>
    </row>
    <row r="100" spans="2:6">
      <c r="B100" s="219" t="str">
        <f>'2B'!AG16</f>
        <v>B0017WNK</v>
      </c>
      <c r="C100" s="219" t="s">
        <v>1192</v>
      </c>
      <c r="E100" s="249" t="s">
        <v>634</v>
      </c>
      <c r="F100" s="256">
        <f>IF(ISBLANK('2B'!G16),"##BLANK",'2B'!G16)</f>
        <v>154.166</v>
      </c>
    </row>
    <row r="101" spans="2:6">
      <c r="B101" s="219" t="str">
        <f>'2B'!AH16</f>
        <v>B0017BIO</v>
      </c>
      <c r="C101" s="219" t="s">
        <v>1193</v>
      </c>
      <c r="E101" s="249" t="s">
        <v>634</v>
      </c>
      <c r="F101" s="256">
        <f>IF(ISBLANK('2B'!H16),"##BLANK",'2B'!H16)</f>
        <v>19.693000000000001</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397.91599999999994</v>
      </c>
    </row>
    <row r="104" spans="2:6">
      <c r="B104" s="219" t="str">
        <f>'2B'!AF19</f>
        <v>B0018WN</v>
      </c>
      <c r="C104" s="219" t="s">
        <v>1196</v>
      </c>
      <c r="E104" s="249" t="s">
        <v>634</v>
      </c>
      <c r="F104" s="256">
        <f>IF(ISBLANK('2B'!F19),"##BLANK",'2B'!F19)</f>
        <v>0.155</v>
      </c>
    </row>
    <row r="105" spans="2:6">
      <c r="B105" s="219" t="str">
        <f>'2B'!AG19</f>
        <v>B0018WNK</v>
      </c>
      <c r="C105" s="219" t="s">
        <v>1197</v>
      </c>
      <c r="E105" s="249" t="s">
        <v>634</v>
      </c>
      <c r="F105" s="256">
        <f>IF(ISBLANK('2B'!G19),"##BLANK",'2B'!G19)</f>
        <v>0.93800000000000006</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1.1060000000000001</v>
      </c>
    </row>
    <row r="109" spans="2:6">
      <c r="B109" s="219" t="str">
        <f>'2B'!AF20</f>
        <v>B0019WN</v>
      </c>
      <c r="C109" s="219" t="s">
        <v>1201</v>
      </c>
      <c r="E109" s="249" t="s">
        <v>634</v>
      </c>
      <c r="F109" s="256">
        <f>IF(ISBLANK('2B'!F20),"##BLANK",'2B'!F20)</f>
        <v>25.757000000000001</v>
      </c>
    </row>
    <row r="110" spans="2:6">
      <c r="B110" s="219" t="str">
        <f>'2B'!AG20</f>
        <v>B0019WNK</v>
      </c>
      <c r="C110" s="219" t="s">
        <v>1202</v>
      </c>
      <c r="E110" s="249" t="s">
        <v>634</v>
      </c>
      <c r="F110" s="256">
        <f>IF(ISBLANK('2B'!G20),"##BLANK",'2B'!G20)</f>
        <v>4.9979999999999993</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30.755000000000003</v>
      </c>
    </row>
    <row r="114" spans="2:6">
      <c r="B114" s="219" t="str">
        <f>'2B'!AE21</f>
        <v>BM319WR</v>
      </c>
      <c r="C114" s="219" t="s">
        <v>1206</v>
      </c>
      <c r="E114" s="249" t="s">
        <v>634</v>
      </c>
      <c r="F114" s="256">
        <f>IF(ISBLANK('2B'!E21),"##BLANK",'2B'!E21)</f>
        <v>30.992999999999999</v>
      </c>
    </row>
    <row r="115" spans="2:6">
      <c r="B115" s="219" t="str">
        <f>'2B'!AF21</f>
        <v>BM319WN</v>
      </c>
      <c r="C115" s="219" t="s">
        <v>1207</v>
      </c>
      <c r="E115" s="249" t="s">
        <v>634</v>
      </c>
      <c r="F115" s="256">
        <f>IF(ISBLANK('2B'!F21),"##BLANK",'2B'!F21)</f>
        <v>218.989</v>
      </c>
    </row>
    <row r="116" spans="2:6">
      <c r="B116" s="219" t="str">
        <f>'2B'!AG21</f>
        <v>BM844WNK</v>
      </c>
      <c r="C116" s="219" t="s">
        <v>1208</v>
      </c>
      <c r="E116" s="249" t="s">
        <v>634</v>
      </c>
      <c r="F116" s="256">
        <f>IF(ISBLANK('2B'!G21),"##BLANK",'2B'!G21)</f>
        <v>160.10199999999998</v>
      </c>
    </row>
    <row r="117" spans="2:6">
      <c r="B117" s="219" t="str">
        <f>'2B'!AH21</f>
        <v>BM844SG</v>
      </c>
      <c r="C117" s="219" t="s">
        <v>1209</v>
      </c>
      <c r="E117" s="249" t="s">
        <v>634</v>
      </c>
      <c r="F117" s="256">
        <f>IF(ISBLANK('2B'!H21),"##BLANK",'2B'!H21)</f>
        <v>19.693000000000001</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429.77699999999993</v>
      </c>
    </row>
    <row r="120" spans="2:6">
      <c r="B120" s="219" t="str">
        <f>'2B'!AF22</f>
        <v>BM323WN</v>
      </c>
      <c r="C120" s="219" t="s">
        <v>1212</v>
      </c>
      <c r="E120" s="249" t="s">
        <v>634</v>
      </c>
      <c r="F120" s="256">
        <f>IF(ISBLANK('2B'!F22),"##BLANK",'2B'!F22)</f>
        <v>3.1280000000000001</v>
      </c>
    </row>
    <row r="121" spans="2:6">
      <c r="B121" s="219" t="str">
        <f>'2B'!AG22</f>
        <v>BM823WNK</v>
      </c>
      <c r="C121" s="219" t="s">
        <v>1213</v>
      </c>
      <c r="E121" s="249" t="s">
        <v>634</v>
      </c>
      <c r="F121" s="256">
        <f>IF(ISBLANK('2B'!G22),"##BLANK",'2B'!G22)</f>
        <v>0.79800000000000004</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7.6449999999999996</v>
      </c>
    </row>
    <row r="125" spans="2:6">
      <c r="B125" s="219" t="str">
        <f>'2B'!AE23</f>
        <v>BM351WR</v>
      </c>
      <c r="C125" s="219" t="s">
        <v>1217</v>
      </c>
      <c r="E125" s="249" t="s">
        <v>634</v>
      </c>
      <c r="F125" s="256">
        <f>IF(ISBLANK('2B'!E23),"##BLANK",'2B'!E23)</f>
        <v>34.711999999999996</v>
      </c>
    </row>
    <row r="126" spans="2:6">
      <c r="B126" s="219" t="str">
        <f>'2B'!AF23</f>
        <v>BM351WN</v>
      </c>
      <c r="C126" s="219" t="s">
        <v>1218</v>
      </c>
      <c r="E126" s="249" t="s">
        <v>634</v>
      </c>
      <c r="F126" s="256">
        <f>IF(ISBLANK('2B'!F23),"##BLANK",'2B'!F23)</f>
        <v>222.11700000000002</v>
      </c>
    </row>
    <row r="127" spans="2:6">
      <c r="B127" s="219" t="str">
        <f>'2B'!AG23</f>
        <v>BM850WNK</v>
      </c>
      <c r="C127" s="219" t="s">
        <v>1219</v>
      </c>
      <c r="E127" s="249" t="s">
        <v>634</v>
      </c>
      <c r="F127" s="256">
        <f>IF(ISBLANK('2B'!G23),"##BLANK",'2B'!G23)</f>
        <v>160.89999999999998</v>
      </c>
    </row>
    <row r="128" spans="2:6">
      <c r="B128" s="219" t="str">
        <f>'2B'!AH23</f>
        <v>BM850SG</v>
      </c>
      <c r="C128" s="219" t="s">
        <v>1220</v>
      </c>
      <c r="E128" s="249" t="s">
        <v>634</v>
      </c>
      <c r="F128" s="256">
        <f>IF(ISBLANK('2B'!H23),"##BLANK",'2B'!H23)</f>
        <v>19.693000000000001</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437.42199999999997</v>
      </c>
    </row>
    <row r="131" spans="2:6">
      <c r="B131" s="219" t="str">
        <f>'2B'!AF26</f>
        <v>B0020WN</v>
      </c>
      <c r="C131" s="219" t="s">
        <v>1223</v>
      </c>
      <c r="E131" s="249" t="s">
        <v>634</v>
      </c>
      <c r="F131" s="256">
        <f>IF(ISBLANK('2B'!F26),"##BLANK",'2B'!F26)</f>
        <v>16.260000000000002</v>
      </c>
    </row>
    <row r="132" spans="2:6">
      <c r="B132" s="219" t="str">
        <f>'2B'!AG26</f>
        <v>B0020WNK</v>
      </c>
      <c r="C132" s="219" t="s">
        <v>1224</v>
      </c>
      <c r="E132" s="249" t="s">
        <v>634</v>
      </c>
      <c r="F132" s="256">
        <f>IF(ISBLANK('2B'!G26),"##BLANK",'2B'!G26)</f>
        <v>2.8760000000000003</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19.136000000000003</v>
      </c>
    </row>
    <row r="136" spans="2:6">
      <c r="B136" s="219" t="str">
        <f>'2B'!AF29</f>
        <v>B0021WN</v>
      </c>
      <c r="C136" s="219" t="s">
        <v>1228</v>
      </c>
      <c r="E136" s="249" t="s">
        <v>634</v>
      </c>
      <c r="F136" s="256">
        <f>IF(ISBLANK('2B'!F29),"##BLANK",'2B'!F29)</f>
        <v>91.546999999999997</v>
      </c>
    </row>
    <row r="137" spans="2:6">
      <c r="B137" s="219" t="str">
        <f>'2B'!AG29</f>
        <v>B0021WNK</v>
      </c>
      <c r="C137" s="219" t="s">
        <v>1229</v>
      </c>
      <c r="E137" s="249" t="s">
        <v>634</v>
      </c>
      <c r="F137" s="256">
        <f>IF(ISBLANK('2B'!G29),"##BLANK",'2B'!G29)</f>
        <v>69.653000000000006</v>
      </c>
    </row>
    <row r="138" spans="2:6">
      <c r="B138" s="219" t="str">
        <f>'2B'!AH29</f>
        <v>B0021BIO</v>
      </c>
      <c r="C138" s="219" t="s">
        <v>1230</v>
      </c>
      <c r="E138" s="249" t="s">
        <v>634</v>
      </c>
      <c r="F138" s="256">
        <f>IF(ISBLANK('2B'!H29),"##BLANK",'2B'!H29)</f>
        <v>10.673999999999999</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185.148</v>
      </c>
    </row>
    <row r="141" spans="2:6">
      <c r="B141" s="219" t="str">
        <f>'2B'!AF30</f>
        <v>B0022WN</v>
      </c>
      <c r="C141" s="219" t="s">
        <v>1233</v>
      </c>
      <c r="E141" s="249" t="s">
        <v>634</v>
      </c>
      <c r="F141" s="256">
        <f>IF(ISBLANK('2B'!F30),"##BLANK",'2B'!F30)</f>
        <v>31.017999999999997</v>
      </c>
    </row>
    <row r="142" spans="2:6">
      <c r="B142" s="219" t="str">
        <f>'2B'!AG30</f>
        <v>B0022WNK</v>
      </c>
      <c r="C142" s="219" t="s">
        <v>1234</v>
      </c>
      <c r="E142" s="249" t="s">
        <v>634</v>
      </c>
      <c r="F142" s="256">
        <f>IF(ISBLANK('2B'!G30),"##BLANK",'2B'!G30)</f>
        <v>62.104999999999997</v>
      </c>
    </row>
    <row r="143" spans="2:6">
      <c r="B143" s="219" t="str">
        <f>'2B'!AH30</f>
        <v>B0022BIO</v>
      </c>
      <c r="C143" s="219" t="s">
        <v>1235</v>
      </c>
      <c r="E143" s="249" t="s">
        <v>634</v>
      </c>
      <c r="F143" s="256">
        <f>IF(ISBLANK('2B'!H30),"##BLANK",'2B'!H30)</f>
        <v>3.4979999999999998</v>
      </c>
    </row>
    <row r="144" spans="2:6">
      <c r="B144" s="219" t="str">
        <f>'2B'!AI30</f>
        <v>B0022APC</v>
      </c>
      <c r="C144" s="219" t="s">
        <v>1236</v>
      </c>
      <c r="E144" s="249" t="s">
        <v>634</v>
      </c>
      <c r="F144" s="256">
        <f>IF(ISBLANK('2B'!I30),"##BLANK",'2B'!I30)</f>
        <v>0</v>
      </c>
    </row>
    <row r="145" spans="2:6">
      <c r="B145" s="219" t="str">
        <f>'2B'!AJ30</f>
        <v>B0022TOT</v>
      </c>
      <c r="C145" s="219" t="s">
        <v>1237</v>
      </c>
      <c r="E145" s="249" t="s">
        <v>634</v>
      </c>
      <c r="F145" s="256">
        <f>IF(ISBLANK('2B'!J30),"##BLANK",'2B'!J30)</f>
        <v>126.413</v>
      </c>
    </row>
    <row r="146" spans="2:6">
      <c r="B146" s="219" t="str">
        <f>'2B'!AF31</f>
        <v>B0023WN</v>
      </c>
      <c r="C146" s="219" t="s">
        <v>1238</v>
      </c>
      <c r="E146" s="249" t="s">
        <v>634</v>
      </c>
      <c r="F146" s="256">
        <f>IF(ISBLANK('2B'!F31),"##BLANK",'2B'!F31)</f>
        <v>11.419</v>
      </c>
    </row>
    <row r="147" spans="2:6">
      <c r="B147" s="219" t="str">
        <f>'2B'!AG31</f>
        <v>B0023WNK</v>
      </c>
      <c r="C147" s="219" t="s">
        <v>1239</v>
      </c>
      <c r="E147" s="249" t="s">
        <v>634</v>
      </c>
      <c r="F147" s="256">
        <f>IF(ISBLANK('2B'!G31),"##BLANK",'2B'!G31)</f>
        <v>10.109</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21.527999999999999</v>
      </c>
    </row>
    <row r="151" spans="2:6">
      <c r="B151" s="219" t="str">
        <f>'2B'!AE32</f>
        <v>BC30498WR</v>
      </c>
      <c r="C151" s="219" t="s">
        <v>1243</v>
      </c>
      <c r="E151" s="249" t="s">
        <v>634</v>
      </c>
      <c r="F151" s="256">
        <f>IF(ISBLANK('2B'!E32),"##BLANK",'2B'!E32)</f>
        <v>43.065999999999995</v>
      </c>
    </row>
    <row r="152" spans="2:6">
      <c r="B152" s="219" t="str">
        <f>'2B'!AF32</f>
        <v>BC30498WN</v>
      </c>
      <c r="C152" s="219" t="s">
        <v>1244</v>
      </c>
      <c r="E152" s="249" t="s">
        <v>634</v>
      </c>
      <c r="F152" s="256">
        <f>IF(ISBLANK('2B'!F32),"##BLANK",'2B'!F32)</f>
        <v>133.98400000000001</v>
      </c>
    </row>
    <row r="153" spans="2:6">
      <c r="B153" s="219" t="str">
        <f>'2B'!AG32</f>
        <v>BC30998WNK</v>
      </c>
      <c r="C153" s="219" t="s">
        <v>1245</v>
      </c>
      <c r="E153" s="249" t="s">
        <v>634</v>
      </c>
      <c r="F153" s="256">
        <f>IF(ISBLANK('2B'!G32),"##BLANK",'2B'!G32)</f>
        <v>141.86700000000002</v>
      </c>
    </row>
    <row r="154" spans="2:6">
      <c r="B154" s="219" t="str">
        <f>'2B'!AH32</f>
        <v>BC30998SG</v>
      </c>
      <c r="C154" s="219" t="s">
        <v>1246</v>
      </c>
      <c r="E154" s="249" t="s">
        <v>634</v>
      </c>
      <c r="F154" s="256">
        <f>IF(ISBLANK('2B'!H32),"##BLANK",'2B'!H32)</f>
        <v>14.171999999999999</v>
      </c>
    </row>
    <row r="155" spans="2:6">
      <c r="B155" s="219" t="str">
        <f>'2B'!AI32</f>
        <v>BM815TTT</v>
      </c>
      <c r="C155" s="219" t="s">
        <v>1247</v>
      </c>
      <c r="E155" s="249" t="s">
        <v>634</v>
      </c>
      <c r="F155" s="256">
        <f>IF(ISBLANK('2B'!I32),"##BLANK",'2B'!I32)</f>
        <v>0</v>
      </c>
    </row>
    <row r="156" spans="2:6">
      <c r="B156" s="219" t="str">
        <f>'2B'!AJ32</f>
        <v>BM916</v>
      </c>
      <c r="C156" s="219" t="s">
        <v>1248</v>
      </c>
      <c r="E156" s="249" t="s">
        <v>634</v>
      </c>
      <c r="F156" s="256">
        <f>IF(ISBLANK('2B'!J32),"##BLANK",'2B'!J32)</f>
        <v>333.08900000000006</v>
      </c>
    </row>
    <row r="157" spans="2:6">
      <c r="B157" s="219" t="str">
        <f>'2B'!AF33</f>
        <v>BM333WN</v>
      </c>
      <c r="C157" s="219" t="s">
        <v>1212</v>
      </c>
      <c r="E157" s="249" t="s">
        <v>634</v>
      </c>
      <c r="F157" s="256">
        <f>IF(ISBLANK('2B'!F33),"##BLANK",'2B'!F33)</f>
        <v>5.6000000000000001E-2</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3.9740000000000002</v>
      </c>
    </row>
    <row r="162" spans="2:6">
      <c r="B162" s="219" t="str">
        <f>'2B'!AE34</f>
        <v>BA1070WR</v>
      </c>
      <c r="C162" s="219" t="s">
        <v>1250</v>
      </c>
      <c r="E162" s="249" t="s">
        <v>634</v>
      </c>
      <c r="F162" s="256">
        <f>IF(ISBLANK('2B'!E34),"##BLANK",'2B'!E34)</f>
        <v>46.983999999999995</v>
      </c>
    </row>
    <row r="163" spans="2:6">
      <c r="B163" s="219" t="str">
        <f>'2B'!AF34</f>
        <v>BA1070WN</v>
      </c>
      <c r="C163" s="219" t="s">
        <v>1251</v>
      </c>
      <c r="E163" s="249" t="s">
        <v>634</v>
      </c>
      <c r="F163" s="256">
        <f>IF(ISBLANK('2B'!F34),"##BLANK",'2B'!F34)</f>
        <v>134.04000000000002</v>
      </c>
    </row>
    <row r="164" spans="2:6">
      <c r="B164" s="219" t="str">
        <f>'2B'!AG34</f>
        <v>BA2120WNK</v>
      </c>
      <c r="C164" s="219" t="s">
        <v>1252</v>
      </c>
      <c r="E164" s="249" t="s">
        <v>634</v>
      </c>
      <c r="F164" s="256">
        <f>IF(ISBLANK('2B'!G34),"##BLANK",'2B'!G34)</f>
        <v>141.86700000000002</v>
      </c>
    </row>
    <row r="165" spans="2:6">
      <c r="B165" s="219" t="str">
        <f>'2B'!AH34</f>
        <v>BA2120SG</v>
      </c>
      <c r="C165" s="219" t="s">
        <v>1253</v>
      </c>
      <c r="E165" s="249" t="s">
        <v>634</v>
      </c>
      <c r="F165" s="256">
        <f>IF(ISBLANK('2B'!H34),"##BLANK",'2B'!H34)</f>
        <v>14.171999999999999</v>
      </c>
    </row>
    <row r="166" spans="2:6">
      <c r="B166" s="219" t="str">
        <f>'2B'!AI34</f>
        <v>BA2120TTT</v>
      </c>
      <c r="C166" s="219" t="s">
        <v>1254</v>
      </c>
      <c r="E166" s="249" t="s">
        <v>634</v>
      </c>
      <c r="F166" s="256">
        <f>IF(ISBLANK('2B'!I34),"##BLANK",'2B'!I34)</f>
        <v>0</v>
      </c>
    </row>
    <row r="167" spans="2:6">
      <c r="B167" s="219" t="str">
        <f>'2B'!AJ34</f>
        <v>BA3000</v>
      </c>
      <c r="C167" s="219" t="s">
        <v>1255</v>
      </c>
      <c r="E167" s="249" t="s">
        <v>634</v>
      </c>
      <c r="F167" s="256">
        <f>IF(ISBLANK('2B'!J34),"##BLANK",'2B'!J34)</f>
        <v>337.06300000000005</v>
      </c>
    </row>
    <row r="168" spans="2:6">
      <c r="B168" s="219" t="str">
        <f>'2B'!AF37</f>
        <v>B0024WN</v>
      </c>
      <c r="C168" s="219" t="s">
        <v>1256</v>
      </c>
      <c r="E168" s="249" t="s">
        <v>634</v>
      </c>
      <c r="F168" s="256">
        <f>IF(ISBLANK('2B'!F37),"##BLANK",'2B'!F37)</f>
        <v>5.101</v>
      </c>
    </row>
    <row r="169" spans="2:6">
      <c r="B169" s="219" t="str">
        <f>'2B'!AG37</f>
        <v>B0024WNK</v>
      </c>
      <c r="C169" s="219" t="s">
        <v>1257</v>
      </c>
      <c r="E169" s="249" t="s">
        <v>634</v>
      </c>
      <c r="F169" s="256">
        <f>IF(ISBLANK('2B'!G37),"##BLANK",'2B'!G37)</f>
        <v>9.929000000000002</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17.091000000000001</v>
      </c>
    </row>
    <row r="173" spans="2:6">
      <c r="B173" s="219" t="str">
        <f>'2B'!AE39</f>
        <v>BM325WR</v>
      </c>
      <c r="C173" s="219" t="s">
        <v>1261</v>
      </c>
      <c r="E173" s="249" t="s">
        <v>634</v>
      </c>
      <c r="F173" s="256">
        <f>IF(ISBLANK('2B'!E39),"##BLANK",'2B'!E39)</f>
        <v>79.634999999999991</v>
      </c>
    </row>
    <row r="174" spans="2:6">
      <c r="B174" s="219" t="str">
        <f>'2B'!AF39</f>
        <v>BM325WN</v>
      </c>
      <c r="C174" s="219" t="s">
        <v>1262</v>
      </c>
      <c r="E174" s="249" t="s">
        <v>634</v>
      </c>
      <c r="F174" s="256">
        <f>IF(ISBLANK('2B'!F39),"##BLANK",'2B'!F39)</f>
        <v>334.79600000000005</v>
      </c>
    </row>
    <row r="175" spans="2:6">
      <c r="B175" s="219" t="str">
        <f>'2B'!AG39</f>
        <v>BM825WNK</v>
      </c>
      <c r="C175" s="219" t="s">
        <v>1263</v>
      </c>
      <c r="E175" s="249" t="s">
        <v>634</v>
      </c>
      <c r="F175" s="256">
        <f>IF(ISBLANK('2B'!G39),"##BLANK",'2B'!G39)</f>
        <v>289.96199999999999</v>
      </c>
    </row>
    <row r="176" spans="2:6">
      <c r="B176" s="219" t="str">
        <f>'2B'!AH39</f>
        <v>BM825SG</v>
      </c>
      <c r="C176" s="219" t="s">
        <v>1264</v>
      </c>
      <c r="E176" s="249" t="s">
        <v>634</v>
      </c>
      <c r="F176" s="256">
        <f>IF(ISBLANK('2B'!H39),"##BLANK",'2B'!H39)</f>
        <v>33.865000000000002</v>
      </c>
    </row>
    <row r="177" spans="2:6">
      <c r="B177" s="219" t="str">
        <f>'2B'!AI39</f>
        <v>S3039TTT</v>
      </c>
      <c r="C177" s="219" t="s">
        <v>1265</v>
      </c>
      <c r="E177" s="249" t="s">
        <v>634</v>
      </c>
      <c r="F177" s="256">
        <f>IF(ISBLANK('2B'!I39),"##BLANK",'2B'!I39)</f>
        <v>0</v>
      </c>
    </row>
    <row r="178" spans="2:6">
      <c r="B178" s="219" t="str">
        <f>'2B'!AJ39</f>
        <v>T3039</v>
      </c>
      <c r="C178" s="219" t="s">
        <v>1266</v>
      </c>
      <c r="E178" s="249" t="s">
        <v>634</v>
      </c>
      <c r="F178" s="256">
        <f>IF(ISBLANK('2B'!J39),"##BLANK",'2B'!J39)</f>
        <v>738.25800000000004</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79.634999999999991</v>
      </c>
    </row>
    <row r="190" spans="2:6">
      <c r="B190" s="219" t="str">
        <f>'2B'!AF44</f>
        <v>W3026WN</v>
      </c>
      <c r="C190" s="219" t="s">
        <v>1278</v>
      </c>
      <c r="E190" s="249" t="s">
        <v>634</v>
      </c>
      <c r="F190" s="256">
        <f>IF(ISBLANK('2B'!F44),"##BLANK",'2B'!F44)</f>
        <v>334.79600000000005</v>
      </c>
    </row>
    <row r="191" spans="2:6">
      <c r="B191" s="219" t="str">
        <f>'2B'!AG44</f>
        <v>S3040WNK</v>
      </c>
      <c r="C191" s="219" t="s">
        <v>1279</v>
      </c>
      <c r="E191" s="249" t="s">
        <v>634</v>
      </c>
      <c r="F191" s="256">
        <f>IF(ISBLANK('2B'!G44),"##BLANK",'2B'!G44)</f>
        <v>289.96199999999999</v>
      </c>
    </row>
    <row r="192" spans="2:6">
      <c r="B192" s="219" t="str">
        <f>'2B'!AH44</f>
        <v>S3040SG</v>
      </c>
      <c r="C192" s="219" t="s">
        <v>1280</v>
      </c>
      <c r="E192" s="249" t="s">
        <v>634</v>
      </c>
      <c r="F192" s="256">
        <f>IF(ISBLANK('2B'!H44),"##BLANK",'2B'!H44)</f>
        <v>33.865000000000002</v>
      </c>
    </row>
    <row r="193" spans="2:6">
      <c r="B193" s="219" t="str">
        <f>'2B'!AI44</f>
        <v>S3040TOTTTT</v>
      </c>
      <c r="C193" s="219" t="s">
        <v>1281</v>
      </c>
      <c r="E193" s="249" t="s">
        <v>634</v>
      </c>
      <c r="F193" s="256">
        <f>IF(ISBLANK('2B'!I44),"##BLANK",'2B'!I44)</f>
        <v>0</v>
      </c>
    </row>
    <row r="194" spans="2:6">
      <c r="B194" s="219" t="str">
        <f>'2B'!AJ44</f>
        <v>CR00564</v>
      </c>
      <c r="C194" s="219" t="s">
        <v>1282</v>
      </c>
      <c r="E194" s="249" t="s">
        <v>634</v>
      </c>
      <c r="F194" s="256">
        <f>IF(ISBLANK('2B'!J44),"##BLANK",'2B'!J44)</f>
        <v>738.25800000000004</v>
      </c>
    </row>
    <row r="195" spans="2:6">
      <c r="B195" s="219" t="str">
        <f>'2C'!U8</f>
        <v>BM9030</v>
      </c>
      <c r="C195" s="219" t="s">
        <v>1283</v>
      </c>
      <c r="E195" s="249" t="s">
        <v>634</v>
      </c>
      <c r="F195" s="256">
        <f>IF(ISBLANK('2C'!E8),"##BLANK",'2C'!E8)</f>
        <v>14.818</v>
      </c>
    </row>
    <row r="196" spans="2:6">
      <c r="B196" s="219" t="str">
        <f>'2C'!V8</f>
        <v>BM9031</v>
      </c>
      <c r="C196" s="219" t="s">
        <v>1284</v>
      </c>
      <c r="E196" s="249" t="s">
        <v>634</v>
      </c>
      <c r="F196" s="256">
        <f>IF(ISBLANK('2C'!F8),"##BLANK",'2C'!F8)</f>
        <v>2.141</v>
      </c>
    </row>
    <row r="197" spans="2:6">
      <c r="B197" s="219" t="str">
        <f>'2C'!W8</f>
        <v>BM9032</v>
      </c>
      <c r="C197" s="219" t="s">
        <v>1285</v>
      </c>
      <c r="E197" s="249" t="s">
        <v>634</v>
      </c>
      <c r="F197" s="256">
        <f>IF(ISBLANK('2C'!G8),"##BLANK",'2C'!G8)</f>
        <v>16.959</v>
      </c>
    </row>
    <row r="198" spans="2:6">
      <c r="B198" s="219" t="str">
        <f>'2C'!U9</f>
        <v>BM9002</v>
      </c>
      <c r="C198" s="219" t="s">
        <v>1286</v>
      </c>
      <c r="E198" s="249" t="s">
        <v>634</v>
      </c>
      <c r="F198" s="256">
        <f>IF(ISBLANK('2C'!E9),"##BLANK",'2C'!E9)</f>
        <v>4.7679999999999998</v>
      </c>
    </row>
    <row r="199" spans="2:6">
      <c r="B199" s="219" t="str">
        <f>'2C'!V9</f>
        <v>BM9202</v>
      </c>
      <c r="C199" s="219" t="s">
        <v>1287</v>
      </c>
      <c r="E199" s="249" t="s">
        <v>634</v>
      </c>
      <c r="F199" s="256">
        <f>IF(ISBLANK('2C'!F9),"##BLANK",'2C'!F9)</f>
        <v>0.71699999999999997</v>
      </c>
    </row>
    <row r="200" spans="2:6">
      <c r="B200" s="219" t="str">
        <f>'2C'!W9</f>
        <v>BM9502</v>
      </c>
      <c r="C200" s="219" t="s">
        <v>1288</v>
      </c>
      <c r="E200" s="249" t="s">
        <v>634</v>
      </c>
      <c r="F200" s="256">
        <f>IF(ISBLANK('2C'!G9),"##BLANK",'2C'!G9)</f>
        <v>5.4849999999999994</v>
      </c>
    </row>
    <row r="201" spans="2:6">
      <c r="B201" s="219" t="str">
        <f>'2C'!U10</f>
        <v>BM9003</v>
      </c>
      <c r="C201" s="219" t="s">
        <v>1289</v>
      </c>
      <c r="E201" s="249" t="s">
        <v>634</v>
      </c>
      <c r="F201" s="256">
        <f>IF(ISBLANK('2C'!E10),"##BLANK",'2C'!E10)</f>
        <v>23.305</v>
      </c>
    </row>
    <row r="202" spans="2:6">
      <c r="B202" s="219" t="str">
        <f>'2C'!V10</f>
        <v>BM9203</v>
      </c>
      <c r="C202" s="219" t="s">
        <v>1290</v>
      </c>
      <c r="E202" s="249" t="s">
        <v>634</v>
      </c>
      <c r="F202" s="256">
        <f>IF(ISBLANK('2C'!F10),"##BLANK",'2C'!F10)</f>
        <v>0.85599999999999998</v>
      </c>
    </row>
    <row r="203" spans="2:6">
      <c r="B203" s="219" t="str">
        <f>'2C'!W10</f>
        <v>BM9503</v>
      </c>
      <c r="C203" s="219" t="s">
        <v>1291</v>
      </c>
      <c r="E203" s="249" t="s">
        <v>634</v>
      </c>
      <c r="F203" s="256">
        <f>IF(ISBLANK('2C'!G10),"##BLANK",'2C'!G10)</f>
        <v>24.161000000000001</v>
      </c>
    </row>
    <row r="204" spans="2:6">
      <c r="B204" s="219" t="str">
        <f>'2C'!U11</f>
        <v>BM9007</v>
      </c>
      <c r="C204" s="219" t="s">
        <v>1292</v>
      </c>
      <c r="E204" s="249" t="s">
        <v>634</v>
      </c>
      <c r="F204" s="256">
        <f>IF(ISBLANK('2C'!E11),"##BLANK",'2C'!E11)</f>
        <v>2.0270000000000001</v>
      </c>
    </row>
    <row r="205" spans="2:6">
      <c r="B205" s="219" t="str">
        <f>'2C'!V11</f>
        <v>BM9207</v>
      </c>
      <c r="C205" s="219" t="s">
        <v>1293</v>
      </c>
      <c r="E205" s="249" t="s">
        <v>634</v>
      </c>
      <c r="F205" s="256">
        <f>IF(ISBLANK('2C'!F11),"##BLANK",'2C'!F11)</f>
        <v>0.52700000000000002</v>
      </c>
    </row>
    <row r="206" spans="2:6">
      <c r="B206" s="219" t="str">
        <f>'2C'!W11</f>
        <v>BM9507</v>
      </c>
      <c r="C206" s="219" t="s">
        <v>1294</v>
      </c>
      <c r="E206" s="249" t="s">
        <v>634</v>
      </c>
      <c r="F206" s="256">
        <f>IF(ISBLANK('2C'!G11),"##BLANK",'2C'!G11)</f>
        <v>2.5540000000000003</v>
      </c>
    </row>
    <row r="207" spans="2:6">
      <c r="B207" s="219" t="str">
        <f>'2C'!V12</f>
        <v>BM9230</v>
      </c>
      <c r="C207" s="219" t="s">
        <v>1295</v>
      </c>
      <c r="E207" s="249" t="s">
        <v>634</v>
      </c>
      <c r="F207" s="256">
        <f>IF(ISBLANK('2C'!F12),"##BLANK",'2C'!F12)</f>
        <v>0.44400000000000001</v>
      </c>
    </row>
    <row r="208" spans="2:6">
      <c r="B208" s="219" t="str">
        <f>'2C'!U13</f>
        <v>B0025OXH</v>
      </c>
      <c r="C208" s="219" t="s">
        <v>1296</v>
      </c>
      <c r="E208" s="249" t="s">
        <v>634</v>
      </c>
      <c r="F208" s="256">
        <f>IF(ISBLANK('2C'!E13),"##BLANK",'2C'!E13)</f>
        <v>16.236000000000001</v>
      </c>
    </row>
    <row r="209" spans="2:6">
      <c r="B209" s="219" t="str">
        <f>'2C'!V13</f>
        <v>B0025OXNH</v>
      </c>
      <c r="C209" s="219" t="s">
        <v>1297</v>
      </c>
      <c r="E209" s="249" t="s">
        <v>634</v>
      </c>
      <c r="F209" s="256">
        <f>IF(ISBLANK('2C'!F13),"##BLANK",'2C'!F13)</f>
        <v>1.3340000000000001</v>
      </c>
    </row>
    <row r="210" spans="2:6">
      <c r="B210" s="219" t="str">
        <f>'2C'!W13</f>
        <v>B0025OXT</v>
      </c>
      <c r="C210" s="219" t="s">
        <v>1184</v>
      </c>
      <c r="E210" s="249" t="s">
        <v>634</v>
      </c>
      <c r="F210" s="256">
        <f>IF(ISBLANK('2C'!G13),"##BLANK",'2C'!G13)</f>
        <v>17.57</v>
      </c>
    </row>
    <row r="211" spans="2:6">
      <c r="B211" s="219" t="str">
        <f>'2C'!U14</f>
        <v>B0026LAH</v>
      </c>
      <c r="C211" s="219" t="s">
        <v>1298</v>
      </c>
      <c r="E211" s="249" t="s">
        <v>634</v>
      </c>
      <c r="F211" s="256">
        <f>IF(ISBLANK('2C'!E14),"##BLANK",'2C'!E14)</f>
        <v>0.21</v>
      </c>
    </row>
    <row r="212" spans="2:6">
      <c r="B212" s="219" t="str">
        <f>'2C'!V14</f>
        <v>B0026LANH</v>
      </c>
      <c r="C212" s="219" t="s">
        <v>1299</v>
      </c>
      <c r="E212" s="249" t="s">
        <v>634</v>
      </c>
      <c r="F212" s="256">
        <f>IF(ISBLANK('2C'!F14),"##BLANK",'2C'!F14)</f>
        <v>1.4999999999999999E-2</v>
      </c>
    </row>
    <row r="213" spans="2:6">
      <c r="B213" s="219" t="str">
        <f>'2C'!W14</f>
        <v>B0026LAT</v>
      </c>
      <c r="C213" s="219" t="s">
        <v>1300</v>
      </c>
      <c r="E213" s="249" t="s">
        <v>634</v>
      </c>
      <c r="F213" s="256">
        <f>IF(ISBLANK('2C'!G14),"##BLANK",'2C'!G14)</f>
        <v>0.22499999999999998</v>
      </c>
    </row>
    <row r="214" spans="2:6">
      <c r="B214" s="219" t="str">
        <f>'2C'!U15</f>
        <v>B0027TXH</v>
      </c>
      <c r="C214" s="219" t="s">
        <v>1301</v>
      </c>
      <c r="E214" s="249" t="s">
        <v>634</v>
      </c>
      <c r="F214" s="256">
        <f>IF(ISBLANK('2C'!E15),"##BLANK",'2C'!E15)</f>
        <v>61.364000000000004</v>
      </c>
    </row>
    <row r="215" spans="2:6">
      <c r="B215" s="219" t="str">
        <f>'2C'!V15</f>
        <v>B0027TXNH</v>
      </c>
      <c r="C215" s="219" t="s">
        <v>1302</v>
      </c>
      <c r="E215" s="249" t="s">
        <v>634</v>
      </c>
      <c r="F215" s="256">
        <f>IF(ISBLANK('2C'!F15),"##BLANK",'2C'!F15)</f>
        <v>6.0339999999999998</v>
      </c>
    </row>
    <row r="216" spans="2:6">
      <c r="B216" s="219" t="str">
        <f>'2C'!W15</f>
        <v>B0027TXT</v>
      </c>
      <c r="C216" s="219" t="s">
        <v>1303</v>
      </c>
      <c r="E216" s="249" t="s">
        <v>634</v>
      </c>
      <c r="F216" s="255">
        <f>IF(ISBLANK('2C'!G15),"##BLANK",'2C'!G15)</f>
        <v>67.39800000000001</v>
      </c>
    </row>
    <row r="217" spans="2:6">
      <c r="B217" s="219" t="str">
        <f>'2C'!U18</f>
        <v>B0028DEXH</v>
      </c>
      <c r="C217" s="219" t="s">
        <v>1304</v>
      </c>
      <c r="E217" s="249" t="s">
        <v>634</v>
      </c>
      <c r="F217" s="255">
        <f>IF(ISBLANK('2C'!E18),"##BLANK",'2C'!E18)</f>
        <v>0.158</v>
      </c>
    </row>
    <row r="218" spans="2:6">
      <c r="B218" s="219" t="str">
        <f>'2C'!V18</f>
        <v>B0028DEXNH</v>
      </c>
      <c r="C218" s="219" t="s">
        <v>1305</v>
      </c>
      <c r="E218" s="249" t="s">
        <v>634</v>
      </c>
      <c r="F218" s="255">
        <f>IF(ISBLANK('2C'!F18),"##BLANK",'2C'!F18)</f>
        <v>1.2E-2</v>
      </c>
    </row>
    <row r="219" spans="2:6">
      <c r="B219" s="219" t="str">
        <f>'2C'!W18</f>
        <v>B0028DEXT</v>
      </c>
      <c r="C219" s="219" t="s">
        <v>1306</v>
      </c>
      <c r="E219" s="249" t="s">
        <v>634</v>
      </c>
      <c r="F219" s="255">
        <f>IF(ISBLANK('2C'!G18),"##BLANK",'2C'!G18)</f>
        <v>0.17</v>
      </c>
    </row>
    <row r="220" spans="2:6">
      <c r="B220" s="219" t="str">
        <f>'2C'!U19</f>
        <v>B0029DAXH</v>
      </c>
      <c r="C220" s="219" t="s">
        <v>1307</v>
      </c>
      <c r="E220" s="249" t="s">
        <v>634</v>
      </c>
      <c r="F220" s="255">
        <f>IF(ISBLANK('2C'!E19),"##BLANK",'2C'!E19)</f>
        <v>0.252</v>
      </c>
    </row>
    <row r="221" spans="2:6">
      <c r="B221" s="219" t="str">
        <f>'2C'!V19</f>
        <v>B0029DAXNH</v>
      </c>
      <c r="C221" s="219" t="s">
        <v>1308</v>
      </c>
      <c r="E221" s="249" t="s">
        <v>634</v>
      </c>
      <c r="F221" s="255">
        <f>IF(ISBLANK('2C'!F19),"##BLANK",'2C'!F19)</f>
        <v>3.3000000000000002E-2</v>
      </c>
    </row>
    <row r="222" spans="2:6">
      <c r="B222" s="219" t="str">
        <f>'2C'!W19</f>
        <v>B0029DAXT</v>
      </c>
      <c r="C222" s="219" t="s">
        <v>1309</v>
      </c>
      <c r="E222" s="249" t="s">
        <v>634</v>
      </c>
      <c r="F222" s="255">
        <f>IF(ISBLANK('2C'!G19),"##BLANK",'2C'!G19)</f>
        <v>0.28500000000000003</v>
      </c>
    </row>
    <row r="223" spans="2:6">
      <c r="B223" s="219" t="str">
        <f>'2C'!U20</f>
        <v>B0030AEXH</v>
      </c>
      <c r="C223" s="219" t="s">
        <v>1310</v>
      </c>
      <c r="E223" s="249" t="s">
        <v>634</v>
      </c>
      <c r="F223" s="255">
        <f>IF(ISBLANK('2C'!E20),"##BLANK",'2C'!E20)</f>
        <v>1.6</v>
      </c>
    </row>
    <row r="224" spans="2:6">
      <c r="B224" s="219" t="str">
        <f>'2C'!V20</f>
        <v>B0030AEXNH</v>
      </c>
      <c r="C224" s="219" t="s">
        <v>1311</v>
      </c>
      <c r="E224" s="249" t="s">
        <v>634</v>
      </c>
      <c r="F224" s="255">
        <f>IF(ISBLANK('2C'!F20),"##BLANK",'2C'!F20)</f>
        <v>0.11700000000000001</v>
      </c>
    </row>
    <row r="225" spans="2:6">
      <c r="B225" s="219" t="str">
        <f>'2C'!W20</f>
        <v>B0030AEXT</v>
      </c>
      <c r="C225" s="219" t="s">
        <v>1312</v>
      </c>
      <c r="E225" s="249" t="s">
        <v>634</v>
      </c>
      <c r="F225" s="255">
        <f>IF(ISBLANK('2C'!G20),"##BLANK",'2C'!G20)</f>
        <v>1.7170000000000001</v>
      </c>
    </row>
    <row r="226" spans="2:6">
      <c r="B226" s="219" t="str">
        <f>'2C'!U21</f>
        <v>B0031AAXH</v>
      </c>
      <c r="C226" s="219" t="s">
        <v>1313</v>
      </c>
      <c r="E226" s="249" t="s">
        <v>634</v>
      </c>
      <c r="F226" s="255">
        <f>IF(ISBLANK('2C'!E21),"##BLANK",'2C'!E21)</f>
        <v>4.1669999999999998</v>
      </c>
    </row>
    <row r="227" spans="2:6">
      <c r="B227" s="219" t="str">
        <f>'2C'!V21</f>
        <v>B0031AAXNH</v>
      </c>
      <c r="C227" s="219" t="s">
        <v>1314</v>
      </c>
      <c r="E227" s="249" t="s">
        <v>634</v>
      </c>
      <c r="F227" s="255">
        <f>IF(ISBLANK('2C'!F21),"##BLANK",'2C'!F21)</f>
        <v>0.30499999999999999</v>
      </c>
    </row>
    <row r="228" spans="2:6">
      <c r="B228" s="219" t="str">
        <f>'2C'!W21</f>
        <v>B0031AAXT</v>
      </c>
      <c r="C228" s="219" t="s">
        <v>1315</v>
      </c>
      <c r="E228" s="249" t="s">
        <v>634</v>
      </c>
      <c r="F228" s="255">
        <f>IF(ISBLANK('2C'!G21),"##BLANK",'2C'!G21)</f>
        <v>4.4719999999999995</v>
      </c>
    </row>
    <row r="229" spans="2:6">
      <c r="B229" s="219" t="str">
        <f>'2C'!U24</f>
        <v>B0032RCL</v>
      </c>
      <c r="C229" s="219" t="s">
        <v>1316</v>
      </c>
      <c r="E229" s="249" t="s">
        <v>634</v>
      </c>
      <c r="F229" s="255">
        <f>IF(ISBLANK('2C'!E24),"##BLANK",'2C'!E24)</f>
        <v>0</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0.59</v>
      </c>
    </row>
    <row r="236" spans="2:6">
      <c r="B236" s="219" t="str">
        <f>'2C'!V26</f>
        <v>B0034RCWB</v>
      </c>
      <c r="C236" s="219" t="s">
        <v>1323</v>
      </c>
      <c r="E236" s="249" t="s">
        <v>634</v>
      </c>
      <c r="F236" s="255">
        <f>IF(ISBLANK('2C'!F26),"##BLANK",'2C'!F26)</f>
        <v>4.4000000000000004E-2</v>
      </c>
    </row>
    <row r="237" spans="2:6">
      <c r="B237" s="219" t="str">
        <f>'2C'!W26</f>
        <v>B0034RCWT</v>
      </c>
      <c r="C237" s="219" t="s">
        <v>1324</v>
      </c>
      <c r="E237" s="249" t="s">
        <v>634</v>
      </c>
      <c r="F237" s="255">
        <f>IF(ISBLANK('2C'!G26),"##BLANK",'2C'!G26)</f>
        <v>0.63400000000000001</v>
      </c>
    </row>
    <row r="238" spans="2:6">
      <c r="B238" s="219" t="str">
        <f>'2C'!U27</f>
        <v>B0035INCA</v>
      </c>
      <c r="C238" s="219" t="s">
        <v>1325</v>
      </c>
      <c r="E238" s="249" t="s">
        <v>634</v>
      </c>
      <c r="F238" s="255">
        <f>IF(ISBLANK('2C'!E27),"##BLANK",'2C'!E27)</f>
        <v>3.9E-2</v>
      </c>
    </row>
    <row r="239" spans="2:6">
      <c r="B239" s="219" t="str">
        <f>'2C'!V27</f>
        <v>B0035INCAB</v>
      </c>
      <c r="C239" s="219" t="s">
        <v>1326</v>
      </c>
      <c r="E239" s="249" t="s">
        <v>634</v>
      </c>
      <c r="F239" s="255">
        <f>IF(ISBLANK('2C'!F27),"##BLANK",'2C'!F27)</f>
        <v>2E-3</v>
      </c>
    </row>
    <row r="240" spans="2:6">
      <c r="B240" s="219" t="str">
        <f>'2C'!W27</f>
        <v>B0035INCAT</v>
      </c>
      <c r="C240" s="219" t="s">
        <v>1327</v>
      </c>
      <c r="E240" s="249" t="s">
        <v>634</v>
      </c>
      <c r="F240" s="255">
        <f>IF(ISBLANK('2C'!G27),"##BLANK",'2C'!G27)</f>
        <v>4.1000000000000002E-2</v>
      </c>
    </row>
    <row r="241" spans="2:6">
      <c r="B241" s="219" t="str">
        <f>'2C'!U28</f>
        <v>B0036NRC</v>
      </c>
      <c r="C241" s="219" t="s">
        <v>1328</v>
      </c>
      <c r="E241" s="249" t="s">
        <v>634</v>
      </c>
      <c r="F241" s="255">
        <f>IF(ISBLANK('2C'!E28),"##BLANK",'2C'!E28)</f>
        <v>0.55099999999999993</v>
      </c>
    </row>
    <row r="242" spans="2:6">
      <c r="B242" s="219" t="str">
        <f>'2C'!V28</f>
        <v>B0036NRCB</v>
      </c>
      <c r="C242" s="219" t="s">
        <v>1329</v>
      </c>
      <c r="E242" s="249" t="s">
        <v>634</v>
      </c>
      <c r="F242" s="255">
        <f>IF(ISBLANK('2C'!F28),"##BLANK",'2C'!F28)</f>
        <v>4.2000000000000003E-2</v>
      </c>
    </row>
    <row r="243" spans="2:6">
      <c r="B243" s="219" t="str">
        <f>'2C'!W28</f>
        <v>B0036NRCT</v>
      </c>
      <c r="C243" s="219" t="s">
        <v>1330</v>
      </c>
      <c r="E243" s="249" t="s">
        <v>634</v>
      </c>
      <c r="F243" s="255">
        <f>IF(ISBLANK('2C'!G28),"##BLANK",'2C'!G28)</f>
        <v>0.59299999999999997</v>
      </c>
    </row>
    <row r="244" spans="2:6">
      <c r="B244" s="219" t="str">
        <f>'2C'!U30</f>
        <v>B0037TRCH</v>
      </c>
      <c r="C244" s="219" t="s">
        <v>1331</v>
      </c>
      <c r="E244" s="249" t="s">
        <v>634</v>
      </c>
      <c r="F244" s="255">
        <f>IF(ISBLANK('2C'!E30),"##BLANK",'2C'!E30)</f>
        <v>68.091999999999999</v>
      </c>
    </row>
    <row r="245" spans="2:6">
      <c r="B245" s="219" t="str">
        <f>'2C'!V30</f>
        <v>B0037TRCNH</v>
      </c>
      <c r="C245" s="219" t="s">
        <v>1332</v>
      </c>
      <c r="E245" s="249" t="s">
        <v>634</v>
      </c>
      <c r="F245" s="255">
        <f>IF(ISBLANK('2C'!F30),"##BLANK",'2C'!F30)</f>
        <v>6.5429999999999993</v>
      </c>
    </row>
    <row r="246" spans="2:6">
      <c r="B246" s="219" t="str">
        <f>'2C'!W30</f>
        <v>B0037TRCT</v>
      </c>
      <c r="C246" s="219" t="s">
        <v>1333</v>
      </c>
      <c r="E246" s="249" t="s">
        <v>634</v>
      </c>
      <c r="F246" s="255">
        <f>IF(ISBLANK('2C'!G30),"##BLANK",'2C'!G30)</f>
        <v>74.634999999999991</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68.091999999999999</v>
      </c>
    </row>
    <row r="254" spans="2:6">
      <c r="B254" s="219" t="str">
        <f>'2C'!V35</f>
        <v>B0039TRCNH_PDRC</v>
      </c>
      <c r="C254" s="219" t="s">
        <v>1341</v>
      </c>
      <c r="E254" s="249" t="s">
        <v>634</v>
      </c>
      <c r="F254" s="255">
        <f>IF(ISBLANK('2C'!F35),"##BLANK",'2C'!F35)</f>
        <v>6.5429999999999993</v>
      </c>
    </row>
    <row r="255" spans="2:6">
      <c r="B255" s="219" t="str">
        <f>'2C'!W35</f>
        <v>B0039TRCT_PDRC</v>
      </c>
      <c r="C255" s="219" t="s">
        <v>1342</v>
      </c>
      <c r="E255" s="249" t="s">
        <v>634</v>
      </c>
      <c r="F255" s="255">
        <f>IF(ISBLANK('2C'!G35),"##BLANK",'2C'!G35)</f>
        <v>74.634999999999991</v>
      </c>
    </row>
    <row r="256" spans="2:6">
      <c r="B256" s="219" t="str">
        <f>'2C'!U38</f>
        <v>BM9038</v>
      </c>
      <c r="C256" s="219" t="s">
        <v>1343</v>
      </c>
      <c r="E256" s="249" t="s">
        <v>634</v>
      </c>
      <c r="F256" s="255">
        <f>IF(ISBLANK('2C'!E38),"##BLANK",'2C'!E38)</f>
        <v>19.009</v>
      </c>
    </row>
    <row r="257" spans="2:6">
      <c r="B257" s="219" t="str">
        <f>'2C'!V38</f>
        <v>BM9338</v>
      </c>
      <c r="C257" s="219" t="s">
        <v>1344</v>
      </c>
      <c r="E257" s="249" t="s">
        <v>634</v>
      </c>
      <c r="F257" s="255">
        <f>IF(ISBLANK('2C'!F38),"##BLANK",'2C'!F38)</f>
        <v>0.99099999999999999</v>
      </c>
    </row>
    <row r="258" spans="2:6">
      <c r="B258" s="219" t="str">
        <f>'2C'!W38</f>
        <v>BM9538</v>
      </c>
      <c r="C258" s="219" t="s">
        <v>1345</v>
      </c>
      <c r="E258" s="249" t="s">
        <v>634</v>
      </c>
      <c r="F258" s="255">
        <f>IF(ISBLANK('2C'!G38),"##BLANK",'2C'!G38)</f>
        <v>20</v>
      </c>
    </row>
    <row r="259" spans="2:6">
      <c r="B259" s="219" t="str">
        <f>'2C'!U41</f>
        <v>B0040CAPXH</v>
      </c>
      <c r="C259" s="219" t="s">
        <v>1346</v>
      </c>
      <c r="E259" s="249" t="s">
        <v>634</v>
      </c>
      <c r="F259" s="255">
        <f>IF(ISBLANK('2C'!E41),"##BLANK",'2C'!E41)</f>
        <v>2.2240000000000002</v>
      </c>
    </row>
    <row r="260" spans="2:6">
      <c r="B260" s="219" t="str">
        <f>'2C'!V41</f>
        <v>B0040CAPXNH</v>
      </c>
      <c r="C260" s="219" t="s">
        <v>1347</v>
      </c>
      <c r="E260" s="249" t="s">
        <v>634</v>
      </c>
      <c r="F260" s="255">
        <f>IF(ISBLANK('2C'!F41),"##BLANK",'2C'!F41)</f>
        <v>0.16300000000000001</v>
      </c>
    </row>
    <row r="261" spans="2:6">
      <c r="B261" s="219" t="str">
        <f>'2C'!W41</f>
        <v>B0040CAPXT</v>
      </c>
      <c r="C261" s="219" t="s">
        <v>1348</v>
      </c>
      <c r="E261" s="249" t="s">
        <v>634</v>
      </c>
      <c r="F261" s="255">
        <f>IF(ISBLANK('2C'!G41),"##BLANK",'2C'!G41)</f>
        <v>2.387</v>
      </c>
    </row>
    <row r="262" spans="2:6">
      <c r="B262" s="219" t="str">
        <f>'2C'!U44</f>
        <v>R3006</v>
      </c>
      <c r="C262" s="219" t="s">
        <v>1349</v>
      </c>
      <c r="E262" s="249" t="s">
        <v>634</v>
      </c>
      <c r="F262" s="255">
        <f>IF(ISBLANK('2C'!E44),"##BLANK",'2C'!E44)</f>
        <v>0.217</v>
      </c>
    </row>
    <row r="263" spans="2:6">
      <c r="B263" s="219" t="str">
        <f>'2C'!U45</f>
        <v>R3007</v>
      </c>
      <c r="C263" s="219" t="s">
        <v>1350</v>
      </c>
      <c r="E263" s="249" t="s">
        <v>634</v>
      </c>
      <c r="F263" s="255">
        <f>IF(ISBLANK('2C'!E45),"##BLANK",'2C'!E45)</f>
        <v>0.114</v>
      </c>
    </row>
    <row r="264" spans="2:6">
      <c r="B264" s="219" t="str">
        <f>'2C'!U46</f>
        <v>R3008</v>
      </c>
      <c r="C264" s="219" t="s">
        <v>1351</v>
      </c>
      <c r="E264" s="249" t="s">
        <v>634</v>
      </c>
      <c r="F264" s="255">
        <f>IF(ISBLANK('2C'!E46),"##BLANK",'2C'!E46)</f>
        <v>0.10299999999999999</v>
      </c>
    </row>
    <row r="265" spans="2:6">
      <c r="B265" s="219" t="str">
        <f>'2C'!U48</f>
        <v>R3009</v>
      </c>
      <c r="C265" s="219" t="s">
        <v>1352</v>
      </c>
      <c r="E265" s="249" t="s">
        <v>634</v>
      </c>
      <c r="F265" s="255">
        <f>IF(ISBLANK('2C'!E48),"##BLANK",'2C'!E48)</f>
        <v>5.923</v>
      </c>
    </row>
    <row r="266" spans="2:6">
      <c r="B266" s="219" t="str">
        <f>'2C'!U49</f>
        <v>R3010</v>
      </c>
      <c r="C266" s="219" t="s">
        <v>1353</v>
      </c>
      <c r="E266" s="249" t="s">
        <v>634</v>
      </c>
      <c r="F266" s="255">
        <f>IF(ISBLANK('2C'!E49),"##BLANK",'2C'!E49)</f>
        <v>5.923</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187.4220000209435</v>
      </c>
    </row>
    <row r="269" spans="2:6">
      <c r="B269" s="219" t="str">
        <f>'2C'!U54</f>
        <v>B0042CAE</v>
      </c>
      <c r="C269" s="219" t="s">
        <v>1356</v>
      </c>
      <c r="E269" s="249" t="s">
        <v>634</v>
      </c>
      <c r="F269" s="255">
        <f>IF(ISBLANK('2C'!E54),"##BLANK",'2C'!E54)</f>
        <v>121.392</v>
      </c>
    </row>
    <row r="270" spans="2:6">
      <c r="B270" s="219" t="str">
        <f>'2C'!U55</f>
        <v>B0043TAE</v>
      </c>
      <c r="C270" s="219" t="s">
        <v>1357</v>
      </c>
      <c r="E270" s="249" t="s">
        <v>634</v>
      </c>
      <c r="F270" s="255">
        <f>IF(ISBLANK('2C'!E55),"##BLANK",'2C'!E55)</f>
        <v>204.57400000000001</v>
      </c>
    </row>
    <row r="271" spans="2:6">
      <c r="B271" s="219" t="str">
        <f>'2D'!AE8</f>
        <v>BM4012H</v>
      </c>
      <c r="C271" s="219" t="s">
        <v>1358</v>
      </c>
      <c r="E271" s="249" t="s">
        <v>634</v>
      </c>
      <c r="F271" s="255">
        <f>IF(ISBLANK('2D'!E8),"##BLANK",'2D'!E8)</f>
        <v>57.152000000000001</v>
      </c>
    </row>
    <row r="272" spans="2:6">
      <c r="B272" s="219" t="str">
        <f>'2D'!AF8</f>
        <v>BM4012NH</v>
      </c>
      <c r="C272" s="219" t="s">
        <v>1359</v>
      </c>
      <c r="E272" s="249" t="s">
        <v>634</v>
      </c>
      <c r="F272" s="255">
        <f>IF(ISBLANK('2D'!F8),"##BLANK",'2D'!F8)</f>
        <v>8.5180000000000007</v>
      </c>
    </row>
    <row r="273" spans="2:6">
      <c r="B273" s="219" t="str">
        <f>'2D'!AG8</f>
        <v>BM4012WR</v>
      </c>
      <c r="C273" s="219" t="s">
        <v>1360</v>
      </c>
      <c r="E273" s="249" t="s">
        <v>634</v>
      </c>
      <c r="F273" s="255">
        <f>IF(ISBLANK('2D'!G8),"##BLANK",'2D'!G8)</f>
        <v>318.46699999999998</v>
      </c>
    </row>
    <row r="274" spans="2:6">
      <c r="B274" s="219" t="str">
        <f>'2D'!AH8</f>
        <v>BM4012WN</v>
      </c>
      <c r="C274" s="219" t="s">
        <v>1361</v>
      </c>
      <c r="E274" s="249" t="s">
        <v>634</v>
      </c>
      <c r="F274" s="255">
        <f>IF(ISBLANK('2D'!H8),"##BLANK",'2D'!H8)</f>
        <v>3275.6559999999999</v>
      </c>
    </row>
    <row r="275" spans="2:6">
      <c r="B275" s="219" t="str">
        <f>'2D'!AI8</f>
        <v>BM4012WNK</v>
      </c>
      <c r="C275" s="219" t="s">
        <v>1362</v>
      </c>
      <c r="E275" s="249" t="s">
        <v>634</v>
      </c>
      <c r="F275" s="255">
        <f>IF(ISBLANK('2D'!I8),"##BLANK",'2D'!I8)</f>
        <v>3904.0050000000001</v>
      </c>
    </row>
    <row r="276" spans="2:6">
      <c r="B276" s="219" t="str">
        <f>'2D'!AJ8</f>
        <v>BM4012SG</v>
      </c>
      <c r="C276" s="219" t="s">
        <v>1363</v>
      </c>
      <c r="E276" s="249" t="s">
        <v>634</v>
      </c>
      <c r="F276" s="255">
        <f>IF(ISBLANK('2D'!J8),"##BLANK",'2D'!J8)</f>
        <v>458.95299999999997</v>
      </c>
    </row>
    <row r="277" spans="2:6">
      <c r="B277" s="219" t="str">
        <f>'2D'!AK8</f>
        <v>BM4012STTT</v>
      </c>
      <c r="C277" s="219" t="s">
        <v>1364</v>
      </c>
      <c r="E277" s="249" t="s">
        <v>634</v>
      </c>
      <c r="F277" s="255">
        <f>IF(ISBLANK('2D'!K8),"##BLANK",'2D'!K8)</f>
        <v>0</v>
      </c>
    </row>
    <row r="278" spans="2:6">
      <c r="B278" s="219" t="str">
        <f>'2D'!AL8</f>
        <v>BM4012CTOT</v>
      </c>
      <c r="C278" s="219" t="s">
        <v>1365</v>
      </c>
      <c r="E278" s="249" t="s">
        <v>634</v>
      </c>
      <c r="F278" s="255">
        <f>IF(ISBLANK('2D'!L8),"##BLANK",'2D'!L8)</f>
        <v>8022.7510000000002</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-0.1</v>
      </c>
    </row>
    <row r="282" spans="2:6">
      <c r="B282" s="219" t="str">
        <f>'2D'!AH9</f>
        <v>BM4016WN</v>
      </c>
      <c r="C282" s="219" t="s">
        <v>1369</v>
      </c>
      <c r="E282" s="249" t="s">
        <v>634</v>
      </c>
      <c r="F282" s="255">
        <f>IF(ISBLANK('2D'!H9),"##BLANK",'2D'!H9)</f>
        <v>-1.577</v>
      </c>
    </row>
    <row r="283" spans="2:6">
      <c r="B283" s="219" t="str">
        <f>'2D'!AI9</f>
        <v>BM4016WNK</v>
      </c>
      <c r="C283" s="219" t="s">
        <v>1370</v>
      </c>
      <c r="E283" s="249" t="s">
        <v>634</v>
      </c>
      <c r="F283" s="255">
        <f>IF(ISBLANK('2D'!I9),"##BLANK",'2D'!I9)</f>
        <v>-1.1850000000000001</v>
      </c>
    </row>
    <row r="284" spans="2:6">
      <c r="B284" s="219" t="str">
        <f>'2D'!AJ9</f>
        <v>BM4016SG</v>
      </c>
      <c r="C284" s="219" t="s">
        <v>1371</v>
      </c>
      <c r="E284" s="249" t="s">
        <v>634</v>
      </c>
      <c r="F284" s="255">
        <f>IF(ISBLANK('2D'!J9),"##BLANK",'2D'!J9)</f>
        <v>-0.38400000000000001</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-3.246</v>
      </c>
    </row>
    <row r="287" spans="2:6">
      <c r="B287" s="219" t="str">
        <f>'2D'!AE10</f>
        <v>BM4017H</v>
      </c>
      <c r="C287" s="219" t="s">
        <v>1374</v>
      </c>
      <c r="E287" s="249" t="s">
        <v>634</v>
      </c>
      <c r="F287" s="255">
        <f>IF(ISBLANK('2D'!E10),"##BLANK",'2D'!E10)</f>
        <v>0</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43.456000000000003</v>
      </c>
    </row>
    <row r="290" spans="2:6">
      <c r="B290" s="219" t="str">
        <f>'2D'!AH10</f>
        <v>BM4017WN</v>
      </c>
      <c r="C290" s="219" t="s">
        <v>1377</v>
      </c>
      <c r="E290" s="249" t="s">
        <v>634</v>
      </c>
      <c r="F290" s="255">
        <f>IF(ISBLANK('2D'!H10),"##BLANK",'2D'!H10)</f>
        <v>109.81100000000001</v>
      </c>
    </row>
    <row r="291" spans="2:6">
      <c r="B291" s="219" t="str">
        <f>'2D'!AI10</f>
        <v>BM4017WNK</v>
      </c>
      <c r="C291" s="219" t="s">
        <v>1378</v>
      </c>
      <c r="E291" s="249" t="s">
        <v>634</v>
      </c>
      <c r="F291" s="255">
        <f>IF(ISBLANK('2D'!I10),"##BLANK",'2D'!I10)</f>
        <v>122.251</v>
      </c>
    </row>
    <row r="292" spans="2:6">
      <c r="B292" s="219" t="str">
        <f>'2D'!AJ10</f>
        <v>BM4017SG</v>
      </c>
      <c r="C292" s="219" t="s">
        <v>1379</v>
      </c>
      <c r="E292" s="249" t="s">
        <v>634</v>
      </c>
      <c r="F292" s="255">
        <f>IF(ISBLANK('2D'!J10),"##BLANK",'2D'!J10)</f>
        <v>11.6</v>
      </c>
    </row>
    <row r="293" spans="2:6">
      <c r="B293" s="219" t="str">
        <f>'2D'!AK10</f>
        <v>BM4017STTT</v>
      </c>
      <c r="C293" s="219" t="s">
        <v>1380</v>
      </c>
      <c r="E293" s="249" t="s">
        <v>634</v>
      </c>
      <c r="F293" s="255">
        <f>IF(ISBLANK('2D'!K10),"##BLANK",'2D'!K10)</f>
        <v>0</v>
      </c>
    </row>
    <row r="294" spans="2:6">
      <c r="B294" s="219" t="str">
        <f>'2D'!AL10</f>
        <v>BM4017CTOT</v>
      </c>
      <c r="C294" s="219" t="s">
        <v>1381</v>
      </c>
      <c r="E294" s="249" t="s">
        <v>634</v>
      </c>
      <c r="F294" s="255">
        <f>IF(ISBLANK('2D'!L10),"##BLANK",'2D'!L10)</f>
        <v>287.11800000000005</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108.129</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108.129</v>
      </c>
    </row>
    <row r="311" spans="2:6">
      <c r="B311" s="219" t="str">
        <f>'2D'!AE13</f>
        <v>BM4018H</v>
      </c>
      <c r="C311" s="219" t="s">
        <v>1398</v>
      </c>
      <c r="E311" s="249" t="s">
        <v>634</v>
      </c>
      <c r="F311" s="255">
        <f>IF(ISBLANK('2D'!E13),"##BLANK",'2D'!E13)</f>
        <v>57.152000000000001</v>
      </c>
    </row>
    <row r="312" spans="2:6">
      <c r="B312" s="219" t="str">
        <f>'2D'!AF13</f>
        <v>BM4018NH</v>
      </c>
      <c r="C312" s="219" t="s">
        <v>1399</v>
      </c>
      <c r="E312" s="249" t="s">
        <v>634</v>
      </c>
      <c r="F312" s="255">
        <f>IF(ISBLANK('2D'!F13),"##BLANK",'2D'!F13)</f>
        <v>8.5180000000000007</v>
      </c>
    </row>
    <row r="313" spans="2:6">
      <c r="B313" s="219" t="str">
        <f>'2D'!AG13</f>
        <v>BM4018WR</v>
      </c>
      <c r="C313" s="219" t="s">
        <v>1400</v>
      </c>
      <c r="E313" s="249" t="s">
        <v>634</v>
      </c>
      <c r="F313" s="255">
        <f>IF(ISBLANK('2D'!G13),"##BLANK",'2D'!G13)</f>
        <v>361.82299999999998</v>
      </c>
    </row>
    <row r="314" spans="2:6">
      <c r="B314" s="219" t="str">
        <f>'2D'!AH13</f>
        <v>BM4018WN</v>
      </c>
      <c r="C314" s="219" t="s">
        <v>1401</v>
      </c>
      <c r="E314" s="249" t="s">
        <v>634</v>
      </c>
      <c r="F314" s="255">
        <f>IF(ISBLANK('2D'!H13),"##BLANK",'2D'!H13)</f>
        <v>3383.89</v>
      </c>
    </row>
    <row r="315" spans="2:6">
      <c r="B315" s="219" t="str">
        <f>'2D'!AI13</f>
        <v>BM4018WNK</v>
      </c>
      <c r="C315" s="219" t="s">
        <v>1402</v>
      </c>
      <c r="E315" s="249" t="s">
        <v>634</v>
      </c>
      <c r="F315" s="255">
        <f>IF(ISBLANK('2D'!I13),"##BLANK",'2D'!I13)</f>
        <v>4133.2000000000007</v>
      </c>
    </row>
    <row r="316" spans="2:6">
      <c r="B316" s="219" t="str">
        <f>'2D'!AJ13</f>
        <v>BM4018SG</v>
      </c>
      <c r="C316" s="219" t="s">
        <v>1403</v>
      </c>
      <c r="E316" s="249" t="s">
        <v>634</v>
      </c>
      <c r="F316" s="255">
        <f>IF(ISBLANK('2D'!J13),"##BLANK",'2D'!J13)</f>
        <v>470.16899999999998</v>
      </c>
    </row>
    <row r="317" spans="2:6">
      <c r="B317" s="219" t="str">
        <f>'2D'!AK13</f>
        <v>BM4018STTT</v>
      </c>
      <c r="C317" s="219" t="s">
        <v>1404</v>
      </c>
      <c r="E317" s="249" t="s">
        <v>634</v>
      </c>
      <c r="F317" s="255">
        <f>IF(ISBLANK('2D'!K13),"##BLANK",'2D'!K13)</f>
        <v>0</v>
      </c>
    </row>
    <row r="318" spans="2:6">
      <c r="B318" s="219" t="str">
        <f>'2D'!AL13</f>
        <v>BM4018CTOT</v>
      </c>
      <c r="C318" s="219" t="s">
        <v>1405</v>
      </c>
      <c r="E318" s="249" t="s">
        <v>634</v>
      </c>
      <c r="F318" s="255">
        <f>IF(ISBLANK('2D'!L13),"##BLANK",'2D'!L13)</f>
        <v>8414.7520000000004</v>
      </c>
    </row>
    <row r="319" spans="2:6">
      <c r="B319" s="219" t="str">
        <f>'2D'!AE16</f>
        <v>BM4041H</v>
      </c>
      <c r="C319" s="219" t="s">
        <v>1406</v>
      </c>
      <c r="E319" s="249" t="s">
        <v>634</v>
      </c>
      <c r="F319" s="255">
        <f>IF(ISBLANK('2D'!E16),"##BLANK",'2D'!E16)</f>
        <v>-13.593</v>
      </c>
    </row>
    <row r="320" spans="2:6">
      <c r="B320" s="219" t="str">
        <f>'2D'!AF16</f>
        <v>BM4041NH</v>
      </c>
      <c r="C320" s="219" t="s">
        <v>1407</v>
      </c>
      <c r="E320" s="249" t="s">
        <v>634</v>
      </c>
      <c r="F320" s="255">
        <f>IF(ISBLANK('2D'!F16),"##BLANK",'2D'!F16)</f>
        <v>-2.08</v>
      </c>
    </row>
    <row r="321" spans="2:6">
      <c r="B321" s="219" t="str">
        <f>'2D'!AG16</f>
        <v>BM4041WR</v>
      </c>
      <c r="C321" s="219" t="s">
        <v>1360</v>
      </c>
      <c r="E321" s="249" t="s">
        <v>634</v>
      </c>
      <c r="F321" s="255">
        <f>IF(ISBLANK('2D'!G16),"##BLANK",'2D'!G16)</f>
        <v>-71.676000000000002</v>
      </c>
    </row>
    <row r="322" spans="2:6">
      <c r="B322" s="219" t="str">
        <f>'2D'!AH16</f>
        <v>BM4041WN</v>
      </c>
      <c r="C322" s="219" t="s">
        <v>1361</v>
      </c>
      <c r="E322" s="249" t="s">
        <v>634</v>
      </c>
      <c r="F322" s="255">
        <f>IF(ISBLANK('2D'!H16),"##BLANK",'2D'!H16)</f>
        <v>-1489.8150000000001</v>
      </c>
    </row>
    <row r="323" spans="2:6">
      <c r="B323" s="219" t="str">
        <f>'2D'!AI16</f>
        <v>BM4041WNK</v>
      </c>
      <c r="C323" s="219" t="s">
        <v>1362</v>
      </c>
      <c r="E323" s="249" t="s">
        <v>634</v>
      </c>
      <c r="F323" s="255">
        <f>IF(ISBLANK('2D'!I16),"##BLANK",'2D'!I16)</f>
        <v>-28.398</v>
      </c>
    </row>
    <row r="324" spans="2:6">
      <c r="B324" s="219" t="str">
        <f>'2D'!AJ16</f>
        <v>BM4041SG</v>
      </c>
      <c r="C324" s="219" t="s">
        <v>1363</v>
      </c>
      <c r="E324" s="249" t="s">
        <v>634</v>
      </c>
      <c r="F324" s="255">
        <f>IF(ISBLANK('2D'!J16),"##BLANK",'2D'!J16)</f>
        <v>-249.67</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-1855.232</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9.5000000000000001E-2</v>
      </c>
    </row>
    <row r="330" spans="2:6">
      <c r="B330" s="219" t="str">
        <f>'2D'!AH17</f>
        <v>BM4045WN</v>
      </c>
      <c r="C330" s="219" t="s">
        <v>1369</v>
      </c>
      <c r="E330" s="249" t="s">
        <v>634</v>
      </c>
      <c r="F330" s="255">
        <f>IF(ISBLANK('2D'!H17),"##BLANK",'2D'!H17)</f>
        <v>1.456</v>
      </c>
    </row>
    <row r="331" spans="2:6">
      <c r="B331" s="219" t="str">
        <f>'2D'!AI17</f>
        <v>BM4045WNK</v>
      </c>
      <c r="C331" s="219" t="s">
        <v>1370</v>
      </c>
      <c r="E331" s="249" t="s">
        <v>634</v>
      </c>
      <c r="F331" s="255">
        <f>IF(ISBLANK('2D'!I17),"##BLANK",'2D'!I17)</f>
        <v>1.1379999999999999</v>
      </c>
    </row>
    <row r="332" spans="2:6">
      <c r="B332" s="219" t="str">
        <f>'2D'!AJ17</f>
        <v>BM4045SG</v>
      </c>
      <c r="C332" s="219" t="s">
        <v>1371</v>
      </c>
      <c r="E332" s="249" t="s">
        <v>634</v>
      </c>
      <c r="F332" s="255">
        <f>IF(ISBLANK('2D'!J17),"##BLANK",'2D'!J17)</f>
        <v>0.35099999999999998</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3.04</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20.722999999999999</v>
      </c>
    </row>
    <row r="338" spans="2:6">
      <c r="B338" s="219" t="str">
        <f>'2D'!AH18</f>
        <v>BM4053WN</v>
      </c>
      <c r="C338" s="219" t="s">
        <v>1414</v>
      </c>
      <c r="E338" s="249" t="s">
        <v>634</v>
      </c>
      <c r="F338" s="255">
        <f>IF(ISBLANK('2D'!H18),"##BLANK",'2D'!H18)</f>
        <v>212.27</v>
      </c>
    </row>
    <row r="339" spans="2:6">
      <c r="B339" s="219" t="str">
        <f>'2D'!AI18</f>
        <v>BM4053WWNK</v>
      </c>
      <c r="C339" s="219" t="s">
        <v>1415</v>
      </c>
      <c r="E339" s="249" t="s">
        <v>634</v>
      </c>
      <c r="F339" s="255">
        <f>IF(ISBLANK('2D'!I18),"##BLANK",'2D'!I18)</f>
        <v>333.47300000000001</v>
      </c>
    </row>
    <row r="340" spans="2:6">
      <c r="B340" s="219" t="str">
        <f>'2D'!AJ18</f>
        <v>BM4053SG</v>
      </c>
      <c r="C340" s="219" t="s">
        <v>1416</v>
      </c>
      <c r="E340" s="249" t="s">
        <v>634</v>
      </c>
      <c r="F340" s="255">
        <f>IF(ISBLANK('2D'!J18),"##BLANK",'2D'!J18)</f>
        <v>26.885000000000002</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593.351</v>
      </c>
    </row>
    <row r="343" spans="2:6">
      <c r="B343" s="219" t="str">
        <f>'2D'!AE19</f>
        <v>BM4046H</v>
      </c>
      <c r="C343" s="219" t="s">
        <v>1419</v>
      </c>
      <c r="E343" s="249" t="s">
        <v>634</v>
      </c>
      <c r="F343" s="255">
        <f>IF(ISBLANK('2D'!E19),"##BLANK",'2D'!E19)</f>
        <v>-0.41</v>
      </c>
    </row>
    <row r="344" spans="2:6">
      <c r="B344" s="219" t="str">
        <f>'2D'!AF19</f>
        <v>BM4046NH</v>
      </c>
      <c r="C344" s="219" t="s">
        <v>1420</v>
      </c>
      <c r="E344" s="249" t="s">
        <v>634</v>
      </c>
      <c r="F344" s="255">
        <f>IF(ISBLANK('2D'!F19),"##BLANK",'2D'!F19)</f>
        <v>-4.4999999999999998E-2</v>
      </c>
    </row>
    <row r="345" spans="2:6">
      <c r="B345" s="219" t="str">
        <f>'2D'!AG19</f>
        <v>BM4046WR</v>
      </c>
      <c r="C345" s="219" t="s">
        <v>1421</v>
      </c>
      <c r="E345" s="249" t="s">
        <v>634</v>
      </c>
      <c r="F345" s="255">
        <f>IF(ISBLANK('2D'!G19),"##BLANK",'2D'!G19)</f>
        <v>-15.954000000000001</v>
      </c>
    </row>
    <row r="346" spans="2:6">
      <c r="B346" s="219" t="str">
        <f>'2D'!AH19</f>
        <v>BM4046WN</v>
      </c>
      <c r="C346" s="219" t="s">
        <v>1422</v>
      </c>
      <c r="E346" s="249" t="s">
        <v>634</v>
      </c>
      <c r="F346" s="255">
        <f>IF(ISBLANK('2D'!H19),"##BLANK",'2D'!H19)</f>
        <v>-102.352</v>
      </c>
    </row>
    <row r="347" spans="2:6">
      <c r="B347" s="219" t="str">
        <f>'2D'!AI19</f>
        <v>BM4046WNK</v>
      </c>
      <c r="C347" s="219" t="s">
        <v>1423</v>
      </c>
      <c r="E347" s="249" t="s">
        <v>634</v>
      </c>
      <c r="F347" s="255">
        <f>IF(ISBLANK('2D'!I19),"##BLANK",'2D'!I19)</f>
        <v>-176.179</v>
      </c>
    </row>
    <row r="348" spans="2:6">
      <c r="B348" s="219" t="str">
        <f>'2D'!AJ19</f>
        <v>BM4046SG</v>
      </c>
      <c r="C348" s="219" t="s">
        <v>1424</v>
      </c>
      <c r="E348" s="249" t="s">
        <v>634</v>
      </c>
      <c r="F348" s="255">
        <f>IF(ISBLANK('2D'!J19),"##BLANK",'2D'!J19)</f>
        <v>-20.158000000000001</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-315.09800000000001</v>
      </c>
    </row>
    <row r="351" spans="2:6">
      <c r="B351" s="219" t="str">
        <f>'2D'!AE20</f>
        <v>BM4047H</v>
      </c>
      <c r="C351" s="219" t="s">
        <v>1427</v>
      </c>
      <c r="E351" s="249" t="s">
        <v>634</v>
      </c>
      <c r="F351" s="255">
        <f>IF(ISBLANK('2D'!E20),"##BLANK",'2D'!E20)</f>
        <v>-14.003</v>
      </c>
    </row>
    <row r="352" spans="2:6">
      <c r="B352" s="219" t="str">
        <f>'2D'!AF20</f>
        <v>BM4047NH</v>
      </c>
      <c r="C352" s="219" t="s">
        <v>1428</v>
      </c>
      <c r="E352" s="249" t="s">
        <v>634</v>
      </c>
      <c r="F352" s="255">
        <f>IF(ISBLANK('2D'!F20),"##BLANK",'2D'!F20)</f>
        <v>-2.125</v>
      </c>
    </row>
    <row r="353" spans="2:6">
      <c r="B353" s="219" t="str">
        <f>'2D'!AG20</f>
        <v>BM4047WR</v>
      </c>
      <c r="C353" s="219" t="s">
        <v>1400</v>
      </c>
      <c r="E353" s="249" t="s">
        <v>634</v>
      </c>
      <c r="F353" s="255">
        <f>IF(ISBLANK('2D'!G20),"##BLANK",'2D'!G20)</f>
        <v>-66.812000000000012</v>
      </c>
    </row>
    <row r="354" spans="2:6">
      <c r="B354" s="219" t="str">
        <f>'2D'!AH20</f>
        <v>BM4047WN</v>
      </c>
      <c r="C354" s="219" t="s">
        <v>1401</v>
      </c>
      <c r="E354" s="249" t="s">
        <v>634</v>
      </c>
      <c r="F354" s="255">
        <f>IF(ISBLANK('2D'!H20),"##BLANK",'2D'!H20)</f>
        <v>-1378.4410000000003</v>
      </c>
    </row>
    <row r="355" spans="2:6">
      <c r="B355" s="219" t="str">
        <f>'2D'!AI20</f>
        <v>BM4047WNK</v>
      </c>
      <c r="C355" s="219" t="s">
        <v>1402</v>
      </c>
      <c r="E355" s="249" t="s">
        <v>634</v>
      </c>
      <c r="F355" s="255">
        <f>IF(ISBLANK('2D'!I20),"##BLANK",'2D'!I20)</f>
        <v>130.03400000000002</v>
      </c>
    </row>
    <row r="356" spans="2:6">
      <c r="B356" s="219" t="str">
        <f>'2D'!AJ20</f>
        <v>BM4047SG</v>
      </c>
      <c r="C356" s="219" t="s">
        <v>1403</v>
      </c>
      <c r="E356" s="249" t="s">
        <v>634</v>
      </c>
      <c r="F356" s="255">
        <f>IF(ISBLANK('2D'!J20),"##BLANK",'2D'!J20)</f>
        <v>-242.59199999999998</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-1573.9390000000003</v>
      </c>
    </row>
    <row r="359" spans="2:6">
      <c r="B359" s="219" t="str">
        <f>'2D'!AE22</f>
        <v>BM4048H</v>
      </c>
      <c r="C359" s="219" t="s">
        <v>1430</v>
      </c>
      <c r="E359" s="249" t="s">
        <v>634</v>
      </c>
      <c r="F359" s="255">
        <f>IF(ISBLANK('2D'!E22),"##BLANK",'2D'!E22)</f>
        <v>43.149000000000001</v>
      </c>
    </row>
    <row r="360" spans="2:6">
      <c r="B360" s="219" t="str">
        <f>'2D'!AF22</f>
        <v>BM4048NH</v>
      </c>
      <c r="C360" s="219" t="s">
        <v>1431</v>
      </c>
      <c r="E360" s="249" t="s">
        <v>634</v>
      </c>
      <c r="F360" s="255">
        <f>IF(ISBLANK('2D'!F22),"##BLANK",'2D'!F22)</f>
        <v>6.3930000000000007</v>
      </c>
    </row>
    <row r="361" spans="2:6">
      <c r="B361" s="219" t="str">
        <f>'2D'!AG22</f>
        <v>BM4048WR</v>
      </c>
      <c r="C361" s="219" t="s">
        <v>1432</v>
      </c>
      <c r="E361" s="249" t="s">
        <v>634</v>
      </c>
      <c r="F361" s="255">
        <f>IF(ISBLANK('2D'!G22),"##BLANK",'2D'!G22)</f>
        <v>295.01099999999997</v>
      </c>
    </row>
    <row r="362" spans="2:6">
      <c r="B362" s="219" t="str">
        <f>'2D'!AH22</f>
        <v>BM4048WN</v>
      </c>
      <c r="C362" s="219" t="s">
        <v>1433</v>
      </c>
      <c r="E362" s="249" t="s">
        <v>634</v>
      </c>
      <c r="F362" s="255">
        <f>IF(ISBLANK('2D'!H22),"##BLANK",'2D'!H22)</f>
        <v>2005.4489999999996</v>
      </c>
    </row>
    <row r="363" spans="2:6">
      <c r="B363" s="219" t="str">
        <f>'2D'!AI22</f>
        <v>BM4048WNK</v>
      </c>
      <c r="C363" s="219" t="s">
        <v>1434</v>
      </c>
      <c r="E363" s="249" t="s">
        <v>634</v>
      </c>
      <c r="F363" s="255">
        <f>IF(ISBLANK('2D'!I22),"##BLANK",'2D'!I22)</f>
        <v>4263.2340000000004</v>
      </c>
    </row>
    <row r="364" spans="2:6">
      <c r="B364" s="219" t="str">
        <f>'2D'!AJ22</f>
        <v>BM4048SG</v>
      </c>
      <c r="C364" s="219" t="s">
        <v>1435</v>
      </c>
      <c r="E364" s="249" t="s">
        <v>634</v>
      </c>
      <c r="F364" s="255">
        <f>IF(ISBLANK('2D'!J22),"##BLANK",'2D'!J22)</f>
        <v>227.577</v>
      </c>
    </row>
    <row r="365" spans="2:6">
      <c r="B365" s="219" t="str">
        <f>'2D'!AK22</f>
        <v>BM4048STTT</v>
      </c>
      <c r="C365" s="219" t="s">
        <v>1436</v>
      </c>
      <c r="E365" s="249" t="s">
        <v>634</v>
      </c>
      <c r="F365" s="255">
        <f>IF(ISBLANK('2D'!K22),"##BLANK",'2D'!K22)</f>
        <v>0</v>
      </c>
    </row>
    <row r="366" spans="2:6">
      <c r="B366" s="219" t="str">
        <f>'2D'!AL22</f>
        <v>BM4048CTOT</v>
      </c>
      <c r="C366" s="219" t="s">
        <v>1437</v>
      </c>
      <c r="E366" s="249" t="s">
        <v>634</v>
      </c>
      <c r="F366" s="255">
        <f>IF(ISBLANK('2D'!L22),"##BLANK",'2D'!L22)</f>
        <v>6840.8130000000001</v>
      </c>
    </row>
    <row r="367" spans="2:6">
      <c r="B367" s="219" t="str">
        <f>'2D'!AE24</f>
        <v>BM4049H</v>
      </c>
      <c r="C367" s="219" t="s">
        <v>1438</v>
      </c>
      <c r="E367" s="249" t="s">
        <v>634</v>
      </c>
      <c r="F367" s="255">
        <f>IF(ISBLANK('2D'!E24),"##BLANK",'2D'!E24)</f>
        <v>43.558999999999997</v>
      </c>
    </row>
    <row r="368" spans="2:6">
      <c r="B368" s="219" t="str">
        <f>'2D'!AF24</f>
        <v>BM4049NH</v>
      </c>
      <c r="C368" s="219" t="s">
        <v>1439</v>
      </c>
      <c r="E368" s="249" t="s">
        <v>634</v>
      </c>
      <c r="F368" s="255">
        <f>IF(ISBLANK('2D'!F24),"##BLANK",'2D'!F24)</f>
        <v>6.4380000000000006</v>
      </c>
    </row>
    <row r="369" spans="2:6">
      <c r="B369" s="219" t="str">
        <f>'2D'!AG24</f>
        <v>BM4049WR</v>
      </c>
      <c r="C369" s="219" t="s">
        <v>1440</v>
      </c>
      <c r="E369" s="249" t="s">
        <v>634</v>
      </c>
      <c r="F369" s="255">
        <f>IF(ISBLANK('2D'!G24),"##BLANK",'2D'!G24)</f>
        <v>246.791</v>
      </c>
    </row>
    <row r="370" spans="2:6">
      <c r="B370" s="219" t="str">
        <f>'2D'!AH24</f>
        <v>BM4049WN</v>
      </c>
      <c r="C370" s="219" t="s">
        <v>1441</v>
      </c>
      <c r="E370" s="249" t="s">
        <v>634</v>
      </c>
      <c r="F370" s="255">
        <f>IF(ISBLANK('2D'!H24),"##BLANK",'2D'!H24)</f>
        <v>1785.8409999999999</v>
      </c>
    </row>
    <row r="371" spans="2:6">
      <c r="B371" s="219" t="str">
        <f>'2D'!AI24</f>
        <v>BM4049WNK</v>
      </c>
      <c r="C371" s="219" t="s">
        <v>1442</v>
      </c>
      <c r="E371" s="249" t="s">
        <v>634</v>
      </c>
      <c r="F371" s="255">
        <f>IF(ISBLANK('2D'!I24),"##BLANK",'2D'!I24)</f>
        <v>3875.607</v>
      </c>
    </row>
    <row r="372" spans="2:6">
      <c r="B372" s="219" t="str">
        <f>'2D'!AJ24</f>
        <v>BM4049SG</v>
      </c>
      <c r="C372" s="219" t="s">
        <v>1443</v>
      </c>
      <c r="E372" s="249" t="s">
        <v>634</v>
      </c>
      <c r="F372" s="255">
        <f>IF(ISBLANK('2D'!J24),"##BLANK",'2D'!J24)</f>
        <v>209.28299999999999</v>
      </c>
    </row>
    <row r="373" spans="2:6">
      <c r="B373" s="219" t="str">
        <f>'2D'!AK24</f>
        <v>BM4049STTT</v>
      </c>
      <c r="C373" s="219" t="s">
        <v>1444</v>
      </c>
      <c r="E373" s="249" t="s">
        <v>634</v>
      </c>
      <c r="F373" s="255">
        <f>IF(ISBLANK('2D'!K24),"##BLANK",'2D'!K24)</f>
        <v>0</v>
      </c>
    </row>
    <row r="374" spans="2:6">
      <c r="B374" s="219" t="str">
        <f>'2D'!AL24</f>
        <v>BM4049CTOT</v>
      </c>
      <c r="C374" s="219" t="s">
        <v>1445</v>
      </c>
      <c r="E374" s="249" t="s">
        <v>634</v>
      </c>
      <c r="F374" s="255">
        <f>IF(ISBLANK('2D'!L24),"##BLANK",'2D'!L24)</f>
        <v>6167.5190000000002</v>
      </c>
    </row>
    <row r="375" spans="2:6">
      <c r="B375" s="219" t="str">
        <f>'2D'!AE27</f>
        <v>BM4051H</v>
      </c>
      <c r="C375" s="219" t="s">
        <v>1446</v>
      </c>
      <c r="E375" s="249" t="s">
        <v>634</v>
      </c>
      <c r="F375" s="255">
        <f>IF(ISBLANK('2D'!E27),"##BLANK",'2D'!E27)</f>
        <v>-0.41</v>
      </c>
    </row>
    <row r="376" spans="2:6">
      <c r="B376" s="219" t="str">
        <f>'2D'!AF27</f>
        <v>BM4051NH</v>
      </c>
      <c r="C376" s="219" t="s">
        <v>1447</v>
      </c>
      <c r="E376" s="249" t="s">
        <v>634</v>
      </c>
      <c r="F376" s="255">
        <f>IF(ISBLANK('2D'!F27),"##BLANK",'2D'!F27)</f>
        <v>-4.4999999999999998E-2</v>
      </c>
    </row>
    <row r="377" spans="2:6">
      <c r="B377" s="219" t="str">
        <f>'2D'!AG27</f>
        <v>BM4051WR</v>
      </c>
      <c r="C377" s="219" t="s">
        <v>1448</v>
      </c>
      <c r="E377" s="249" t="s">
        <v>634</v>
      </c>
      <c r="F377" s="255">
        <f>IF(ISBLANK('2D'!G27),"##BLANK",'2D'!G27)</f>
        <v>-15.827999999999999</v>
      </c>
    </row>
    <row r="378" spans="2:6">
      <c r="B378" s="219" t="str">
        <f>'2D'!AH27</f>
        <v>BM4051WN</v>
      </c>
      <c r="C378" s="219" t="s">
        <v>1449</v>
      </c>
      <c r="E378" s="249" t="s">
        <v>634</v>
      </c>
      <c r="F378" s="255">
        <f>IF(ISBLANK('2D'!H27),"##BLANK",'2D'!H27)</f>
        <v>-102.28700000000001</v>
      </c>
    </row>
    <row r="379" spans="2:6">
      <c r="B379" s="219" t="str">
        <f>'2D'!AI27</f>
        <v>BM4051WNK</v>
      </c>
      <c r="C379" s="219" t="s">
        <v>1450</v>
      </c>
      <c r="E379" s="249" t="s">
        <v>634</v>
      </c>
      <c r="F379" s="255">
        <f>IF(ISBLANK('2D'!I27),"##BLANK",'2D'!I27)</f>
        <v>-176.179</v>
      </c>
    </row>
    <row r="380" spans="2:6">
      <c r="B380" s="219" t="str">
        <f>'2D'!AJ27</f>
        <v>BM4051SG</v>
      </c>
      <c r="C380" s="219" t="s">
        <v>1451</v>
      </c>
      <c r="E380" s="249" t="s">
        <v>634</v>
      </c>
      <c r="F380" s="255">
        <f>IF(ISBLANK('2D'!J27),"##BLANK",'2D'!J27)</f>
        <v>-20.158000000000001</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-314.90700000000004</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-0.126</v>
      </c>
    </row>
    <row r="386" spans="2:6">
      <c r="B386" s="219" t="str">
        <f>'2D'!AH28</f>
        <v>BM334WN</v>
      </c>
      <c r="C386" s="219" t="s">
        <v>1457</v>
      </c>
      <c r="E386" s="249" t="s">
        <v>634</v>
      </c>
      <c r="F386" s="255">
        <f>IF(ISBLANK('2D'!H28),"##BLANK",'2D'!H28)</f>
        <v>-6.5000000000000002E-2</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-0.191</v>
      </c>
    </row>
    <row r="391" spans="2:6">
      <c r="B391" s="219" t="str">
        <f>'2D'!AE29</f>
        <v>BM4052H</v>
      </c>
      <c r="C391" s="219" t="s">
        <v>1462</v>
      </c>
      <c r="E391" s="249" t="s">
        <v>634</v>
      </c>
      <c r="F391" s="255">
        <f>IF(ISBLANK('2D'!E29),"##BLANK",'2D'!E29)</f>
        <v>-0.41</v>
      </c>
    </row>
    <row r="392" spans="2:6">
      <c r="B392" s="219" t="str">
        <f>'2D'!AF29</f>
        <v>BM4052NH</v>
      </c>
      <c r="C392" s="219" t="s">
        <v>1463</v>
      </c>
      <c r="E392" s="249" t="s">
        <v>634</v>
      </c>
      <c r="F392" s="255">
        <f>IF(ISBLANK('2D'!F29),"##BLANK",'2D'!F29)</f>
        <v>-4.4999999999999998E-2</v>
      </c>
    </row>
    <row r="393" spans="2:6">
      <c r="B393" s="219" t="str">
        <f>'2D'!AG29</f>
        <v>BM4052WR</v>
      </c>
      <c r="C393" s="219" t="s">
        <v>1464</v>
      </c>
      <c r="E393" s="249" t="s">
        <v>634</v>
      </c>
      <c r="F393" s="255">
        <f>IF(ISBLANK('2D'!G29),"##BLANK",'2D'!G29)</f>
        <v>-15.953999999999999</v>
      </c>
    </row>
    <row r="394" spans="2:6">
      <c r="B394" s="219" t="str">
        <f>'2D'!AH29</f>
        <v>BM4052WN</v>
      </c>
      <c r="C394" s="219" t="s">
        <v>1465</v>
      </c>
      <c r="E394" s="249" t="s">
        <v>634</v>
      </c>
      <c r="F394" s="255">
        <f>IF(ISBLANK('2D'!H29),"##BLANK",'2D'!H29)</f>
        <v>-102.352</v>
      </c>
    </row>
    <row r="395" spans="2:6">
      <c r="B395" s="219" t="str">
        <f>'2D'!AI29</f>
        <v>BM4052WNK</v>
      </c>
      <c r="C395" s="219" t="s">
        <v>1466</v>
      </c>
      <c r="E395" s="249" t="s">
        <v>634</v>
      </c>
      <c r="F395" s="255">
        <f>IF(ISBLANK('2D'!I29),"##BLANK",'2D'!I29)</f>
        <v>-176.179</v>
      </c>
    </row>
    <row r="396" spans="2:6">
      <c r="B396" s="219" t="str">
        <f>'2D'!AJ29</f>
        <v>BM4052SG</v>
      </c>
      <c r="C396" s="219" t="s">
        <v>1467</v>
      </c>
      <c r="E396" s="249" t="s">
        <v>634</v>
      </c>
      <c r="F396" s="255">
        <f>IF(ISBLANK('2D'!J29),"##BLANK",'2D'!J29)</f>
        <v>-20.158000000000001</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-315.09800000000001</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2.0609999999999999</v>
      </c>
    </row>
    <row r="406" spans="2:6">
      <c r="B406" s="219" t="str">
        <f>'2E'!Z9</f>
        <v>B0042OCTOT</v>
      </c>
      <c r="C406" s="219" t="s">
        <v>1477</v>
      </c>
      <c r="E406" s="249" t="s">
        <v>634</v>
      </c>
      <c r="F406" s="255">
        <f>IF(ISBLANK('2E'!H9),"##BLANK",'2E'!H9)</f>
        <v>2.0609999999999999</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2.0609999999999999</v>
      </c>
    </row>
    <row r="410" spans="2:6">
      <c r="B410" s="219" t="str">
        <f>'2E'!Z10</f>
        <v>B0043PCTOT</v>
      </c>
      <c r="C410" s="219" t="s">
        <v>1481</v>
      </c>
      <c r="E410" s="249" t="s">
        <v>634</v>
      </c>
      <c r="F410" s="255">
        <f>IF(ISBLANK('2E'!H10),"##BLANK",'2E'!H10)</f>
        <v>2.0609999999999999</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2.0609999999999999</v>
      </c>
    </row>
    <row r="426" spans="2:6">
      <c r="B426" s="219" t="str">
        <f>'2E'!Z14</f>
        <v>B0047TTTOT</v>
      </c>
      <c r="C426" s="219" t="s">
        <v>1497</v>
      </c>
      <c r="E426" s="249" t="s">
        <v>634</v>
      </c>
      <c r="F426" s="255">
        <f>IF(ISBLANK('2E'!H14),"##BLANK",'2E'!H14)</f>
        <v>2.0609999999999999</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4.7409999999999997</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-5.5E-2</v>
      </c>
    </row>
    <row r="433" spans="2:6">
      <c r="B433" s="219" t="str">
        <f>'2E'!Z19</f>
        <v>B0049CCTOT</v>
      </c>
      <c r="C433" s="219" t="s">
        <v>1504</v>
      </c>
      <c r="E433" s="249" t="s">
        <v>634</v>
      </c>
      <c r="F433" s="255">
        <f>IF(ISBLANK('2E'!H19),"##BLANK",'2E'!H19)</f>
        <v>4.6859999999999999</v>
      </c>
    </row>
    <row r="434" spans="2:6">
      <c r="B434" s="219" t="str">
        <f>'2E'!W20</f>
        <v>B0050ICFRIS</v>
      </c>
      <c r="C434" s="219" t="s">
        <v>1505</v>
      </c>
      <c r="E434" s="249" t="s">
        <v>634</v>
      </c>
      <c r="F434" s="255">
        <f>IF(ISBLANK('2E'!E20),"##BLANK",'2E'!E20)</f>
        <v>0</v>
      </c>
    </row>
    <row r="435" spans="2:6">
      <c r="B435" s="219" t="str">
        <f>'2E'!X20</f>
        <v>B0050ICCAIS</v>
      </c>
      <c r="C435" s="219" t="s">
        <v>1506</v>
      </c>
      <c r="E435" s="249" t="s">
        <v>634</v>
      </c>
      <c r="F435" s="255">
        <f>IF(ISBLANK('2E'!F20),"##BLANK",'2E'!F20)</f>
        <v>0</v>
      </c>
    </row>
    <row r="436" spans="2:6">
      <c r="B436" s="219" t="str">
        <f>'2E'!Y20</f>
        <v>B0050ICFNC</v>
      </c>
      <c r="C436" s="219" t="s">
        <v>1507</v>
      </c>
      <c r="E436" s="249" t="s">
        <v>634</v>
      </c>
      <c r="F436" s="255">
        <f>IF(ISBLANK('2E'!G20),"##BLANK",'2E'!G20)</f>
        <v>3.6960000000000002</v>
      </c>
    </row>
    <row r="437" spans="2:6">
      <c r="B437" s="219" t="str">
        <f>'2E'!Z20</f>
        <v>B0050ICTOT</v>
      </c>
      <c r="C437" s="219" t="s">
        <v>1508</v>
      </c>
      <c r="E437" s="249" t="s">
        <v>634</v>
      </c>
      <c r="F437" s="255">
        <f>IF(ISBLANK('2E'!H20),"##BLANK",'2E'!H20)</f>
        <v>3.6960000000000002</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0</v>
      </c>
    </row>
    <row r="440" spans="2:6">
      <c r="B440" s="219" t="str">
        <f>'2E'!Y21</f>
        <v>B0051RMFNC</v>
      </c>
      <c r="C440" s="219" t="s">
        <v>1511</v>
      </c>
      <c r="E440" s="249" t="s">
        <v>634</v>
      </c>
      <c r="F440" s="255">
        <f>IF(ISBLANK('2E'!G21),"##BLANK",'2E'!G21)</f>
        <v>0.76500000000000001</v>
      </c>
    </row>
    <row r="441" spans="2:6">
      <c r="B441" s="219" t="str">
        <f>'2E'!Z21</f>
        <v>B0051RMTOT</v>
      </c>
      <c r="C441" s="219" t="s">
        <v>1512</v>
      </c>
      <c r="E441" s="249" t="s">
        <v>634</v>
      </c>
      <c r="F441" s="255">
        <f>IF(ISBLANK('2E'!H21),"##BLANK",'2E'!H21)</f>
        <v>0.76500000000000001</v>
      </c>
    </row>
    <row r="442" spans="2:6">
      <c r="B442" s="219" t="str">
        <f>'2E'!W22</f>
        <v>B0052DSFRIS</v>
      </c>
      <c r="C442" s="219" t="s">
        <v>1513</v>
      </c>
      <c r="E442" s="249" t="s">
        <v>634</v>
      </c>
      <c r="F442" s="255">
        <f>IF(ISBLANK('2E'!E22),"##BLANK",'2E'!E22)</f>
        <v>3.5449999999999999</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3.9E-2</v>
      </c>
    </row>
    <row r="445" spans="2:6">
      <c r="B445" s="219" t="str">
        <f>'2E'!Z22</f>
        <v>B0052DSTOT</v>
      </c>
      <c r="C445" s="219" t="s">
        <v>1516</v>
      </c>
      <c r="E445" s="249" t="s">
        <v>634</v>
      </c>
      <c r="F445" s="255">
        <f>IF(ISBLANK('2E'!H22),"##BLANK",'2E'!H22)</f>
        <v>3.5840000000000001</v>
      </c>
    </row>
    <row r="446" spans="2:6">
      <c r="B446" s="219" t="str">
        <f>'2E'!W23</f>
        <v>B0053OCFRIS</v>
      </c>
      <c r="C446" s="219" t="s">
        <v>1517</v>
      </c>
      <c r="E446" s="249" t="s">
        <v>634</v>
      </c>
      <c r="F446" s="255">
        <f>IF(ISBLANK('2E'!E23),"##BLANK",'2E'!E23)</f>
        <v>2.5230000000000001</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0.50700000000000001</v>
      </c>
    </row>
    <row r="449" spans="2:6">
      <c r="B449" s="219" t="str">
        <f>'2E'!Z23</f>
        <v>B0053OCTOT</v>
      </c>
      <c r="C449" s="219" t="s">
        <v>1520</v>
      </c>
      <c r="E449" s="249" t="s">
        <v>634</v>
      </c>
      <c r="F449" s="255">
        <f>IF(ISBLANK('2E'!H23),"##BLANK",'2E'!H23)</f>
        <v>3.0300000000000002</v>
      </c>
    </row>
    <row r="450" spans="2:6">
      <c r="B450" s="219" t="str">
        <f>'2E'!W24</f>
        <v>B0054PCFRIS</v>
      </c>
      <c r="C450" s="219" t="s">
        <v>1521</v>
      </c>
      <c r="E450" s="249" t="s">
        <v>634</v>
      </c>
      <c r="F450" s="255">
        <f>IF(ISBLANK('2E'!E24),"##BLANK",'2E'!E24)</f>
        <v>10.808999999999999</v>
      </c>
    </row>
    <row r="451" spans="2:6">
      <c r="B451" s="219" t="str">
        <f>'2E'!X24</f>
        <v>B0054PCCAIS</v>
      </c>
      <c r="C451" s="219" t="s">
        <v>1522</v>
      </c>
      <c r="E451" s="249" t="s">
        <v>634</v>
      </c>
      <c r="F451" s="255">
        <f>IF(ISBLANK('2E'!F24),"##BLANK",'2E'!F24)</f>
        <v>0</v>
      </c>
    </row>
    <row r="452" spans="2:6">
      <c r="B452" s="219" t="str">
        <f>'2E'!Y24</f>
        <v>B0054PCFNC</v>
      </c>
      <c r="C452" s="219" t="s">
        <v>1523</v>
      </c>
      <c r="E452" s="249" t="s">
        <v>634</v>
      </c>
      <c r="F452" s="255">
        <f>IF(ISBLANK('2E'!G24),"##BLANK",'2E'!G24)</f>
        <v>4.9519999999999991</v>
      </c>
    </row>
    <row r="453" spans="2:6">
      <c r="B453" s="219" t="str">
        <f>'2E'!Z24</f>
        <v>B0054PCTOT</v>
      </c>
      <c r="C453" s="219" t="s">
        <v>1524</v>
      </c>
      <c r="E453" s="249" t="s">
        <v>634</v>
      </c>
      <c r="F453" s="255">
        <f>IF(ISBLANK('2E'!H24),"##BLANK",'2E'!H24)</f>
        <v>15.760999999999999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0</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v>
      </c>
    </row>
    <row r="458" spans="2:6">
      <c r="B458" s="219" t="str">
        <f>'2E'!W26</f>
        <v>B0056PCFRIS</v>
      </c>
      <c r="C458" s="219" t="s">
        <v>1529</v>
      </c>
      <c r="E458" s="249" t="s">
        <v>634</v>
      </c>
      <c r="F458" s="255">
        <f>IF(ISBLANK('2E'!E26),"##BLANK",'2E'!E26)</f>
        <v>10.808999999999999</v>
      </c>
    </row>
    <row r="459" spans="2:6">
      <c r="B459" s="219" t="str">
        <f>'2E'!X26</f>
        <v>B0056PCCAIS</v>
      </c>
      <c r="C459" s="219" t="s">
        <v>1530</v>
      </c>
      <c r="E459" s="249" t="s">
        <v>634</v>
      </c>
      <c r="F459" s="255">
        <f>IF(ISBLANK('2E'!F26),"##BLANK",'2E'!F26)</f>
        <v>0</v>
      </c>
    </row>
    <row r="460" spans="2:6">
      <c r="B460" s="219" t="str">
        <f>'2E'!Y26</f>
        <v>B0056PCFNC</v>
      </c>
      <c r="C460" s="219" t="s">
        <v>1531</v>
      </c>
      <c r="E460" s="249" t="s">
        <v>634</v>
      </c>
      <c r="F460" s="255">
        <f>IF(ISBLANK('2E'!G26),"##BLANK",'2E'!G26)</f>
        <v>4.9519999999999991</v>
      </c>
    </row>
    <row r="461" spans="2:6">
      <c r="B461" s="219" t="str">
        <f>'2E'!Z26</f>
        <v>B0056PCTOT</v>
      </c>
      <c r="C461" s="219" t="s">
        <v>1532</v>
      </c>
      <c r="E461" s="249" t="s">
        <v>634</v>
      </c>
      <c r="F461" s="255">
        <f>IF(ISBLANK('2E'!H26),"##BLANK",'2E'!H26)</f>
        <v>15.760999999999999</v>
      </c>
    </row>
    <row r="462" spans="2:6">
      <c r="B462" s="219" t="str">
        <f>'2E'!W27</f>
        <v>B0057DNFRIS</v>
      </c>
      <c r="C462" s="219" t="s">
        <v>1533</v>
      </c>
      <c r="E462" s="249" t="s">
        <v>634</v>
      </c>
      <c r="F462" s="255">
        <f>IF(ISBLANK('2E'!E27),"##BLANK",'2E'!E27)</f>
        <v>5.45</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5.45</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0.15</v>
      </c>
    </row>
    <row r="473" spans="2:6">
      <c r="B473" s="219" t="str">
        <f>'2E'!Z29</f>
        <v>B0059OCTOT</v>
      </c>
      <c r="C473" s="219" t="s">
        <v>1544</v>
      </c>
      <c r="E473" s="249" t="s">
        <v>634</v>
      </c>
      <c r="F473" s="255">
        <f>IF(ISBLANK('2E'!H29),"##BLANK",'2E'!H29)</f>
        <v>0.15</v>
      </c>
    </row>
    <row r="474" spans="2:6">
      <c r="B474" s="219" t="str">
        <f>'2E'!W30</f>
        <v>B0060TTFRIS</v>
      </c>
      <c r="C474" s="219" t="s">
        <v>1545</v>
      </c>
      <c r="E474" s="249" t="s">
        <v>634</v>
      </c>
      <c r="F474" s="255">
        <f>IF(ISBLANK('2E'!E30),"##BLANK",'2E'!E30)</f>
        <v>16.259</v>
      </c>
    </row>
    <row r="475" spans="2:6">
      <c r="B475" s="219" t="str">
        <f>'2E'!X30</f>
        <v>B0060TTCAIS</v>
      </c>
      <c r="C475" s="219" t="s">
        <v>1546</v>
      </c>
      <c r="E475" s="249" t="s">
        <v>634</v>
      </c>
      <c r="F475" s="255">
        <f>IF(ISBLANK('2E'!F30),"##BLANK",'2E'!F30)</f>
        <v>0</v>
      </c>
    </row>
    <row r="476" spans="2:6">
      <c r="B476" s="219" t="str">
        <f>'2E'!Y30</f>
        <v>B0060TTFNC</v>
      </c>
      <c r="C476" s="219" t="s">
        <v>1547</v>
      </c>
      <c r="E476" s="249" t="s">
        <v>634</v>
      </c>
      <c r="F476" s="255">
        <f>IF(ISBLANK('2E'!G30),"##BLANK",'2E'!G30)</f>
        <v>5.1019999999999994</v>
      </c>
    </row>
    <row r="477" spans="2:6">
      <c r="B477" s="219" t="str">
        <f>'2E'!Z30</f>
        <v>B0060TTTOT</v>
      </c>
      <c r="C477" s="219" t="s">
        <v>1548</v>
      </c>
      <c r="E477" s="249" t="s">
        <v>634</v>
      </c>
      <c r="F477" s="255">
        <f>IF(ISBLANK('2E'!H30),"##BLANK",'2E'!H30)</f>
        <v>21.361000000000001</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v>
      </c>
    </row>
    <row r="480" spans="2:6">
      <c r="B480" s="219" t="str">
        <f>'2E'!Z32</f>
        <v>B0060VATOT</v>
      </c>
      <c r="C480" s="219" t="s">
        <v>1551</v>
      </c>
      <c r="E480" s="249" t="s">
        <v>634</v>
      </c>
      <c r="F480" s="255">
        <f>IF(ISBLANK('2E'!H32),"##BLANK",'2E'!H32)</f>
        <v>0</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6.12</v>
      </c>
    </row>
    <row r="484" spans="2:6">
      <c r="B484" s="219" t="str">
        <f>'2E'!Z35</f>
        <v>B0061RSTOT</v>
      </c>
      <c r="C484" s="219" t="s">
        <v>1555</v>
      </c>
      <c r="E484" s="249" t="s">
        <v>634</v>
      </c>
      <c r="F484" s="255">
        <f>IF(ISBLANK('2E'!H35),"##BLANK",'2E'!H35)</f>
        <v>6.12</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3.7989999999999999</v>
      </c>
    </row>
    <row r="488" spans="2:6">
      <c r="B488" s="219" t="str">
        <f>'2E'!Z36</f>
        <v>BC11370</v>
      </c>
      <c r="C488" s="219" t="s">
        <v>1559</v>
      </c>
      <c r="E488" s="249" t="s">
        <v>634</v>
      </c>
      <c r="F488" s="255">
        <f>IF(ISBLANK('2E'!H36),"##BLANK",'2E'!H36)</f>
        <v>3.7989999999999999</v>
      </c>
    </row>
    <row r="489" spans="2:6">
      <c r="B489" s="219" t="str">
        <f>'2E'!W37</f>
        <v>B0062DSFRIS</v>
      </c>
      <c r="C489" s="219" t="s">
        <v>1560</v>
      </c>
      <c r="E489" s="249" t="s">
        <v>634</v>
      </c>
      <c r="F489" s="255">
        <f>IF(ISBLANK('2E'!E37),"##BLANK",'2E'!E37)</f>
        <v>0.36</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0.36</v>
      </c>
    </row>
    <row r="493" spans="2:6">
      <c r="B493" s="219" t="str">
        <f>'2E'!W38</f>
        <v>B0063OCFRIS</v>
      </c>
      <c r="C493" s="219" t="s">
        <v>1564</v>
      </c>
      <c r="E493" s="249" t="s">
        <v>634</v>
      </c>
      <c r="F493" s="255">
        <f>IF(ISBLANK('2E'!E38),"##BLANK",'2E'!E38)</f>
        <v>0.95599999999999996</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0.215</v>
      </c>
    </row>
    <row r="496" spans="2:6">
      <c r="B496" s="219" t="str">
        <f>'2E'!Z38</f>
        <v>B0063OCTOT</v>
      </c>
      <c r="C496" s="219" t="s">
        <v>1567</v>
      </c>
      <c r="E496" s="249" t="s">
        <v>634</v>
      </c>
      <c r="F496" s="255">
        <f>IF(ISBLANK('2E'!H38),"##BLANK",'2E'!H38)</f>
        <v>1.171</v>
      </c>
    </row>
    <row r="497" spans="2:6">
      <c r="B497" s="219" t="str">
        <f>'2E'!W39</f>
        <v>B0064PCFRIS</v>
      </c>
      <c r="C497" s="219" t="s">
        <v>1568</v>
      </c>
      <c r="E497" s="249" t="s">
        <v>634</v>
      </c>
      <c r="F497" s="255">
        <f>IF(ISBLANK('2E'!E39),"##BLANK",'2E'!E39)</f>
        <v>1.3159999999999998</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10.134</v>
      </c>
    </row>
    <row r="500" spans="2:6">
      <c r="B500" s="219" t="str">
        <f>'2E'!Z39</f>
        <v>B0064PCTOT</v>
      </c>
      <c r="C500" s="219" t="s">
        <v>1571</v>
      </c>
      <c r="E500" s="249" t="s">
        <v>634</v>
      </c>
      <c r="F500" s="255">
        <f>IF(ISBLANK('2E'!H39),"##BLANK",'2E'!H39)</f>
        <v>11.45</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1.3159999999999998</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10.134</v>
      </c>
    </row>
    <row r="508" spans="2:6">
      <c r="B508" s="219" t="str">
        <f>'2E'!Z41</f>
        <v>B0066PCTOT</v>
      </c>
      <c r="C508" s="219" t="s">
        <v>1579</v>
      </c>
      <c r="E508" s="249" t="s">
        <v>634</v>
      </c>
      <c r="F508" s="255">
        <f>IF(ISBLANK('2E'!H41),"##BLANK",'2E'!H41)</f>
        <v>11.45</v>
      </c>
    </row>
    <row r="509" spans="2:6">
      <c r="B509" s="219" t="str">
        <f>'2E'!W42</f>
        <v>B0067DNFRIS</v>
      </c>
      <c r="C509" s="219" t="s">
        <v>1580</v>
      </c>
      <c r="E509" s="249" t="s">
        <v>634</v>
      </c>
      <c r="F509" s="255">
        <f>IF(ISBLANK('2E'!E42),"##BLANK",'2E'!E42)</f>
        <v>1.56</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1.56</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-0.20399999999999999</v>
      </c>
    </row>
    <row r="520" spans="2:6">
      <c r="B520" s="219" t="str">
        <f>'2E'!Z44</f>
        <v>B0069OCTOT</v>
      </c>
      <c r="C520" s="219" t="s">
        <v>1591</v>
      </c>
      <c r="E520" s="249" t="s">
        <v>634</v>
      </c>
      <c r="F520" s="255">
        <f>IF(ISBLANK('2E'!H44),"##BLANK",'2E'!H44)</f>
        <v>-0.20399999999999999</v>
      </c>
    </row>
    <row r="521" spans="2:6">
      <c r="B521" s="219" t="str">
        <f>'2E'!W45</f>
        <v>BA2090REV</v>
      </c>
      <c r="C521" s="219" t="s">
        <v>1592</v>
      </c>
      <c r="E521" s="249" t="s">
        <v>634</v>
      </c>
      <c r="F521" s="255">
        <f>IF(ISBLANK('2E'!E45),"##BLANK",'2E'!E45)</f>
        <v>2.8759999999999999</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9.93</v>
      </c>
    </row>
    <row r="524" spans="2:6">
      <c r="B524" s="219" t="str">
        <f>'2E'!Z45</f>
        <v>BA2091</v>
      </c>
      <c r="C524" s="219" t="s">
        <v>1595</v>
      </c>
      <c r="E524" s="249" t="s">
        <v>634</v>
      </c>
      <c r="F524" s="255">
        <f>IF(ISBLANK('2E'!H45),"##BLANK",'2E'!H45)</f>
        <v>12.805999999999999</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108.129</v>
      </c>
    </row>
    <row r="527" spans="2:6">
      <c r="B527" s="219" t="str">
        <f>'2E'!Z47</f>
        <v>BC30460TTTTOT</v>
      </c>
      <c r="C527" s="219" t="s">
        <v>1597</v>
      </c>
      <c r="E527" s="249" t="s">
        <v>634</v>
      </c>
      <c r="F527" s="255">
        <f>IF(ISBLANK('2E'!H47),"##BLANK",'2E'!H47)</f>
        <v>108.129</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0</v>
      </c>
    </row>
    <row r="530" spans="2:6">
      <c r="B530" s="219" t="str">
        <f>'2E'!Y52</f>
        <v>BA2090TTTBFWD</v>
      </c>
      <c r="C530" s="219" t="s">
        <v>1600</v>
      </c>
      <c r="E530" s="249" t="s">
        <v>634</v>
      </c>
      <c r="F530" s="255">
        <f>IF(ISBLANK('2E'!G52),"##BLANK",'2E'!G52)</f>
        <v>-1.7000000000000001E-2</v>
      </c>
    </row>
    <row r="531" spans="2:6">
      <c r="B531" s="219" t="str">
        <f>'2E'!Z52</f>
        <v>BA3001BFWD</v>
      </c>
      <c r="C531" s="219" t="s">
        <v>1601</v>
      </c>
      <c r="E531" s="249" t="s">
        <v>634</v>
      </c>
      <c r="F531" s="255">
        <f>IF(ISBLANK('2E'!H52),"##BLANK",'2E'!H52)</f>
        <v>-1.7000000000000001E-2</v>
      </c>
    </row>
    <row r="532" spans="2:6">
      <c r="B532" s="219" t="str">
        <f>'2E'!Z53</f>
        <v>BA3091CAP</v>
      </c>
      <c r="C532" s="219" t="s">
        <v>1602</v>
      </c>
      <c r="E532" s="249" t="s">
        <v>634</v>
      </c>
      <c r="F532" s="255">
        <f>IF(ISBLANK('2E'!H53),"##BLANK",'2E'!H53)</f>
        <v>0</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0</v>
      </c>
    </row>
    <row r="539" spans="2:6">
      <c r="B539" s="219" t="str">
        <f>'2E'!Y55</f>
        <v>BA2091TTTCFWD</v>
      </c>
      <c r="C539" s="219" t="s">
        <v>1609</v>
      </c>
      <c r="E539" s="249" t="s">
        <v>634</v>
      </c>
      <c r="F539" s="255">
        <f>IF(ISBLANK('2E'!G55),"##BLANK",'2E'!G55)</f>
        <v>-1.7000000000000001E-2</v>
      </c>
    </row>
    <row r="540" spans="2:6">
      <c r="B540" s="219" t="str">
        <f>'2E'!Z55</f>
        <v>BA3091CFWD</v>
      </c>
      <c r="C540" s="219" t="s">
        <v>1610</v>
      </c>
      <c r="E540" s="249" t="s">
        <v>634</v>
      </c>
      <c r="F540" s="255">
        <f>IF(ISBLANK('2E'!H55),"##BLANK",'2E'!H55)</f>
        <v>-1.7000000000000001E-2</v>
      </c>
    </row>
    <row r="541" spans="2:6">
      <c r="B541" s="219" t="str">
        <f>'2F'!S12</f>
        <v>B0072TRR</v>
      </c>
      <c r="C541" s="219" t="s">
        <v>1611</v>
      </c>
      <c r="E541" s="249" t="s">
        <v>634</v>
      </c>
      <c r="F541" s="255">
        <f>IF(ISBLANK('2F'!C12),"##BLANK",'2F'!C12)</f>
        <v>632.20500000000015</v>
      </c>
    </row>
    <row r="542" spans="2:6">
      <c r="B542" s="219" t="str">
        <f>'2F'!S15</f>
        <v>B0073RR</v>
      </c>
      <c r="C542" s="219" t="s">
        <v>1612</v>
      </c>
      <c r="E542" s="249" t="s">
        <v>634</v>
      </c>
      <c r="F542" s="255">
        <f>IF(ISBLANK('2F'!C15),"##BLANK",'2F'!C15)</f>
        <v>39.073999999999998</v>
      </c>
    </row>
    <row r="543" spans="2:6">
      <c r="B543" s="219" t="str">
        <f>'2F'!S16</f>
        <v>B0074RS</v>
      </c>
      <c r="C543" s="219" t="s">
        <v>1613</v>
      </c>
      <c r="E543" s="249" t="s">
        <v>634</v>
      </c>
      <c r="F543" s="255">
        <f>IF(ISBLANK('2F'!C16),"##BLANK",'2F'!C16)</f>
        <v>12.879</v>
      </c>
    </row>
    <row r="544" spans="2:6">
      <c r="B544" s="219" t="str">
        <f>'2F'!S17</f>
        <v>B0075AR</v>
      </c>
      <c r="C544" s="219" t="s">
        <v>1614</v>
      </c>
      <c r="E544" s="249" t="s">
        <v>634</v>
      </c>
      <c r="F544" s="255">
        <f>IF(ISBLANK('2F'!C17),"##BLANK",'2F'!C17)</f>
        <v>51.952999999999996</v>
      </c>
    </row>
    <row r="545" spans="2:6">
      <c r="B545" s="219" t="str">
        <f>'2F'!T20</f>
        <v>B0076AC</v>
      </c>
      <c r="C545" s="219" t="s">
        <v>1615</v>
      </c>
      <c r="E545" s="249" t="s">
        <v>634</v>
      </c>
      <c r="F545" s="255">
        <f>IF(ISBLANK('2F'!D20),"##BLANK",'2F'!D20)</f>
        <v>1444.374</v>
      </c>
    </row>
    <row r="546" spans="2:6">
      <c r="B546" s="219" t="str">
        <f>'2F'!T21</f>
        <v>B0077RC</v>
      </c>
      <c r="C546" s="219" t="s">
        <v>1616</v>
      </c>
      <c r="E546" s="249" t="s">
        <v>634</v>
      </c>
      <c r="F546" s="255">
        <f>IF(ISBLANK('2F'!D21),"##BLANK",'2F'!D21)</f>
        <v>1470.0219999999999</v>
      </c>
    </row>
    <row r="547" spans="2:6">
      <c r="B547" s="219" t="str">
        <f>'2F'!S24</f>
        <v>B0078AR</v>
      </c>
      <c r="C547" s="219" t="s">
        <v>1617</v>
      </c>
      <c r="E547" s="249" t="s">
        <v>634</v>
      </c>
      <c r="F547" s="255">
        <f>IF(ISBLANK('2F'!C24),"##BLANK",'2F'!C24)</f>
        <v>49.563000000000002</v>
      </c>
    </row>
    <row r="548" spans="2:6">
      <c r="B548" s="219" t="str">
        <f>'2F'!S25</f>
        <v>B0079NA</v>
      </c>
      <c r="C548" s="219" t="s">
        <v>1618</v>
      </c>
      <c r="E548" s="249" t="s">
        <v>634</v>
      </c>
      <c r="F548" s="255">
        <f>IF(ISBLANK('2F'!C25),"##BLANK",'2F'!C25)</f>
        <v>-2.3899999999999935</v>
      </c>
    </row>
    <row r="549" spans="2:6">
      <c r="B549" s="219" t="str">
        <f>'2F'!U28</f>
        <v>B0080ARR</v>
      </c>
      <c r="C549" s="219" t="s">
        <v>1619</v>
      </c>
      <c r="E549" s="249" t="s">
        <v>634</v>
      </c>
      <c r="F549" s="255">
        <f>IF(ISBLANK('2F'!E28),"##BLANK",'2F'!E28)</f>
        <v>35.969215729444031</v>
      </c>
    </row>
    <row r="550" spans="2:6">
      <c r="B550" s="219" t="str">
        <f>'2G'!AH10</f>
        <v>CR1003WWCR</v>
      </c>
      <c r="C550" s="219" t="s">
        <v>1620</v>
      </c>
      <c r="E550" s="249" t="s">
        <v>634</v>
      </c>
      <c r="F550" s="255">
        <f>IF(ISBLANK('2G'!C10),"##BLANK",'2G'!C10)</f>
        <v>63.884999999999998</v>
      </c>
    </row>
    <row r="551" spans="2:6">
      <c r="B551" s="219" t="str">
        <f>'2G'!AI10</f>
        <v>CR1003WRR</v>
      </c>
      <c r="C551" s="219" t="s">
        <v>1621</v>
      </c>
      <c r="E551" s="249" t="s">
        <v>634</v>
      </c>
      <c r="F551" s="255">
        <f>IF(ISBLANK('2G'!D10),"##BLANK",'2G'!D10)</f>
        <v>3.71</v>
      </c>
    </row>
    <row r="552" spans="2:6">
      <c r="B552" s="219" t="str">
        <f>'2G'!AJ10</f>
        <v>CR1003WTR</v>
      </c>
      <c r="C552" s="219" t="s">
        <v>1622</v>
      </c>
      <c r="E552" s="249" t="s">
        <v>634</v>
      </c>
      <c r="F552" s="255">
        <f>IF(ISBLANK('2G'!E10),"##BLANK",'2G'!E10)</f>
        <v>67.594999999999999</v>
      </c>
    </row>
    <row r="553" spans="2:6">
      <c r="B553" s="219" t="str">
        <f>'2G'!AK10</f>
        <v>CR1043WCO</v>
      </c>
      <c r="C553" s="219" t="s">
        <v>1623</v>
      </c>
      <c r="E553" s="249" t="s">
        <v>634</v>
      </c>
      <c r="F553" s="255">
        <f>IF(ISBLANK('2G'!F10),"##BLANK",'2G'!F10)</f>
        <v>98.751999999999995</v>
      </c>
    </row>
    <row r="554" spans="2:6">
      <c r="B554" s="219" t="str">
        <f>'2G'!AL10</f>
        <v>CR1043WRPC</v>
      </c>
      <c r="C554" s="219" t="s">
        <v>1624</v>
      </c>
      <c r="E554" s="249" t="s">
        <v>634</v>
      </c>
      <c r="F554" s="255">
        <f>IF(ISBLANK('2G'!G10),"##BLANK",'2G'!G10)</f>
        <v>37.568859364873624</v>
      </c>
    </row>
    <row r="555" spans="2:6">
      <c r="B555" s="219" t="str">
        <f>'2G'!AM10</f>
        <v>B0081TAANH</v>
      </c>
      <c r="C555" s="219" t="s">
        <v>1625</v>
      </c>
      <c r="E555" s="249" t="s">
        <v>634</v>
      </c>
      <c r="F555" s="255">
        <f>IF(ISBLANK('2G'!H10),"##BLANK",'2G'!H10)</f>
        <v>29.98</v>
      </c>
    </row>
    <row r="556" spans="2:6">
      <c r="B556" s="219" t="str">
        <f>'2G'!AN10</f>
        <v>B0081TAODI</v>
      </c>
      <c r="C556" s="219" t="s">
        <v>1626</v>
      </c>
      <c r="E556" s="249" t="s">
        <v>634</v>
      </c>
      <c r="F556" s="255">
        <f>IF(ISBLANK('2G'!I10),"##BLANK",'2G'!I10)</f>
        <v>0</v>
      </c>
    </row>
    <row r="557" spans="2:6">
      <c r="B557" s="219" t="str">
        <f>'2G'!AO10</f>
        <v>B0081TAAANH</v>
      </c>
      <c r="C557" s="219" t="s">
        <v>1627</v>
      </c>
      <c r="E557" s="249" t="s">
        <v>634</v>
      </c>
      <c r="F557" s="255">
        <f>IF(ISBLANK('2G'!J10),"##BLANK",'2G'!J10)</f>
        <v>29.98</v>
      </c>
    </row>
    <row r="558" spans="2:6">
      <c r="B558" s="219" t="str">
        <f>'2G'!AP10</f>
        <v>B0081TAAM</v>
      </c>
      <c r="C558" s="219" t="s">
        <v>1628</v>
      </c>
      <c r="E558" s="249" t="s">
        <v>634</v>
      </c>
      <c r="F558" s="255">
        <f>IF(ISBLANK('2G'!K10),"##BLANK",'2G'!K10)</f>
        <v>0.01</v>
      </c>
    </row>
    <row r="559" spans="2:6">
      <c r="B559" s="219" t="str">
        <f>'2G'!AQ10</f>
        <v>B0081TAAHRC</v>
      </c>
      <c r="C559" s="219" t="s">
        <v>1629</v>
      </c>
      <c r="E559" s="249" t="s">
        <v>634</v>
      </c>
      <c r="F559" s="255">
        <f>IF(ISBLANK('2G'!L10),"##BLANK",'2G'!L10)</f>
        <v>36.448999999999998</v>
      </c>
    </row>
    <row r="560" spans="2:6">
      <c r="B560" s="219" t="str">
        <f>'2G'!AH11</f>
        <v>CR1004WWCR</v>
      </c>
      <c r="C560" s="219" t="s">
        <v>1620</v>
      </c>
      <c r="E560" s="249" t="s">
        <v>634</v>
      </c>
      <c r="F560" s="255">
        <f>IF(ISBLANK('2G'!C11),"##BLANK",'2G'!C11)</f>
        <v>0</v>
      </c>
    </row>
    <row r="561" spans="2:6">
      <c r="B561" s="219" t="str">
        <f>'2G'!AI11</f>
        <v>CR1004WRR</v>
      </c>
      <c r="C561" s="219" t="s">
        <v>1621</v>
      </c>
      <c r="E561" s="249" t="s">
        <v>634</v>
      </c>
      <c r="F561" s="255">
        <f>IF(ISBLANK('2G'!D11),"##BLANK",'2G'!D11)</f>
        <v>0</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f>IF(ISBLANK('2G'!F11),"##BLANK",'2G'!F11)</f>
        <v>0</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f>IF(ISBLANK('2G'!H11),"##BLANK",'2G'!H11)</f>
        <v>0</v>
      </c>
    </row>
    <row r="566" spans="2:6">
      <c r="B566" s="219" t="str">
        <f>'2G'!AN11</f>
        <v>B0082TAODI</v>
      </c>
      <c r="C566" s="219" t="s">
        <v>1631</v>
      </c>
      <c r="E566" s="249" t="s">
        <v>634</v>
      </c>
      <c r="F566" s="255">
        <f>IF(ISBLANK('2G'!I11),"##BLANK",'2G'!I11)</f>
        <v>0</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f>IF(ISBLANK('2G'!K11),"##BLANK",'2G'!K11)</f>
        <v>0</v>
      </c>
    </row>
    <row r="569" spans="2:6">
      <c r="B569" s="219" t="str">
        <f>'2G'!AQ11</f>
        <v>B0082TAAHRC</v>
      </c>
      <c r="C569" s="219" t="s">
        <v>1634</v>
      </c>
      <c r="E569" s="249" t="s">
        <v>634</v>
      </c>
      <c r="F569" s="255">
        <f>IF(ISBLANK('2G'!L11),"##BLANK",'2G'!L11)</f>
        <v>0</v>
      </c>
    </row>
    <row r="570" spans="2:6">
      <c r="B570" s="219" t="str">
        <f>'2G'!AH12</f>
        <v>B0083TWCR</v>
      </c>
      <c r="C570" s="219" t="s">
        <v>1635</v>
      </c>
      <c r="E570" s="249" t="s">
        <v>634</v>
      </c>
      <c r="F570" s="255">
        <f>IF(ISBLANK('2G'!C12),"##BLANK",'2G'!C12)</f>
        <v>63.884999999999998</v>
      </c>
    </row>
    <row r="571" spans="2:6">
      <c r="B571" s="219" t="str">
        <f>'2G'!AI12</f>
        <v>B0083TWRR</v>
      </c>
      <c r="C571" s="219" t="s">
        <v>1636</v>
      </c>
      <c r="E571" s="249" t="s">
        <v>634</v>
      </c>
      <c r="F571" s="255">
        <f>IF(ISBLANK('2G'!D12),"##BLANK",'2G'!D12)</f>
        <v>3.71</v>
      </c>
    </row>
    <row r="572" spans="2:6">
      <c r="B572" s="219" t="str">
        <f>'2G'!AJ12</f>
        <v>B0083TWTR</v>
      </c>
      <c r="C572" s="219" t="s">
        <v>1637</v>
      </c>
      <c r="E572" s="249" t="s">
        <v>634</v>
      </c>
      <c r="F572" s="255">
        <f>IF(ISBLANK('2G'!E12),"##BLANK",'2G'!E12)</f>
        <v>67.594999999999999</v>
      </c>
    </row>
    <row r="573" spans="2:6">
      <c r="B573" s="219" t="str">
        <f>'2G'!AK12</f>
        <v>B0083TWNC</v>
      </c>
      <c r="C573" s="219" t="s">
        <v>1638</v>
      </c>
      <c r="E573" s="249" t="s">
        <v>634</v>
      </c>
      <c r="F573" s="255">
        <f>IF(ISBLANK('2G'!F12),"##BLANK",'2G'!F12)</f>
        <v>98.751999999999995</v>
      </c>
    </row>
    <row r="574" spans="2:6">
      <c r="B574" s="219" t="str">
        <f>'2G'!AL12</f>
        <v>B0083TWAHRR</v>
      </c>
      <c r="C574" s="219" t="s">
        <v>1639</v>
      </c>
      <c r="E574" s="249" t="s">
        <v>634</v>
      </c>
      <c r="F574" s="255">
        <f>IF(ISBLANK('2G'!G12),"##BLANK",'2G'!G12)</f>
        <v>37.568859364873624</v>
      </c>
    </row>
    <row r="575" spans="2:6">
      <c r="B575" s="219" t="str">
        <f>'2G'!AM12</f>
        <v>B0083TWAANH</v>
      </c>
      <c r="C575" s="219" t="s">
        <v>1640</v>
      </c>
      <c r="E575" s="249" t="s">
        <v>634</v>
      </c>
      <c r="F575" s="255">
        <f>IF(ISBLANK('2G'!H12),"##BLANK",'2G'!H12)</f>
        <v>29.98</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29.98</v>
      </c>
    </row>
    <row r="578" spans="2:6">
      <c r="B578" s="219" t="str">
        <f>'2G'!AP12</f>
        <v>B0083TWAM</v>
      </c>
      <c r="C578" s="219" t="s">
        <v>1643</v>
      </c>
      <c r="E578" s="249" t="s">
        <v>634</v>
      </c>
      <c r="F578" s="255">
        <f>IF(ISBLANK('2G'!K12),"##BLANK",'2G'!K12)</f>
        <v>0.01</v>
      </c>
    </row>
    <row r="579" spans="2:6">
      <c r="B579" s="219" t="str">
        <f>'2G'!AQ12</f>
        <v>B0083TWAHRC</v>
      </c>
      <c r="C579" s="219" t="s">
        <v>1644</v>
      </c>
      <c r="E579" s="249" t="s">
        <v>634</v>
      </c>
      <c r="F579" s="255">
        <f>IF(ISBLANK('2G'!L12),"##BLANK",'2G'!L12)</f>
        <v>36.448999999999998</v>
      </c>
    </row>
    <row r="580" spans="2:6">
      <c r="B580" s="219" t="str">
        <f>'2G'!AH15</f>
        <v>CR1005WWCR</v>
      </c>
      <c r="C580" s="219" t="s">
        <v>1620</v>
      </c>
      <c r="E580" s="249" t="s">
        <v>634</v>
      </c>
      <c r="F580" s="255">
        <f>IF(ISBLANK('2G'!C15),"##BLANK",'2G'!C15)</f>
        <v>0</v>
      </c>
    </row>
    <row r="581" spans="2:6">
      <c r="B581" s="219" t="str">
        <f>'2G'!AI15</f>
        <v>CR1005WRR</v>
      </c>
      <c r="C581" s="219" t="s">
        <v>1621</v>
      </c>
      <c r="E581" s="249" t="s">
        <v>634</v>
      </c>
      <c r="F581" s="255">
        <f>IF(ISBLANK('2G'!D15),"##BLANK",'2G'!D15)</f>
        <v>0</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f>IF(ISBLANK('2G'!F15),"##BLANK",'2G'!F15)</f>
        <v>0</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f>IF(ISBLANK('2G'!H15),"##BLANK",'2G'!H15)</f>
        <v>0</v>
      </c>
    </row>
    <row r="586" spans="2:6">
      <c r="B586" s="219" t="str">
        <f>'2G'!AN15</f>
        <v>B0084TAODI</v>
      </c>
      <c r="C586" s="219" t="s">
        <v>1646</v>
      </c>
      <c r="E586" s="249" t="s">
        <v>634</v>
      </c>
      <c r="F586" s="255">
        <f>IF(ISBLANK('2G'!I15),"##BLANK",'2G'!I15)</f>
        <v>0</v>
      </c>
    </row>
    <row r="587" spans="2:6">
      <c r="B587" s="219" t="str">
        <f>'2G'!AO15</f>
        <v>B0084TAAANH</v>
      </c>
      <c r="C587" s="219" t="s">
        <v>1647</v>
      </c>
      <c r="E587" s="249" t="s">
        <v>634</v>
      </c>
      <c r="F587" s="255">
        <f>IF(ISBLANK('2G'!J15),"##BLANK",'2G'!J15)</f>
        <v>0</v>
      </c>
    </row>
    <row r="588" spans="2:6">
      <c r="B588" s="219" t="str">
        <f>'2G'!AP15</f>
        <v>B0084TAM</v>
      </c>
      <c r="C588" s="219" t="s">
        <v>1648</v>
      </c>
      <c r="E588" s="249" t="s">
        <v>634</v>
      </c>
      <c r="F588" s="255">
        <f>IF(ISBLANK('2G'!K15),"##BLANK",'2G'!K15)</f>
        <v>0</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63.884999999999998</v>
      </c>
    </row>
    <row r="591" spans="2:6">
      <c r="B591" s="219" t="str">
        <f>'2G'!AI17</f>
        <v>B0085TWRR</v>
      </c>
      <c r="C591" s="219" t="s">
        <v>1651</v>
      </c>
      <c r="E591" s="249" t="s">
        <v>634</v>
      </c>
      <c r="F591" s="255">
        <f>IF(ISBLANK('2G'!D17),"##BLANK",'2G'!D17)</f>
        <v>3.71</v>
      </c>
    </row>
    <row r="592" spans="2:6">
      <c r="B592" s="219" t="str">
        <f>'2G'!AJ17</f>
        <v>B0085TWTR</v>
      </c>
      <c r="C592" s="219" t="s">
        <v>1652</v>
      </c>
      <c r="E592" s="249" t="s">
        <v>634</v>
      </c>
      <c r="F592" s="255">
        <f>IF(ISBLANK('2G'!E17),"##BLANK",'2G'!E17)</f>
        <v>67.594999999999999</v>
      </c>
    </row>
    <row r="593" spans="2:6">
      <c r="B593" s="219" t="str">
        <f>'2G'!AK17</f>
        <v>B0085TWNC</v>
      </c>
      <c r="C593" s="219" t="s">
        <v>1653</v>
      </c>
      <c r="E593" s="249" t="s">
        <v>634</v>
      </c>
      <c r="F593" s="255">
        <f>IF(ISBLANK('2G'!F17),"##BLANK",'2G'!F17)</f>
        <v>98.751999999999995</v>
      </c>
    </row>
    <row r="594" spans="2:6">
      <c r="B594" s="219" t="str">
        <f>'2G'!AL17</f>
        <v>B0085TWAHRR</v>
      </c>
      <c r="C594" s="219" t="s">
        <v>1654</v>
      </c>
      <c r="E594" s="249" t="s">
        <v>634</v>
      </c>
      <c r="F594" s="255">
        <f>IF(ISBLANK('2G'!G17),"##BLANK",'2G'!G17)</f>
        <v>37.568859364873624</v>
      </c>
    </row>
    <row r="595" spans="2:6">
      <c r="B595" s="219" t="str">
        <f>'2G'!AM17</f>
        <v>B0085TAANH</v>
      </c>
      <c r="C595" s="219" t="s">
        <v>1655</v>
      </c>
      <c r="E595" s="249" t="s">
        <v>634</v>
      </c>
      <c r="F595" s="255">
        <f>IF(ISBLANK('2G'!H17),"##BLANK",'2G'!H17)</f>
        <v>29.98</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29.98</v>
      </c>
    </row>
    <row r="598" spans="2:6">
      <c r="B598" s="219" t="str">
        <f>'2G'!AP17</f>
        <v>B0085TAAM</v>
      </c>
      <c r="C598" s="219" t="s">
        <v>1658</v>
      </c>
      <c r="E598" s="249" t="s">
        <v>634</v>
      </c>
      <c r="F598" s="255">
        <f>IF(ISBLANK('2G'!K17),"##BLANK",'2G'!K17)</f>
        <v>0.01</v>
      </c>
    </row>
    <row r="599" spans="2:6">
      <c r="B599" s="219" t="str">
        <f>'2G'!AQ17</f>
        <v>B0085TAAHRC</v>
      </c>
      <c r="C599" s="219" t="s">
        <v>1659</v>
      </c>
      <c r="E599" s="249" t="s">
        <v>634</v>
      </c>
      <c r="F599" s="255">
        <f>IF(ISBLANK('2G'!L17),"##BLANK",'2G'!L17)</f>
        <v>36.448999999999998</v>
      </c>
    </row>
    <row r="600" spans="2:6">
      <c r="B600" s="219" t="str">
        <f>'2G'!AH20</f>
        <v>B0376TN_WCR</v>
      </c>
      <c r="C600" s="219" t="s">
        <v>1660</v>
      </c>
      <c r="E600" s="249" t="s">
        <v>634</v>
      </c>
      <c r="F600" s="255">
        <f>IF(ISBLANK('2G'!C20),"##BLANK",'2G'!C20)</f>
        <v>23.524999999999999</v>
      </c>
    </row>
    <row r="601" spans="2:6">
      <c r="B601" s="219" t="str">
        <f>'2G'!AI20</f>
        <v>B0376TN_RR</v>
      </c>
      <c r="C601" s="219" t="s">
        <v>1661</v>
      </c>
      <c r="E601" s="249" t="s">
        <v>634</v>
      </c>
      <c r="F601" s="255">
        <f>IF(ISBLANK('2G'!D20),"##BLANK",'2G'!D20)</f>
        <v>0.24399999999999999</v>
      </c>
    </row>
    <row r="602" spans="2:6">
      <c r="B602" s="219" t="str">
        <f>'2G'!AJ20</f>
        <v>B0376TN_TR</v>
      </c>
      <c r="C602" s="219" t="s">
        <v>1662</v>
      </c>
      <c r="E602" s="249" t="s">
        <v>634</v>
      </c>
      <c r="F602" s="255">
        <f>IF(ISBLANK('2G'!E20),"##BLANK",'2G'!E20)</f>
        <v>23.768999999999998</v>
      </c>
    </row>
    <row r="603" spans="2:6">
      <c r="B603" s="219" t="str">
        <f>'2G'!AK20</f>
        <v>B0376TN_NC</v>
      </c>
      <c r="C603" s="219" t="s">
        <v>1663</v>
      </c>
      <c r="E603" s="249" t="s">
        <v>634</v>
      </c>
      <c r="F603" s="255">
        <f>IF(ISBLANK('2G'!F20),"##BLANK",'2G'!F20)</f>
        <v>0.112</v>
      </c>
    </row>
    <row r="604" spans="2:6">
      <c r="B604" s="219" t="str">
        <f>'2G'!AL20</f>
        <v>B0376TN_AHRR</v>
      </c>
      <c r="C604" s="219" t="s">
        <v>1664</v>
      </c>
      <c r="E604" s="249" t="s">
        <v>634</v>
      </c>
      <c r="F604" s="255">
        <f>IF(ISBLANK('2G'!G20),"##BLANK",'2G'!G20)</f>
        <v>2178.5714285714284</v>
      </c>
    </row>
    <row r="605" spans="2:6">
      <c r="B605" s="219" t="str">
        <f>'2G'!AH22</f>
        <v>B0377TT_WCR</v>
      </c>
      <c r="C605" s="219" t="s">
        <v>1665</v>
      </c>
      <c r="E605" s="249" t="s">
        <v>634</v>
      </c>
      <c r="F605" s="255">
        <f>IF(ISBLANK('2G'!C22),"##BLANK",'2G'!C22)</f>
        <v>87.41</v>
      </c>
    </row>
    <row r="606" spans="2:6">
      <c r="B606" s="219" t="str">
        <f>'2G'!AI22</f>
        <v>B0377TT_RR</v>
      </c>
      <c r="C606" s="219" t="s">
        <v>1666</v>
      </c>
      <c r="E606" s="249" t="s">
        <v>634</v>
      </c>
      <c r="F606" s="255">
        <f>IF(ISBLANK('2G'!D22),"##BLANK",'2G'!D22)</f>
        <v>3.9539999999999997</v>
      </c>
    </row>
    <row r="607" spans="2:6">
      <c r="B607" s="219" t="str">
        <f>'2G'!AJ22</f>
        <v>B0377TT_TR</v>
      </c>
      <c r="C607" s="219" t="s">
        <v>1667</v>
      </c>
      <c r="E607" s="249" t="s">
        <v>634</v>
      </c>
      <c r="F607" s="255">
        <f>IF(ISBLANK('2G'!E22),"##BLANK",'2G'!E22)</f>
        <v>91.364000000000004</v>
      </c>
    </row>
    <row r="608" spans="2:6">
      <c r="B608" s="219" t="str">
        <f>'2G'!AK22</f>
        <v>B0377TT_NC</v>
      </c>
      <c r="C608" s="219" t="s">
        <v>1668</v>
      </c>
      <c r="E608" s="249" t="s">
        <v>634</v>
      </c>
      <c r="F608" s="255">
        <f>IF(ISBLANK('2G'!F22),"##BLANK",'2G'!F22)</f>
        <v>98.86399999999999</v>
      </c>
    </row>
    <row r="609" spans="2:6">
      <c r="B609" s="219" t="str">
        <f>'2G'!AL22</f>
        <v>B0377TT_AHRR</v>
      </c>
      <c r="C609" s="219" t="s">
        <v>1669</v>
      </c>
      <c r="E609" s="249" t="s">
        <v>634</v>
      </c>
      <c r="F609" s="255">
        <f>IF(ISBLANK('2G'!G22),"##BLANK",'2G'!G22)</f>
        <v>39.99433565301829</v>
      </c>
    </row>
    <row r="610" spans="2:6">
      <c r="B610" s="219" t="str">
        <f>'2G'!AH29</f>
        <v>B0378T_NC</v>
      </c>
      <c r="C610" s="219" t="s">
        <v>1670</v>
      </c>
      <c r="E610" s="249" t="s">
        <v>634</v>
      </c>
      <c r="F610" s="255">
        <f>IF(ISBLANK('2G'!C29),"##BLANK",'2G'!C29)</f>
        <v>98.855999999999995</v>
      </c>
    </row>
    <row r="611" spans="2:6">
      <c r="B611" s="219" t="str">
        <f>'2G'!AI29</f>
        <v>B0378T_AHRR</v>
      </c>
      <c r="C611" s="219" t="s">
        <v>1671</v>
      </c>
      <c r="E611" s="249" t="s">
        <v>634</v>
      </c>
      <c r="F611" s="255">
        <f>IF(ISBLANK('2G'!D29),"##BLANK",'2G'!D29)</f>
        <v>39.99757222626851</v>
      </c>
    </row>
    <row r="612" spans="2:6">
      <c r="B612" s="219" t="str">
        <f>'2H'!AH10</f>
        <v>CR1002SWCR</v>
      </c>
      <c r="C612" s="219" t="s">
        <v>1620</v>
      </c>
      <c r="E612" s="249" t="s">
        <v>634</v>
      </c>
      <c r="F612" s="255">
        <f>IF(ISBLANK('2H'!C10),"##BLANK",'2H'!C10)</f>
        <v>81.611999999999995</v>
      </c>
    </row>
    <row r="613" spans="2:6">
      <c r="B613" s="219" t="str">
        <f>'2H'!AI10</f>
        <v>CR1002SRR</v>
      </c>
      <c r="C613" s="219" t="s">
        <v>1621</v>
      </c>
      <c r="E613" s="249" t="s">
        <v>634</v>
      </c>
      <c r="F613" s="255">
        <f>IF(ISBLANK('2H'!D10),"##BLANK",'2H'!D10)</f>
        <v>3.734</v>
      </c>
    </row>
    <row r="614" spans="2:6">
      <c r="B614" s="219" t="str">
        <f>'2H'!AJ10</f>
        <v>CR1002STR</v>
      </c>
      <c r="C614" s="219" t="s">
        <v>1622</v>
      </c>
      <c r="E614" s="249" t="s">
        <v>634</v>
      </c>
      <c r="F614" s="256">
        <f>IF(ISBLANK('2H'!E10),"##BLANK",'2H'!E10)</f>
        <v>85.345999999999989</v>
      </c>
    </row>
    <row r="615" spans="2:6">
      <c r="B615" s="219" t="str">
        <f>'2H'!AK10</f>
        <v>CR1042SCO</v>
      </c>
      <c r="C615" s="219" t="s">
        <v>1623</v>
      </c>
      <c r="E615" s="249" t="s">
        <v>634</v>
      </c>
      <c r="F615" s="256">
        <f>IF(ISBLANK('2H'!F10),"##BLANK",'2H'!F10)</f>
        <v>71.602999999999994</v>
      </c>
    </row>
    <row r="616" spans="2:6">
      <c r="B616" s="219" t="str">
        <f>'2H'!AL10</f>
        <v>CR1042SRPC</v>
      </c>
      <c r="C616" s="219" t="s">
        <v>1624</v>
      </c>
      <c r="E616" s="249" t="s">
        <v>634</v>
      </c>
      <c r="F616" s="256">
        <f>IF(ISBLANK('2H'!G10),"##BLANK",'2H'!G10)</f>
        <v>52.148652989399885</v>
      </c>
    </row>
    <row r="617" spans="2:6">
      <c r="B617" s="219" t="str">
        <f>'2H'!AM10</f>
        <v>B0086TAANH</v>
      </c>
      <c r="C617" s="219" t="s">
        <v>1625</v>
      </c>
      <c r="E617" s="249" t="s">
        <v>634</v>
      </c>
      <c r="F617" s="256">
        <f>IF(ISBLANK('2H'!H10),"##BLANK",'2H'!H10)</f>
        <v>39.51</v>
      </c>
    </row>
    <row r="618" spans="2:6">
      <c r="B618" s="219" t="str">
        <f>'2H'!AN10</f>
        <v>B0086TAODI</v>
      </c>
      <c r="C618" s="219" t="s">
        <v>1626</v>
      </c>
      <c r="E618" s="249" t="s">
        <v>634</v>
      </c>
      <c r="F618" s="256">
        <f>IF(ISBLANK('2H'!I10),"##BLANK",'2H'!I10)</f>
        <v>0</v>
      </c>
    </row>
    <row r="619" spans="2:6">
      <c r="B619" s="219" t="str">
        <f>'2H'!AO10</f>
        <v>B0086TAAANH</v>
      </c>
      <c r="C619" s="219" t="s">
        <v>1627</v>
      </c>
      <c r="E619" s="249" t="s">
        <v>634</v>
      </c>
      <c r="F619" s="256">
        <f>IF(ISBLANK('2H'!J10),"##BLANK",'2H'!J10)</f>
        <v>39.51</v>
      </c>
    </row>
    <row r="620" spans="2:6">
      <c r="B620" s="219" t="str">
        <f>'2H'!AP10</f>
        <v>B0086TAAM</v>
      </c>
      <c r="C620" s="219" t="s">
        <v>1628</v>
      </c>
      <c r="E620" s="249" t="s">
        <v>634</v>
      </c>
      <c r="F620" s="256">
        <f>IF(ISBLANK('2H'!K10),"##BLANK",'2H'!K10)</f>
        <v>0.01</v>
      </c>
    </row>
    <row r="621" spans="2:6">
      <c r="B621" s="219" t="str">
        <f>'2H'!AQ10</f>
        <v>B0086TAAHRC</v>
      </c>
      <c r="C621" s="219" t="s">
        <v>1629</v>
      </c>
      <c r="E621" s="249" t="s">
        <v>634</v>
      </c>
      <c r="F621" s="256">
        <f>IF(ISBLANK('2H'!L10),"##BLANK",'2H'!L10)</f>
        <v>50.908000000000001</v>
      </c>
    </row>
    <row r="622" spans="2:6">
      <c r="B622" s="219" t="str">
        <f>'2H'!AH11</f>
        <v>CR1003SWCR</v>
      </c>
      <c r="C622" s="219" t="s">
        <v>1620</v>
      </c>
      <c r="E622" s="249" t="s">
        <v>634</v>
      </c>
      <c r="F622" s="256">
        <f>IF(ISBLANK('2H'!C11),"##BLANK",'2H'!C11)</f>
        <v>0</v>
      </c>
    </row>
    <row r="623" spans="2:6">
      <c r="B623" s="219" t="str">
        <f>'2H'!AI11</f>
        <v>CR1003SRR</v>
      </c>
      <c r="C623" s="219" t="s">
        <v>1621</v>
      </c>
      <c r="E623" s="249" t="s">
        <v>634</v>
      </c>
      <c r="F623" s="256">
        <f>IF(ISBLANK('2H'!D11),"##BLANK",'2H'!D11)</f>
        <v>0</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f>IF(ISBLANK('2H'!F11),"##BLANK",'2H'!F11)</f>
        <v>0</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f>IF(ISBLANK('2H'!H11),"##BLANK",'2H'!H11)</f>
        <v>0</v>
      </c>
    </row>
    <row r="628" spans="2:6">
      <c r="B628" s="219" t="str">
        <f>'2H'!AN11</f>
        <v>B0087TAODI</v>
      </c>
      <c r="C628" s="219" t="s">
        <v>1631</v>
      </c>
      <c r="E628" s="249" t="s">
        <v>634</v>
      </c>
      <c r="F628" s="256">
        <f>IF(ISBLANK('2H'!I11),"##BLANK",'2H'!I11)</f>
        <v>0</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f>IF(ISBLANK('2H'!K11),"##BLANK",'2H'!K11)</f>
        <v>0</v>
      </c>
    </row>
    <row r="631" spans="2:6">
      <c r="B631" s="219" t="str">
        <f>'2H'!AQ11</f>
        <v>B0087TAAHRC</v>
      </c>
      <c r="C631" s="219" t="s">
        <v>1634</v>
      </c>
      <c r="E631" s="249" t="s">
        <v>634</v>
      </c>
      <c r="F631" s="256">
        <f>IF(ISBLANK('2H'!L11),"##BLANK",'2H'!L11)</f>
        <v>0</v>
      </c>
    </row>
    <row r="632" spans="2:6">
      <c r="B632" s="219" t="str">
        <f>'2H'!AH12</f>
        <v>CR1004SWCR</v>
      </c>
      <c r="C632" s="219" t="s">
        <v>1620</v>
      </c>
      <c r="E632" s="249" t="s">
        <v>634</v>
      </c>
      <c r="F632" s="256">
        <f>IF(ISBLANK('2H'!C12),"##BLANK",'2H'!C12)</f>
        <v>0</v>
      </c>
    </row>
    <row r="633" spans="2:6">
      <c r="B633" s="219" t="str">
        <f>'2H'!AI12</f>
        <v>CR1004SRR</v>
      </c>
      <c r="C633" s="219" t="s">
        <v>1621</v>
      </c>
      <c r="E633" s="249" t="s">
        <v>634</v>
      </c>
      <c r="F633" s="256">
        <f>IF(ISBLANK('2H'!D12),"##BLANK",'2H'!D12)</f>
        <v>0</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f>IF(ISBLANK('2H'!F12),"##BLANK",'2H'!F12)</f>
        <v>0</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f>IF(ISBLANK('2H'!H12),"##BLANK",'2H'!H12)</f>
        <v>0</v>
      </c>
    </row>
    <row r="638" spans="2:6">
      <c r="B638" s="219" t="str">
        <f>'2H'!AN12</f>
        <v>B0088TWODI</v>
      </c>
      <c r="C638" s="219" t="s">
        <v>1673</v>
      </c>
      <c r="E638" s="249" t="s">
        <v>634</v>
      </c>
      <c r="F638" s="256">
        <f>IF(ISBLANK('2H'!I12),"##BLANK",'2H'!I12)</f>
        <v>0</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f>IF(ISBLANK('2H'!K12),"##BLANK",'2H'!K12)</f>
        <v>0</v>
      </c>
    </row>
    <row r="641" spans="2:6">
      <c r="B641" s="219" t="str">
        <f>'2H'!AQ12</f>
        <v>B0088TWAHRC</v>
      </c>
      <c r="C641" s="219" t="s">
        <v>1676</v>
      </c>
      <c r="E641" s="249" t="s">
        <v>634</v>
      </c>
      <c r="F641" s="256">
        <f>IF(ISBLANK('2H'!L12),"##BLANK",'2H'!L12)</f>
        <v>0</v>
      </c>
    </row>
    <row r="642" spans="2:6">
      <c r="B642" s="219" t="str">
        <f>'2H'!AH13</f>
        <v>B0089TWCR</v>
      </c>
      <c r="C642" s="219" t="s">
        <v>1677</v>
      </c>
      <c r="E642" s="249" t="s">
        <v>634</v>
      </c>
      <c r="F642" s="256">
        <f>IF(ISBLANK('2H'!C13),"##BLANK",'2H'!C13)</f>
        <v>81.611999999999995</v>
      </c>
    </row>
    <row r="643" spans="2:6">
      <c r="B643" s="219" t="str">
        <f>'2H'!AI13</f>
        <v>B0089TWRR</v>
      </c>
      <c r="C643" s="219" t="s">
        <v>1678</v>
      </c>
      <c r="E643" s="249" t="s">
        <v>634</v>
      </c>
      <c r="F643" s="256">
        <f>IF(ISBLANK('2H'!D13),"##BLANK",'2H'!D13)</f>
        <v>3.734</v>
      </c>
    </row>
    <row r="644" spans="2:6">
      <c r="B644" s="219" t="str">
        <f>'2H'!AJ13</f>
        <v>B0089TWTR</v>
      </c>
      <c r="C644" s="219" t="s">
        <v>1679</v>
      </c>
      <c r="E644" s="249" t="s">
        <v>634</v>
      </c>
      <c r="F644" s="256">
        <f>IF(ISBLANK('2H'!E13),"##BLANK",'2H'!E13)</f>
        <v>85.345999999999989</v>
      </c>
    </row>
    <row r="645" spans="2:6">
      <c r="B645" s="219" t="str">
        <f>'2H'!AK13</f>
        <v>B0089TWNC</v>
      </c>
      <c r="C645" s="219" t="s">
        <v>1680</v>
      </c>
      <c r="E645" s="249" t="s">
        <v>634</v>
      </c>
      <c r="F645" s="256">
        <f>IF(ISBLANK('2H'!F13),"##BLANK",'2H'!F13)</f>
        <v>71.602999999999994</v>
      </c>
    </row>
    <row r="646" spans="2:6">
      <c r="B646" s="219" t="str">
        <f>'2H'!AL13</f>
        <v>B0089TWAHRR</v>
      </c>
      <c r="C646" s="219" t="s">
        <v>1681</v>
      </c>
      <c r="E646" s="249" t="s">
        <v>634</v>
      </c>
      <c r="F646" s="256">
        <f>IF(ISBLANK('2H'!G13),"##BLANK",'2H'!G13)</f>
        <v>52.148652989399885</v>
      </c>
    </row>
    <row r="647" spans="2:6">
      <c r="B647" s="219" t="str">
        <f>'2H'!AM13</f>
        <v>B0089TWAANH</v>
      </c>
      <c r="C647" s="219" t="s">
        <v>1682</v>
      </c>
      <c r="E647" s="249" t="s">
        <v>634</v>
      </c>
      <c r="F647" s="256">
        <f>IF(ISBLANK('2H'!H13),"##BLANK",'2H'!H13)</f>
        <v>39.51</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39.51</v>
      </c>
    </row>
    <row r="650" spans="2:6">
      <c r="B650" s="219" t="str">
        <f>'2H'!AP13</f>
        <v>B0089TWAM</v>
      </c>
      <c r="C650" s="219" t="s">
        <v>1685</v>
      </c>
      <c r="E650" s="249" t="s">
        <v>634</v>
      </c>
      <c r="F650" s="256">
        <f>IF(ISBLANK('2H'!K13),"##BLANK",'2H'!K13)</f>
        <v>0.01</v>
      </c>
    </row>
    <row r="651" spans="2:6">
      <c r="B651" s="219" t="str">
        <f>'2H'!AQ13</f>
        <v>B0089TWAHRC</v>
      </c>
      <c r="C651" s="219" t="s">
        <v>1686</v>
      </c>
      <c r="E651" s="249" t="s">
        <v>634</v>
      </c>
      <c r="F651" s="256">
        <f>IF(ISBLANK('2H'!L13),"##BLANK",'2H'!L13)</f>
        <v>50.908000000000001</v>
      </c>
    </row>
    <row r="652" spans="2:6">
      <c r="B652" s="219" t="str">
        <f>'2H'!AH16</f>
        <v>CR1001SWCR</v>
      </c>
      <c r="C652" s="219" t="s">
        <v>1687</v>
      </c>
      <c r="E652" s="249" t="s">
        <v>634</v>
      </c>
      <c r="F652" s="256">
        <f>IF(ISBLANK('2H'!C16),"##BLANK",'2H'!C16)</f>
        <v>0</v>
      </c>
    </row>
    <row r="653" spans="2:6">
      <c r="B653" s="219" t="str">
        <f>'2H'!AI16</f>
        <v>CR1001SRR</v>
      </c>
      <c r="C653" s="219" t="s">
        <v>1688</v>
      </c>
      <c r="E653" s="249" t="s">
        <v>634</v>
      </c>
      <c r="F653" s="256">
        <f>IF(ISBLANK('2H'!D16),"##BLANK",'2H'!D16)</f>
        <v>0</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f>IF(ISBLANK('2H'!F16),"##BLANK",'2H'!F16)</f>
        <v>0</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81.611999999999995</v>
      </c>
    </row>
    <row r="658" spans="2:6">
      <c r="B658" s="219" t="str">
        <f>'2H'!AI18</f>
        <v>CR1030SRR</v>
      </c>
      <c r="C658" s="219" t="s">
        <v>1693</v>
      </c>
      <c r="E658" s="249" t="s">
        <v>634</v>
      </c>
      <c r="F658" s="256">
        <f>IF(ISBLANK('2H'!D18),"##BLANK",'2H'!D18)</f>
        <v>3.734</v>
      </c>
    </row>
    <row r="659" spans="2:6">
      <c r="B659" s="219" t="str">
        <f>'2H'!AJ18</f>
        <v>CR1030STR</v>
      </c>
      <c r="C659" s="219" t="s">
        <v>1694</v>
      </c>
      <c r="E659" s="249" t="s">
        <v>634</v>
      </c>
      <c r="F659" s="256">
        <f>IF(ISBLANK('2H'!E18),"##BLANK",'2H'!E18)</f>
        <v>85.345999999999989</v>
      </c>
    </row>
    <row r="660" spans="2:6">
      <c r="B660" s="219" t="str">
        <f>'2H'!AK18</f>
        <v>CR1066SCO</v>
      </c>
      <c r="C660" s="219" t="s">
        <v>1695</v>
      </c>
      <c r="E660" s="249" t="s">
        <v>634</v>
      </c>
      <c r="F660" s="256">
        <f>IF(ISBLANK('2H'!F18),"##BLANK",'2H'!F18)</f>
        <v>71.602999999999994</v>
      </c>
    </row>
    <row r="661" spans="2:6">
      <c r="B661" s="219" t="str">
        <f>'2H'!AL18</f>
        <v>CR1066SRPC</v>
      </c>
      <c r="C661" s="219" t="s">
        <v>1696</v>
      </c>
      <c r="E661" s="249" t="s">
        <v>634</v>
      </c>
      <c r="F661" s="256">
        <f>IF(ISBLANK('2H'!G18),"##BLANK",'2H'!G18)</f>
        <v>52.148652989399885</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f>IF(ISBLANK('2H'!F25),"##BLANK",'2H'!F25)</f>
        <v>71.602999999999994</v>
      </c>
    </row>
    <row r="668" spans="2:6">
      <c r="B668" s="219" t="str">
        <f>'2H'!AL25</f>
        <v>CR1030SRPC</v>
      </c>
      <c r="C668" s="219" t="s">
        <v>1702</v>
      </c>
      <c r="E668" s="249" t="s">
        <v>634</v>
      </c>
      <c r="F668" s="256">
        <f>IF(ISBLANK('2H'!G25),"##BLANK",'2H'!G25)</f>
        <v>52.148652989399885</v>
      </c>
    </row>
    <row r="669" spans="2:6">
      <c r="B669" s="219" t="str">
        <f>'2I'!AA8</f>
        <v>CR581</v>
      </c>
      <c r="C669" s="219" t="s">
        <v>1703</v>
      </c>
      <c r="E669" s="249" t="s">
        <v>634</v>
      </c>
      <c r="F669" s="256">
        <f>IF(ISBLANK('2I'!E8),"##BLANK",'2I'!E8)</f>
        <v>142.15700000000001</v>
      </c>
    </row>
    <row r="670" spans="2:6">
      <c r="B670" s="219" t="str">
        <f>'2I'!AB8</f>
        <v>CR583</v>
      </c>
      <c r="C670" s="219" t="s">
        <v>1704</v>
      </c>
      <c r="E670" s="249" t="s">
        <v>634</v>
      </c>
      <c r="F670" s="256">
        <f>IF(ISBLANK('2I'!F8),"##BLANK",'2I'!F8)</f>
        <v>1.915</v>
      </c>
    </row>
    <row r="671" spans="2:6">
      <c r="B671" s="219" t="str">
        <f>'2I'!AC8</f>
        <v>CR585</v>
      </c>
      <c r="C671" s="219" t="s">
        <v>1705</v>
      </c>
      <c r="E671" s="249" t="s">
        <v>634</v>
      </c>
      <c r="F671" s="256">
        <f>IF(ISBLANK('2I'!G8),"##BLANK",'2I'!G8)</f>
        <v>144.072</v>
      </c>
    </row>
    <row r="672" spans="2:6">
      <c r="B672" s="219" t="str">
        <f>'2I'!AD8</f>
        <v>B0091UWR</v>
      </c>
      <c r="C672" s="219" t="s">
        <v>1706</v>
      </c>
      <c r="E672" s="249" t="s">
        <v>634</v>
      </c>
      <c r="F672" s="256">
        <f>IF(ISBLANK('2I'!H8),"##BLANK",'2I'!H8)</f>
        <v>22.437999999999999</v>
      </c>
    </row>
    <row r="673" spans="2:6">
      <c r="B673" s="219" t="str">
        <f>'2I'!AE8</f>
        <v>B0091UWNP</v>
      </c>
      <c r="C673" s="219" t="s">
        <v>1707</v>
      </c>
      <c r="E673" s="249" t="s">
        <v>634</v>
      </c>
      <c r="F673" s="256">
        <f>IF(ISBLANK('2I'!I8),"##BLANK",'2I'!I8)</f>
        <v>121.634</v>
      </c>
    </row>
    <row r="674" spans="2:6">
      <c r="B674" s="219" t="str">
        <f>'2I'!AF8</f>
        <v>B0091UTOT</v>
      </c>
      <c r="C674" s="219" t="s">
        <v>1708</v>
      </c>
      <c r="E674" s="249" t="s">
        <v>634</v>
      </c>
      <c r="F674" s="256">
        <f>IF(ISBLANK('2I'!J8),"##BLANK",'2I'!J8)</f>
        <v>144.072</v>
      </c>
    </row>
    <row r="675" spans="2:6">
      <c r="B675" s="219" t="str">
        <f>'2I'!AA9</f>
        <v>CR582</v>
      </c>
      <c r="C675" s="219" t="s">
        <v>1709</v>
      </c>
      <c r="E675" s="249" t="s">
        <v>634</v>
      </c>
      <c r="F675" s="256">
        <f>IF(ISBLANK('2I'!E9),"##BLANK",'2I'!E9)</f>
        <v>76.804000000000002</v>
      </c>
    </row>
    <row r="676" spans="2:6">
      <c r="B676" s="219" t="str">
        <f>'2I'!AB9</f>
        <v>CR584</v>
      </c>
      <c r="C676" s="219" t="s">
        <v>1710</v>
      </c>
      <c r="E676" s="249" t="s">
        <v>634</v>
      </c>
      <c r="F676" s="256">
        <f>IF(ISBLANK('2I'!F9),"##BLANK",'2I'!F9)</f>
        <v>79.888999999999996</v>
      </c>
    </row>
    <row r="677" spans="2:6">
      <c r="B677" s="219" t="str">
        <f>'2I'!AC9</f>
        <v>CR586</v>
      </c>
      <c r="C677" s="219" t="s">
        <v>1711</v>
      </c>
      <c r="E677" s="249" t="s">
        <v>634</v>
      </c>
      <c r="F677" s="256">
        <f>IF(ISBLANK('2I'!G9),"##BLANK",'2I'!G9)</f>
        <v>156.69299999999998</v>
      </c>
    </row>
    <row r="678" spans="2:6">
      <c r="B678" s="219" t="str">
        <f>'2I'!AD9</f>
        <v>B0092MWR</v>
      </c>
      <c r="C678" s="219" t="s">
        <v>1712</v>
      </c>
      <c r="E678" s="249" t="s">
        <v>634</v>
      </c>
      <c r="F678" s="256">
        <f>IF(ISBLANK('2I'!H9),"##BLANK",'2I'!H9)</f>
        <v>17.648</v>
      </c>
    </row>
    <row r="679" spans="2:6">
      <c r="B679" s="219" t="str">
        <f>'2I'!AE9</f>
        <v>B0092MWNP</v>
      </c>
      <c r="C679" s="219" t="s">
        <v>1713</v>
      </c>
      <c r="E679" s="249" t="s">
        <v>634</v>
      </c>
      <c r="F679" s="256">
        <f>IF(ISBLANK('2I'!I9),"##BLANK",'2I'!I9)</f>
        <v>139.04499999999999</v>
      </c>
    </row>
    <row r="680" spans="2:6">
      <c r="B680" s="219" t="str">
        <f>'2I'!AF9</f>
        <v>B0092MTOT</v>
      </c>
      <c r="C680" s="219" t="s">
        <v>1714</v>
      </c>
      <c r="E680" s="249" t="s">
        <v>634</v>
      </c>
      <c r="F680" s="256">
        <f>IF(ISBLANK('2I'!J9),"##BLANK",'2I'!J9)</f>
        <v>156.69299999999998</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5.95</v>
      </c>
    </row>
    <row r="683" spans="2:6">
      <c r="B683" s="219" t="str">
        <f>'2I'!AC10</f>
        <v>W9008WW</v>
      </c>
      <c r="C683" s="219" t="s">
        <v>1717</v>
      </c>
      <c r="E683" s="249" t="s">
        <v>634</v>
      </c>
      <c r="F683" s="256">
        <f>IF(ISBLANK('2I'!G10),"##BLANK",'2I'!G10)</f>
        <v>5.95</v>
      </c>
    </row>
    <row r="684" spans="2:6">
      <c r="B684" s="219" t="str">
        <f>'2I'!AD10</f>
        <v>B0093TWR</v>
      </c>
      <c r="C684" s="219" t="s">
        <v>1718</v>
      </c>
      <c r="E684" s="249" t="s">
        <v>634</v>
      </c>
      <c r="F684" s="256">
        <f>IF(ISBLANK('2I'!H10),"##BLANK",'2I'!H10)</f>
        <v>2.0739999999999998</v>
      </c>
    </row>
    <row r="685" spans="2:6">
      <c r="B685" s="219" t="str">
        <f>'2I'!AE10</f>
        <v>B0093TWNP</v>
      </c>
      <c r="C685" s="219" t="s">
        <v>1719</v>
      </c>
      <c r="E685" s="249" t="s">
        <v>634</v>
      </c>
      <c r="F685" s="256">
        <f>IF(ISBLANK('2I'!I10),"##BLANK",'2I'!I10)</f>
        <v>3.8759999999999999</v>
      </c>
    </row>
    <row r="686" spans="2:6">
      <c r="B686" s="219" t="str">
        <f>'2I'!AF10</f>
        <v>B0093TTOT</v>
      </c>
      <c r="C686" s="219" t="s">
        <v>1720</v>
      </c>
      <c r="E686" s="249" t="s">
        <v>634</v>
      </c>
      <c r="F686" s="256">
        <f>IF(ISBLANK('2I'!J10),"##BLANK",'2I'!J10)</f>
        <v>5.9499999999999993</v>
      </c>
    </row>
    <row r="687" spans="2:6">
      <c r="B687" s="219" t="str">
        <f>'2I'!AA11</f>
        <v>BR586</v>
      </c>
      <c r="C687" s="219" t="s">
        <v>1721</v>
      </c>
      <c r="E687" s="249" t="s">
        <v>634</v>
      </c>
      <c r="F687" s="256">
        <f>IF(ISBLANK('2I'!E11),"##BLANK",'2I'!E11)</f>
        <v>218.96100000000001</v>
      </c>
    </row>
    <row r="688" spans="2:6">
      <c r="B688" s="219" t="str">
        <f>'2I'!AB11</f>
        <v>BR588</v>
      </c>
      <c r="C688" s="219" t="s">
        <v>1722</v>
      </c>
      <c r="E688" s="249" t="s">
        <v>634</v>
      </c>
      <c r="F688" s="256">
        <f>IF(ISBLANK('2I'!F11),"##BLANK",'2I'!F11)</f>
        <v>87.754000000000005</v>
      </c>
    </row>
    <row r="689" spans="2:6">
      <c r="B689" s="219" t="str">
        <f>'2I'!AC11</f>
        <v>BR589</v>
      </c>
      <c r="C689" s="219" t="s">
        <v>1723</v>
      </c>
      <c r="E689" s="249" t="s">
        <v>634</v>
      </c>
      <c r="F689" s="256">
        <f>IF(ISBLANK('2I'!G11),"##BLANK",'2I'!G11)</f>
        <v>306.71499999999997</v>
      </c>
    </row>
    <row r="690" spans="2:6">
      <c r="B690" s="219" t="str">
        <f>'2I'!AD11</f>
        <v>B0094TOTWR</v>
      </c>
      <c r="C690" s="219" t="s">
        <v>1724</v>
      </c>
      <c r="E690" s="249" t="s">
        <v>634</v>
      </c>
      <c r="F690" s="256">
        <f>IF(ISBLANK('2I'!H11),"##BLANK",'2I'!H11)</f>
        <v>42.16</v>
      </c>
    </row>
    <row r="691" spans="2:6">
      <c r="B691" s="219" t="str">
        <f>'2I'!AE11</f>
        <v>B0094TOTWNP</v>
      </c>
      <c r="C691" s="219" t="s">
        <v>1725</v>
      </c>
      <c r="E691" s="249" t="s">
        <v>634</v>
      </c>
      <c r="F691" s="256">
        <f>IF(ISBLANK('2I'!I11),"##BLANK",'2I'!I11)</f>
        <v>264.55499999999995</v>
      </c>
    </row>
    <row r="692" spans="2:6">
      <c r="B692" s="219" t="str">
        <f>'2I'!AF11</f>
        <v>B0094TOTTOT</v>
      </c>
      <c r="C692" s="219" t="s">
        <v>1726</v>
      </c>
      <c r="E692" s="249" t="s">
        <v>634</v>
      </c>
      <c r="F692" s="256">
        <f>IF(ISBLANK('2I'!J11),"##BLANK",'2I'!J11)</f>
        <v>306.71499999999997</v>
      </c>
    </row>
    <row r="693" spans="2:6">
      <c r="B693" s="219" t="str">
        <f>'2I'!AA16</f>
        <v>B0095UFH</v>
      </c>
      <c r="C693" s="219" t="s">
        <v>1727</v>
      </c>
      <c r="E693" s="249" t="s">
        <v>634</v>
      </c>
      <c r="F693" s="256">
        <f>IF(ISBLANK('2I'!E16),"##BLANK",'2I'!E16)</f>
        <v>212.98500000000001</v>
      </c>
    </row>
    <row r="694" spans="2:6">
      <c r="B694" s="219" t="str">
        <f>'2I'!AB16</f>
        <v>B0095UFNH</v>
      </c>
      <c r="C694" s="219" t="s">
        <v>1728</v>
      </c>
      <c r="E694" s="249" t="s">
        <v>634</v>
      </c>
      <c r="F694" s="256">
        <f>IF(ISBLANK('2I'!F16),"##BLANK",'2I'!F16)</f>
        <v>2.0630000000000002</v>
      </c>
    </row>
    <row r="695" spans="2:6">
      <c r="B695" s="219" t="str">
        <f>'2I'!AC16</f>
        <v>B0095UFTOT</v>
      </c>
      <c r="C695" s="219" t="s">
        <v>1729</v>
      </c>
      <c r="E695" s="249" t="s">
        <v>634</v>
      </c>
      <c r="F695" s="256">
        <f>IF(ISBLANK('2I'!G16),"##BLANK",'2I'!G16)</f>
        <v>215.048</v>
      </c>
    </row>
    <row r="696" spans="2:6">
      <c r="B696" s="219" t="str">
        <f>'2I'!AD16</f>
        <v>B0095UFWR</v>
      </c>
      <c r="C696" s="219" t="s">
        <v>1730</v>
      </c>
      <c r="E696" s="249" t="s">
        <v>634</v>
      </c>
      <c r="F696" s="256">
        <f>IF(ISBLANK('2I'!H16),"##BLANK",'2I'!H16)</f>
        <v>190.88900000000001</v>
      </c>
    </row>
    <row r="697" spans="2:6">
      <c r="B697" s="219" t="str">
        <f>'2I'!AE16</f>
        <v>B0095UFWNP</v>
      </c>
      <c r="C697" s="219" t="s">
        <v>1731</v>
      </c>
      <c r="E697" s="249" t="s">
        <v>634</v>
      </c>
      <c r="F697" s="256">
        <f>IF(ISBLANK('2I'!I16),"##BLANK",'2I'!I16)</f>
        <v>24.158999999999999</v>
      </c>
    </row>
    <row r="698" spans="2:6">
      <c r="B698" s="219" t="str">
        <f>'2I'!AF16</f>
        <v>B0095UFTOTT</v>
      </c>
      <c r="C698" s="219" t="s">
        <v>1729</v>
      </c>
      <c r="E698" s="249" t="s">
        <v>634</v>
      </c>
      <c r="F698" s="256">
        <f>IF(ISBLANK('2I'!J16),"##BLANK",'2I'!J16)</f>
        <v>215.048</v>
      </c>
    </row>
    <row r="699" spans="2:6">
      <c r="B699" s="219" t="str">
        <f>'2I'!AA17</f>
        <v>B0096USH</v>
      </c>
      <c r="C699" s="219" t="s">
        <v>1732</v>
      </c>
      <c r="E699" s="249" t="s">
        <v>634</v>
      </c>
      <c r="F699" s="256">
        <f>IF(ISBLANK('2I'!E17),"##BLANK",'2I'!E17)</f>
        <v>10.337999999999999</v>
      </c>
    </row>
    <row r="700" spans="2:6">
      <c r="B700" s="219" t="str">
        <f>'2I'!AB17</f>
        <v>B0096USNH</v>
      </c>
      <c r="C700" s="219" t="s">
        <v>1733</v>
      </c>
      <c r="E700" s="249" t="s">
        <v>634</v>
      </c>
      <c r="F700" s="256">
        <f>IF(ISBLANK('2I'!F17),"##BLANK",'2I'!F17)</f>
        <v>0.47099999999999997</v>
      </c>
    </row>
    <row r="701" spans="2:6">
      <c r="B701" s="219" t="str">
        <f>'2I'!AC17</f>
        <v>B0096USTOT</v>
      </c>
      <c r="C701" s="219" t="s">
        <v>1734</v>
      </c>
      <c r="E701" s="249" t="s">
        <v>634</v>
      </c>
      <c r="F701" s="256">
        <f>IF(ISBLANK('2I'!G17),"##BLANK",'2I'!G17)</f>
        <v>10.808999999999999</v>
      </c>
    </row>
    <row r="702" spans="2:6">
      <c r="B702" s="219" t="str">
        <f>'2I'!AD17</f>
        <v>B0096USWR</v>
      </c>
      <c r="C702" s="219" t="s">
        <v>1735</v>
      </c>
      <c r="E702" s="249" t="s">
        <v>634</v>
      </c>
      <c r="F702" s="256">
        <f>IF(ISBLANK('2I'!H17),"##BLANK",'2I'!H17)</f>
        <v>10.808999999999999</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10.808999999999999</v>
      </c>
    </row>
    <row r="705" spans="2:6">
      <c r="B705" s="219" t="str">
        <f>'2I'!AA18</f>
        <v>B0097UHH</v>
      </c>
      <c r="C705" s="219" t="s">
        <v>1737</v>
      </c>
      <c r="E705" s="249" t="s">
        <v>634</v>
      </c>
      <c r="F705" s="256">
        <f>IF(ISBLANK('2I'!E18),"##BLANK",'2I'!E18)</f>
        <v>6.15</v>
      </c>
    </row>
    <row r="706" spans="2:6">
      <c r="B706" s="219" t="str">
        <f>'2I'!AB18</f>
        <v>B0097UHNH</v>
      </c>
      <c r="C706" s="219" t="s">
        <v>1738</v>
      </c>
      <c r="E706" s="249" t="s">
        <v>634</v>
      </c>
      <c r="F706" s="256">
        <f>IF(ISBLANK('2I'!F18),"##BLANK",'2I'!F18)</f>
        <v>0.185</v>
      </c>
    </row>
    <row r="707" spans="2:6">
      <c r="B707" s="219" t="str">
        <f>'2I'!AC18</f>
        <v>B0097UHTOT</v>
      </c>
      <c r="C707" s="219" t="s">
        <v>1739</v>
      </c>
      <c r="E707" s="249" t="s">
        <v>634</v>
      </c>
      <c r="F707" s="256">
        <f>IF(ISBLANK('2I'!G18),"##BLANK",'2I'!G18)</f>
        <v>6.335</v>
      </c>
    </row>
    <row r="708" spans="2:6">
      <c r="B708" s="219" t="str">
        <f>'2I'!AD18</f>
        <v>B0097UHWR</v>
      </c>
      <c r="C708" s="219" t="s">
        <v>1740</v>
      </c>
      <c r="E708" s="249" t="s">
        <v>634</v>
      </c>
      <c r="F708" s="256">
        <f>IF(ISBLANK('2I'!H18),"##BLANK",'2I'!H18)</f>
        <v>6.335</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6.335</v>
      </c>
    </row>
    <row r="711" spans="2:6">
      <c r="B711" s="219" t="str">
        <f>'2I'!AA19</f>
        <v>B0098MFH</v>
      </c>
      <c r="C711" s="219" t="s">
        <v>1742</v>
      </c>
      <c r="E711" s="249" t="s">
        <v>634</v>
      </c>
      <c r="F711" s="256">
        <f>IF(ISBLANK('2I'!E19),"##BLANK",'2I'!E19)</f>
        <v>127.60899999999999</v>
      </c>
    </row>
    <row r="712" spans="2:6">
      <c r="B712" s="219" t="str">
        <f>'2I'!AB19</f>
        <v>B0098MFNH</v>
      </c>
      <c r="C712" s="219" t="s">
        <v>1743</v>
      </c>
      <c r="E712" s="249" t="s">
        <v>634</v>
      </c>
      <c r="F712" s="256">
        <f>IF(ISBLANK('2I'!F19),"##BLANK",'2I'!F19)</f>
        <v>72.043999999999997</v>
      </c>
    </row>
    <row r="713" spans="2:6">
      <c r="B713" s="219" t="str">
        <f>'2I'!AC19</f>
        <v>B0098MFTOT</v>
      </c>
      <c r="C713" s="219" t="s">
        <v>1744</v>
      </c>
      <c r="E713" s="249" t="s">
        <v>634</v>
      </c>
      <c r="F713" s="256">
        <f>IF(ISBLANK('2I'!G19),"##BLANK",'2I'!G19)</f>
        <v>199.65299999999999</v>
      </c>
    </row>
    <row r="714" spans="2:6">
      <c r="B714" s="219" t="str">
        <f>'2I'!AD19</f>
        <v>B0098MFWR</v>
      </c>
      <c r="C714" s="219" t="s">
        <v>1745</v>
      </c>
      <c r="E714" s="249" t="s">
        <v>634</v>
      </c>
      <c r="F714" s="256">
        <f>IF(ISBLANK('2I'!H19),"##BLANK",'2I'!H19)</f>
        <v>179.34200000000001</v>
      </c>
    </row>
    <row r="715" spans="2:6">
      <c r="B715" s="219" t="str">
        <f>'2I'!AE19</f>
        <v>B0098MFWNP</v>
      </c>
      <c r="C715" s="219" t="s">
        <v>1746</v>
      </c>
      <c r="E715" s="249" t="s">
        <v>634</v>
      </c>
      <c r="F715" s="255">
        <f>IF(ISBLANK('2I'!I19),"##BLANK",'2I'!I19)</f>
        <v>20.311</v>
      </c>
    </row>
    <row r="716" spans="2:6">
      <c r="B716" s="219" t="str">
        <f>'2I'!AF19</f>
        <v>B0098MFTOTT</v>
      </c>
      <c r="C716" s="219" t="s">
        <v>1744</v>
      </c>
      <c r="E716" s="249" t="s">
        <v>634</v>
      </c>
      <c r="F716" s="255">
        <f>IF(ISBLANK('2I'!J19),"##BLANK",'2I'!J19)</f>
        <v>199.65300000000002</v>
      </c>
    </row>
    <row r="717" spans="2:6">
      <c r="B717" s="219" t="str">
        <f>'2I'!AA20</f>
        <v>B0098MSH</v>
      </c>
      <c r="C717" s="219" t="s">
        <v>1747</v>
      </c>
      <c r="E717" s="249" t="s">
        <v>634</v>
      </c>
      <c r="F717" s="255">
        <f>IF(ISBLANK('2I'!E20),"##BLANK",'2I'!E20)</f>
        <v>10.105</v>
      </c>
    </row>
    <row r="718" spans="2:6">
      <c r="B718" s="219" t="str">
        <f>'2I'!AB20</f>
        <v>B0098MSNH</v>
      </c>
      <c r="C718" s="219" t="s">
        <v>1748</v>
      </c>
      <c r="E718" s="249" t="s">
        <v>634</v>
      </c>
      <c r="F718" s="255">
        <f>IF(ISBLANK('2I'!F20),"##BLANK",'2I'!F20)</f>
        <v>4.8570000000000002</v>
      </c>
    </row>
    <row r="719" spans="2:6">
      <c r="B719" s="219" t="str">
        <f>'2I'!AC20</f>
        <v>B0098MSTOT</v>
      </c>
      <c r="C719" s="219" t="s">
        <v>1749</v>
      </c>
      <c r="E719" s="249" t="s">
        <v>634</v>
      </c>
      <c r="F719" s="255">
        <f>IF(ISBLANK('2I'!G20),"##BLANK",'2I'!G20)</f>
        <v>14.962</v>
      </c>
    </row>
    <row r="720" spans="2:6">
      <c r="B720" s="219" t="str">
        <f>'2I'!AD20</f>
        <v>B0098MSWR</v>
      </c>
      <c r="C720" s="219" t="s">
        <v>1750</v>
      </c>
      <c r="E720" s="249" t="s">
        <v>634</v>
      </c>
      <c r="F720" s="255">
        <f>IF(ISBLANK('2I'!H20),"##BLANK",'2I'!H20)</f>
        <v>14.962</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14.962</v>
      </c>
    </row>
    <row r="723" spans="2:6">
      <c r="B723" s="219" t="str">
        <f>'2I'!AA21</f>
        <v>B0099MHH</v>
      </c>
      <c r="C723" s="219" t="s">
        <v>1752</v>
      </c>
      <c r="E723" s="249" t="s">
        <v>634</v>
      </c>
      <c r="F723" s="255">
        <f>IF(ISBLANK('2I'!E21),"##BLANK",'2I'!E21)</f>
        <v>6.9820000000000002</v>
      </c>
    </row>
    <row r="724" spans="2:6">
      <c r="B724" s="219" t="str">
        <f>'2I'!AB21</f>
        <v>B0099MHNH</v>
      </c>
      <c r="C724" s="219" t="s">
        <v>1753</v>
      </c>
      <c r="E724" s="249" t="s">
        <v>634</v>
      </c>
      <c r="F724" s="255">
        <f>IF(ISBLANK('2I'!F21),"##BLANK",'2I'!F21)</f>
        <v>1.9910000000000001</v>
      </c>
    </row>
    <row r="725" spans="2:6">
      <c r="B725" s="219" t="str">
        <f>'2I'!AC21</f>
        <v>B0099MHTOT</v>
      </c>
      <c r="C725" s="219" t="s">
        <v>1754</v>
      </c>
      <c r="E725" s="249" t="s">
        <v>634</v>
      </c>
      <c r="F725" s="255">
        <f>IF(ISBLANK('2I'!G21),"##BLANK",'2I'!G21)</f>
        <v>8.9730000000000008</v>
      </c>
    </row>
    <row r="726" spans="2:6">
      <c r="B726" s="219" t="str">
        <f>'2I'!AD21</f>
        <v>B0099MHWR</v>
      </c>
      <c r="C726" s="219" t="s">
        <v>1755</v>
      </c>
      <c r="E726" s="249" t="s">
        <v>634</v>
      </c>
      <c r="F726" s="255">
        <f>IF(ISBLANK('2I'!H21),"##BLANK",'2I'!H21)</f>
        <v>8.9730000000000008</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8.9730000000000008</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0.56399999999999995</v>
      </c>
    </row>
    <row r="731" spans="2:6">
      <c r="B731" s="219" t="str">
        <f>'2I'!AC22</f>
        <v>B0100TPTOT</v>
      </c>
      <c r="C731" s="219" t="s">
        <v>1759</v>
      </c>
      <c r="E731" s="249" t="s">
        <v>634</v>
      </c>
      <c r="F731" s="255">
        <f>IF(ISBLANK('2I'!G22),"##BLANK",'2I'!G22)</f>
        <v>0.56399999999999995</v>
      </c>
    </row>
    <row r="732" spans="2:6">
      <c r="B732" s="219" t="str">
        <f>'2I'!AD22</f>
        <v>B0100TPWR</v>
      </c>
      <c r="C732" s="219" t="s">
        <v>1760</v>
      </c>
      <c r="E732" s="249" t="s">
        <v>634</v>
      </c>
      <c r="F732" s="255">
        <f>IF(ISBLANK('2I'!H22),"##BLANK",'2I'!H22)</f>
        <v>0.56399999999999995</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0.56399999999999995</v>
      </c>
    </row>
    <row r="735" spans="2:6">
      <c r="B735" s="219" t="str">
        <f>'2I'!AA23</f>
        <v>B0101TWH</v>
      </c>
      <c r="C735" s="219" t="s">
        <v>1762</v>
      </c>
      <c r="E735" s="249" t="s">
        <v>634</v>
      </c>
      <c r="F735" s="255">
        <f>IF(ISBLANK('2I'!E23),"##BLANK",'2I'!E23)</f>
        <v>374.16900000000004</v>
      </c>
    </row>
    <row r="736" spans="2:6">
      <c r="B736" s="219" t="str">
        <f>'2I'!AB23</f>
        <v>B0101TWNH</v>
      </c>
      <c r="C736" s="219" t="s">
        <v>1763</v>
      </c>
      <c r="E736" s="249" t="s">
        <v>634</v>
      </c>
      <c r="F736" s="255">
        <f>IF(ISBLANK('2I'!F23),"##BLANK",'2I'!F23)</f>
        <v>82.174999999999983</v>
      </c>
    </row>
    <row r="737" spans="2:6">
      <c r="B737" s="219" t="str">
        <f>'2I'!AC23</f>
        <v>B0101TWTOT</v>
      </c>
      <c r="C737" s="219" t="s">
        <v>1764</v>
      </c>
      <c r="E737" s="249" t="s">
        <v>634</v>
      </c>
      <c r="F737" s="255">
        <f>IF(ISBLANK('2I'!G23),"##BLANK",'2I'!G23)</f>
        <v>456.34400000000005</v>
      </c>
    </row>
    <row r="738" spans="2:6">
      <c r="B738" s="219" t="str">
        <f>'2I'!AD23</f>
        <v>B0101TWWR</v>
      </c>
      <c r="C738" s="219" t="s">
        <v>1765</v>
      </c>
      <c r="E738" s="249" t="s">
        <v>634</v>
      </c>
      <c r="F738" s="255">
        <f>IF(ISBLANK('2I'!H23),"##BLANK",'2I'!H23)</f>
        <v>411.87400000000002</v>
      </c>
    </row>
    <row r="739" spans="2:6">
      <c r="B739" s="219" t="str">
        <f>'2I'!AE23</f>
        <v>B0101TWWNP</v>
      </c>
      <c r="C739" s="219" t="s">
        <v>1766</v>
      </c>
      <c r="E739" s="249" t="s">
        <v>634</v>
      </c>
      <c r="F739" s="255">
        <f>IF(ISBLANK('2I'!I23),"##BLANK",'2I'!I23)</f>
        <v>44.47</v>
      </c>
    </row>
    <row r="740" spans="2:6">
      <c r="B740" s="219" t="str">
        <f>'2I'!AF23</f>
        <v>B0101TWTOTT</v>
      </c>
      <c r="C740" s="219" t="s">
        <v>1764</v>
      </c>
      <c r="E740" s="249" t="s">
        <v>634</v>
      </c>
      <c r="F740" s="255">
        <f>IF(ISBLANK('2I'!J23),"##BLANK",'2I'!J23)</f>
        <v>456.34400000000005</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v>
      </c>
    </row>
    <row r="746" spans="2:6">
      <c r="B746" s="219" t="str">
        <f>'2I'!AC27</f>
        <v>B0103AOTOT</v>
      </c>
      <c r="C746" s="219" t="s">
        <v>1772</v>
      </c>
      <c r="E746" s="249" t="s">
        <v>634</v>
      </c>
      <c r="F746" s="255">
        <f>IF(ISBLANK('2I'!G27),"##BLANK",'2I'!G27)</f>
        <v>0</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v>
      </c>
    </row>
    <row r="749" spans="2:6">
      <c r="B749" s="219" t="str">
        <f>'2I'!AC28</f>
        <v>B0104ATTOT</v>
      </c>
      <c r="C749" s="219" t="s">
        <v>1775</v>
      </c>
      <c r="E749" s="249" t="s">
        <v>634</v>
      </c>
      <c r="F749" s="256">
        <f>IF(ISBLANK('2I'!G28),"##BLANK",'2I'!G28)</f>
        <v>0</v>
      </c>
    </row>
    <row r="750" spans="2:6">
      <c r="B750" s="219" t="str">
        <f>'2I'!AA30</f>
        <v>B0105WTUH</v>
      </c>
      <c r="C750" s="219" t="s">
        <v>1776</v>
      </c>
      <c r="E750" s="249" t="s">
        <v>634</v>
      </c>
      <c r="F750" s="256">
        <f>IF(ISBLANK('2I'!E30),"##BLANK",'2I'!E30)</f>
        <v>593.13000000000011</v>
      </c>
    </row>
    <row r="751" spans="2:6">
      <c r="B751" s="219" t="str">
        <f>'2I'!AB30</f>
        <v>B0105WTNH</v>
      </c>
      <c r="C751" s="219" t="s">
        <v>1777</v>
      </c>
      <c r="E751" s="249" t="s">
        <v>634</v>
      </c>
      <c r="F751" s="256">
        <f>IF(ISBLANK('2I'!F30),"##BLANK",'2I'!F30)</f>
        <v>169.92899999999997</v>
      </c>
    </row>
    <row r="752" spans="2:6">
      <c r="B752" s="219" t="str">
        <f>'2I'!AC30</f>
        <v>B0105WTTOT</v>
      </c>
      <c r="C752" s="219" t="s">
        <v>1778</v>
      </c>
      <c r="E752" s="249" t="s">
        <v>634</v>
      </c>
      <c r="F752" s="256">
        <f>IF(ISBLANK('2I'!G30),"##BLANK",'2I'!G30)</f>
        <v>763.05899999999997</v>
      </c>
    </row>
    <row r="753" spans="2:6">
      <c r="B753" s="219" t="str">
        <f>'2I'!AA33</f>
        <v>A19002RRH</v>
      </c>
      <c r="C753" s="219" t="s">
        <v>1779</v>
      </c>
      <c r="E753" s="249" t="s">
        <v>634</v>
      </c>
      <c r="F753" s="256">
        <f>IF(ISBLANK('2I'!E33),"##BLANK",'2I'!E33)</f>
        <v>9.8650000000000002</v>
      </c>
    </row>
    <row r="754" spans="2:6">
      <c r="B754" s="219" t="str">
        <f>'2I'!AB33</f>
        <v>A19002RRNH</v>
      </c>
      <c r="C754" s="219" t="s">
        <v>1780</v>
      </c>
      <c r="E754" s="249" t="s">
        <v>634</v>
      </c>
      <c r="F754" s="256">
        <f>IF(ISBLANK('2I'!F33),"##BLANK",'2I'!F33)</f>
        <v>0.60899999999999999</v>
      </c>
    </row>
    <row r="755" spans="2:6">
      <c r="B755" s="219" t="str">
        <f>'2I'!AC33</f>
        <v>A19002RRA</v>
      </c>
      <c r="C755" s="219" t="s">
        <v>1781</v>
      </c>
      <c r="E755" s="249" t="s">
        <v>634</v>
      </c>
      <c r="F755" s="256">
        <f>IF(ISBLANK('2I'!G33),"##BLANK",'2I'!G33)</f>
        <v>10.474</v>
      </c>
    </row>
    <row r="756" spans="2:6">
      <c r="B756" s="219" t="str">
        <f>'2I'!AA34</f>
        <v>A19003RRH</v>
      </c>
      <c r="C756" s="219" t="s">
        <v>1782</v>
      </c>
      <c r="E756" s="249" t="s">
        <v>634</v>
      </c>
      <c r="F756" s="256">
        <f>IF(ISBLANK('2I'!E34),"##BLANK",'2I'!E34)</f>
        <v>29.21</v>
      </c>
    </row>
    <row r="757" spans="2:6">
      <c r="B757" s="219" t="str">
        <f>'2I'!AB34</f>
        <v>A19003RRNH</v>
      </c>
      <c r="C757" s="219" t="s">
        <v>1783</v>
      </c>
      <c r="E757" s="249" t="s">
        <v>634</v>
      </c>
      <c r="F757" s="256">
        <f>IF(ISBLANK('2I'!F34),"##BLANK",'2I'!F34)</f>
        <v>7.0789999999999997</v>
      </c>
    </row>
    <row r="758" spans="2:6">
      <c r="B758" s="219" t="str">
        <f>'2I'!AC34</f>
        <v>A19003RRA</v>
      </c>
      <c r="C758" s="219" t="s">
        <v>1784</v>
      </c>
      <c r="E758" s="249" t="s">
        <v>634</v>
      </c>
      <c r="F758" s="256">
        <f>IF(ISBLANK('2I'!G34),"##BLANK",'2I'!G34)</f>
        <v>36.289000000000001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9.2999999999999999E-2</v>
      </c>
    </row>
    <row r="761" spans="2:6">
      <c r="B761" s="219" t="str">
        <f>'2I'!AC35</f>
        <v>A19039RRA</v>
      </c>
      <c r="C761" s="219" t="s">
        <v>1787</v>
      </c>
      <c r="E761" s="249" t="s">
        <v>634</v>
      </c>
      <c r="F761" s="256">
        <f>IF(ISBLANK('2I'!G35),"##BLANK",'2I'!G35)</f>
        <v>9.2999999999999999E-2</v>
      </c>
    </row>
    <row r="762" spans="2:6">
      <c r="B762" s="219" t="str">
        <f>'2I'!AA36</f>
        <v>A19004RRH</v>
      </c>
      <c r="C762" s="219" t="s">
        <v>1788</v>
      </c>
      <c r="E762" s="249" t="s">
        <v>634</v>
      </c>
      <c r="F762" s="256">
        <f>IF(ISBLANK('2I'!E36),"##BLANK",'2I'!E36)</f>
        <v>39.075000000000003</v>
      </c>
    </row>
    <row r="763" spans="2:6">
      <c r="B763" s="219" t="str">
        <f>'2I'!AB36</f>
        <v>A19004RRNH</v>
      </c>
      <c r="C763" s="219" t="s">
        <v>1789</v>
      </c>
      <c r="E763" s="249" t="s">
        <v>634</v>
      </c>
      <c r="F763" s="256">
        <f>IF(ISBLANK('2I'!F36),"##BLANK",'2I'!F36)</f>
        <v>7.7809999999999997</v>
      </c>
    </row>
    <row r="764" spans="2:6">
      <c r="B764" s="219" t="str">
        <f>'2I'!AC36</f>
        <v>A19004RRA</v>
      </c>
      <c r="C764" s="219" t="s">
        <v>1790</v>
      </c>
      <c r="E764" s="249" t="s">
        <v>634</v>
      </c>
      <c r="F764" s="256">
        <f>IF(ISBLANK('2I'!G36),"##BLANK",'2I'!G36)</f>
        <v>46.856000000000009</v>
      </c>
    </row>
    <row r="765" spans="2:6">
      <c r="B765" s="219" t="str">
        <f>'2I'!AC39</f>
        <v>BM340NPCW</v>
      </c>
      <c r="C765" s="219" t="s">
        <v>1791</v>
      </c>
      <c r="E765" s="249" t="s">
        <v>634</v>
      </c>
      <c r="F765" s="256">
        <f>IF(ISBLANK('2I'!G39),"##BLANK",'2I'!G39)</f>
        <v>8.3610000000000007</v>
      </c>
    </row>
    <row r="766" spans="2:6">
      <c r="B766" s="219" t="str">
        <f>'2I'!AC40</f>
        <v>BM340NPCWW</v>
      </c>
      <c r="C766" s="219" t="s">
        <v>1792</v>
      </c>
      <c r="E766" s="249" t="s">
        <v>634</v>
      </c>
      <c r="F766" s="256">
        <f>IF(ISBLANK('2I'!G40),"##BLANK",'2I'!G40)</f>
        <v>0.10100000000000001</v>
      </c>
    </row>
    <row r="767" spans="2:6">
      <c r="B767" s="219" t="str">
        <f>'2I'!AC41</f>
        <v>A19039NPC</v>
      </c>
      <c r="C767" s="219" t="s">
        <v>1793</v>
      </c>
      <c r="E767" s="249" t="s">
        <v>634</v>
      </c>
      <c r="F767" s="256">
        <f>IF(ISBLANK('2I'!G41),"##BLANK",'2I'!G41)</f>
        <v>9.141</v>
      </c>
    </row>
    <row r="768" spans="2:6">
      <c r="B768" s="219" t="str">
        <f>'2I'!AC44</f>
        <v>BR973NPC</v>
      </c>
      <c r="C768" s="219" t="s">
        <v>1794</v>
      </c>
      <c r="E768" s="249" t="s">
        <v>634</v>
      </c>
      <c r="F768" s="256">
        <f>IF(ISBLANK('2I'!G44),"##BLANK",'2I'!G44)</f>
        <v>1.6839999999999999</v>
      </c>
    </row>
    <row r="769" spans="2:6">
      <c r="B769" s="219" t="str">
        <f>'2I'!AC46</f>
        <v>BO1183</v>
      </c>
      <c r="C769" s="219" t="s">
        <v>1795</v>
      </c>
      <c r="E769" s="249" t="s">
        <v>634</v>
      </c>
      <c r="F769" s="256">
        <f>IF(ISBLANK('2I'!G46),"##BLANK",'2I'!G46)</f>
        <v>829.20199999999988</v>
      </c>
    </row>
    <row r="770" spans="2:6">
      <c r="B770" s="219" t="str">
        <f>'2J'!T8</f>
        <v>BC30449DT</v>
      </c>
      <c r="C770" s="219" t="s">
        <v>1796</v>
      </c>
      <c r="E770" s="249" t="s">
        <v>634</v>
      </c>
      <c r="F770" s="256">
        <f>IF(ISBLANK('2J'!E8),"##BLANK",'2J'!E8)</f>
        <v>0.48499999999999999</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4.7E-2</v>
      </c>
    </row>
    <row r="773" spans="2:6">
      <c r="B773" s="219" t="str">
        <f>'2J'!U9</f>
        <v>BC30449PSM</v>
      </c>
      <c r="C773" s="219" t="s">
        <v>1799</v>
      </c>
      <c r="E773" s="249" t="s">
        <v>634</v>
      </c>
      <c r="F773" s="256">
        <f>IF(ISBLANK('2J'!F9),"##BLANK",'2J'!F9)</f>
        <v>0.15</v>
      </c>
    </row>
    <row r="774" spans="2:6">
      <c r="B774" s="219" t="str">
        <f>'2J'!T10</f>
        <v>BC30449O</v>
      </c>
      <c r="C774" s="219" t="s">
        <v>1800</v>
      </c>
      <c r="E774" s="249" t="s">
        <v>634</v>
      </c>
      <c r="F774" s="256">
        <f>IF(ISBLANK('2J'!E10),"##BLANK",'2J'!E10)</f>
        <v>0.23200000000000001</v>
      </c>
    </row>
    <row r="775" spans="2:6">
      <c r="B775" s="219" t="str">
        <f>'2J'!U10</f>
        <v>BC30449OM</v>
      </c>
      <c r="C775" s="219" t="s">
        <v>1801</v>
      </c>
      <c r="E775" s="249" t="s">
        <v>634</v>
      </c>
      <c r="F775" s="256">
        <f>IF(ISBLANK('2J'!F10),"##BLANK",'2J'!F10)</f>
        <v>3.0000000000000001E-3</v>
      </c>
    </row>
    <row r="776" spans="2:6">
      <c r="B776" s="219" t="str">
        <f>'2J'!T11</f>
        <v>BC30449TWDT</v>
      </c>
      <c r="C776" s="219" t="s">
        <v>1802</v>
      </c>
      <c r="E776" s="249" t="s">
        <v>634</v>
      </c>
      <c r="F776" s="256">
        <f>IF(ISBLANK('2J'!E11),"##BLANK",'2J'!E11)</f>
        <v>0.76400000000000001</v>
      </c>
    </row>
    <row r="777" spans="2:6">
      <c r="B777" s="219" t="str">
        <f>'2J'!U11</f>
        <v>BC30449TM</v>
      </c>
      <c r="C777" s="219" t="s">
        <v>1803</v>
      </c>
      <c r="E777" s="249" t="s">
        <v>634</v>
      </c>
      <c r="F777" s="256">
        <f>IF(ISBLANK('2J'!F11),"##BLANK",'2J'!F11)</f>
        <v>0.153</v>
      </c>
    </row>
    <row r="778" spans="2:6">
      <c r="B778" s="219" t="str">
        <f>'2J'!T14</f>
        <v>BC30849FC</v>
      </c>
      <c r="C778" s="219" t="s">
        <v>1804</v>
      </c>
      <c r="E778" s="249" t="s">
        <v>634</v>
      </c>
      <c r="F778" s="256">
        <f>IF(ISBLANK('2J'!E14),"##BLANK",'2J'!E14)</f>
        <v>0.92800000000000005</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4.9000000000000002E-2</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0.25</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0.24</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1.4670000000000001</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7.4950000000000001</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3.6960000000000002</v>
      </c>
    </row>
    <row r="793" spans="2:6">
      <c r="B793" s="219" t="str">
        <f>'2K'!V10</f>
        <v>BC11370GROSS</v>
      </c>
      <c r="C793" s="219" t="s">
        <v>1819</v>
      </c>
      <c r="E793" s="249" t="s">
        <v>634</v>
      </c>
      <c r="F793" s="256">
        <f>IF(ISBLANK('2K'!F10),"##BLANK",'2K'!F10)</f>
        <v>3.7989999999999999</v>
      </c>
    </row>
    <row r="794" spans="2:6">
      <c r="B794" s="219" t="str">
        <f>'2K'!W10</f>
        <v>BC11470GROSS</v>
      </c>
      <c r="C794" s="219" t="s">
        <v>1820</v>
      </c>
      <c r="E794" s="249" t="s">
        <v>634</v>
      </c>
      <c r="F794" s="256">
        <f>IF(ISBLANK('2K'!G10),"##BLANK",'2K'!G10)</f>
        <v>7.4950000000000001</v>
      </c>
    </row>
    <row r="795" spans="2:6">
      <c r="B795" s="219" t="str">
        <f>'2K'!U13</f>
        <v>B0375VB_W</v>
      </c>
      <c r="C795" s="219" t="s">
        <v>1821</v>
      </c>
      <c r="E795" s="249" t="s">
        <v>634</v>
      </c>
      <c r="F795" s="256">
        <f>IF(ISBLANK('2K'!E13),"##BLANK",'2K'!E13)</f>
        <v>0</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0</v>
      </c>
    </row>
    <row r="798" spans="2:6">
      <c r="B798" s="219" t="str">
        <f>'2K'!U15</f>
        <v>BC11270NRC</v>
      </c>
      <c r="C798" s="219" t="s">
        <v>1824</v>
      </c>
      <c r="E798" s="249" t="s">
        <v>634</v>
      </c>
      <c r="F798" s="256">
        <f>IF(ISBLANK('2K'!E15),"##BLANK",'2K'!E15)</f>
        <v>-0.76400000000000001</v>
      </c>
    </row>
    <row r="799" spans="2:6">
      <c r="B799" s="219" t="str">
        <f>'2K'!V15</f>
        <v>BC11370NRC</v>
      </c>
      <c r="C799" s="219" t="s">
        <v>1825</v>
      </c>
      <c r="E799" s="249" t="s">
        <v>634</v>
      </c>
      <c r="F799" s="256">
        <f>IF(ISBLANK('2K'!F15),"##BLANK",'2K'!F15)</f>
        <v>-1.4670000000000001</v>
      </c>
    </row>
    <row r="800" spans="2:6">
      <c r="B800" s="219" t="str">
        <f>'2K'!W15</f>
        <v>BC11470NRC</v>
      </c>
      <c r="C800" s="219" t="s">
        <v>1826</v>
      </c>
      <c r="E800" s="249" t="s">
        <v>634</v>
      </c>
      <c r="F800" s="256">
        <f>IF(ISBLANK('2K'!G15),"##BLANK",'2K'!G15)</f>
        <v>-2.2309999999999999</v>
      </c>
    </row>
    <row r="801" spans="2:6">
      <c r="B801" s="219" t="str">
        <f>'2K'!U16</f>
        <v>BC11270VARCFWD</v>
      </c>
      <c r="C801" s="219" t="s">
        <v>1827</v>
      </c>
      <c r="E801" s="249" t="s">
        <v>634</v>
      </c>
      <c r="F801" s="256">
        <f>IF(ISBLANK('2K'!E16),"##BLANK",'2K'!E16)</f>
        <v>2.9320000000000004</v>
      </c>
    </row>
    <row r="802" spans="2:6">
      <c r="B802" s="219" t="str">
        <f>'2K'!V16</f>
        <v>BC11370VARCFWD</v>
      </c>
      <c r="C802" s="219" t="s">
        <v>1828</v>
      </c>
      <c r="E802" s="249" t="s">
        <v>634</v>
      </c>
      <c r="F802" s="256">
        <f>IF(ISBLANK('2K'!F16),"##BLANK",'2K'!F16)</f>
        <v>2.3319999999999999</v>
      </c>
    </row>
    <row r="803" spans="2:6">
      <c r="B803" s="219" t="str">
        <f>'2K'!W16</f>
        <v>BC11470VARCFWD</v>
      </c>
      <c r="C803" s="219" t="s">
        <v>1829</v>
      </c>
      <c r="E803" s="249" t="s">
        <v>634</v>
      </c>
      <c r="F803" s="256">
        <f>IF(ISBLANK('2K'!G16),"##BLANK",'2K'!G16)</f>
        <v>5.2640000000000002</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1.9E-2</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1.9E-2</v>
      </c>
    </row>
    <row r="809" spans="2:6">
      <c r="B809" s="219" t="str">
        <f>'2M'!AF8</f>
        <v>B0106WRTOT</v>
      </c>
      <c r="C809" s="219" t="s">
        <v>1835</v>
      </c>
      <c r="E809" s="249" t="s">
        <v>634</v>
      </c>
      <c r="F809" s="256">
        <f>IF(ISBLANK('2M'!J8),"##BLANK",'2M'!J8)</f>
        <v>763.05899999999997</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29.271999999999998</v>
      </c>
    </row>
    <row r="813" spans="2:6">
      <c r="B813" s="219" t="str">
        <f>'2M'!AA10</f>
        <v>B0108TRWR</v>
      </c>
      <c r="C813" s="219" t="s">
        <v>1839</v>
      </c>
      <c r="E813" s="249" t="s">
        <v>634</v>
      </c>
      <c r="F813" s="255">
        <f>IF(ISBLANK('2M'!E10),"##BLANK",'2M'!E10)</f>
        <v>44.220999999999997</v>
      </c>
    </row>
    <row r="814" spans="2:6">
      <c r="B814" s="219" t="str">
        <f>'2M'!AB10</f>
        <v>B0108TRWNP</v>
      </c>
      <c r="C814" s="219" t="s">
        <v>1840</v>
      </c>
      <c r="E814" s="249" t="s">
        <v>634</v>
      </c>
      <c r="F814" s="255">
        <f>IF(ISBLANK('2M'!F10),"##BLANK",'2M'!F10)</f>
        <v>280.31599999999997</v>
      </c>
    </row>
    <row r="815" spans="2:6">
      <c r="B815" s="219" t="str">
        <f>'2M'!AC10</f>
        <v>B0108TRWWP</v>
      </c>
      <c r="C815" s="219" t="s">
        <v>1841</v>
      </c>
      <c r="E815" s="249" t="s">
        <v>634</v>
      </c>
      <c r="F815" s="255">
        <f>IF(ISBLANK('2M'!G10),"##BLANK",'2M'!G10)</f>
        <v>423.32400000000001</v>
      </c>
    </row>
    <row r="816" spans="2:6">
      <c r="B816" s="219" t="str">
        <f>'2M'!AF10</f>
        <v>B0108TRTOT</v>
      </c>
      <c r="C816" s="219" t="s">
        <v>1842</v>
      </c>
      <c r="E816" s="249" t="s">
        <v>634</v>
      </c>
      <c r="F816" s="255">
        <f>IF(ISBLANK('2M'!J10),"##BLANK",'2M'!J10)</f>
        <v>792.33100000000002</v>
      </c>
    </row>
    <row r="817" spans="2:6">
      <c r="B817" s="219" t="str">
        <f>'2M'!AA13</f>
        <v>B0109AWWR</v>
      </c>
      <c r="C817" s="219" t="s">
        <v>1843</v>
      </c>
      <c r="E817" s="249" t="s">
        <v>634</v>
      </c>
      <c r="F817" s="255">
        <f>IF(ISBLANK('2M'!E13),"##BLANK",'2M'!E13)</f>
        <v>42.155999999999999</v>
      </c>
    </row>
    <row r="818" spans="2:6">
      <c r="B818" s="219" t="str">
        <f>'2M'!AB13</f>
        <v>B0109AWWNP</v>
      </c>
      <c r="C818" s="219" t="s">
        <v>1844</v>
      </c>
      <c r="E818" s="249" t="s">
        <v>634</v>
      </c>
      <c r="F818" s="255">
        <f>IF(ISBLANK('2M'!F13),"##BLANK",'2M'!F13)</f>
        <v>266.48</v>
      </c>
    </row>
    <row r="819" spans="2:6">
      <c r="B819" s="219" t="str">
        <f>'2M'!AC13</f>
        <v>B0109AWWWP</v>
      </c>
      <c r="C819" s="219" t="s">
        <v>1845</v>
      </c>
      <c r="E819" s="249" t="s">
        <v>634</v>
      </c>
      <c r="F819" s="255">
        <f>IF(ISBLANK('2M'!G13),"##BLANK",'2M'!G13)</f>
        <v>403.589</v>
      </c>
    </row>
    <row r="820" spans="2:6">
      <c r="B820" s="219" t="str">
        <f>'2M'!AD13</f>
        <v>B0109AWBIO</v>
      </c>
      <c r="C820" s="219" t="s">
        <v>1846</v>
      </c>
      <c r="E820" s="249" t="s">
        <v>634</v>
      </c>
      <c r="F820" s="255">
        <f>IF(ISBLANK('2M'!H13),"##BLANK",'2M'!H13)</f>
        <v>38.962000000000003</v>
      </c>
    </row>
    <row r="821" spans="2:6">
      <c r="B821" s="219" t="str">
        <f>'2M'!AE13</f>
        <v>B0109AWAPC</v>
      </c>
      <c r="C821" s="219" t="s">
        <v>1847</v>
      </c>
      <c r="E821" s="249" t="s">
        <v>634</v>
      </c>
      <c r="F821" s="255">
        <f>IF(ISBLANK('2M'!I13),"##BLANK",'2M'!I13)</f>
        <v>0</v>
      </c>
    </row>
    <row r="822" spans="2:6">
      <c r="B822" s="219" t="str">
        <f>'2M'!AF13</f>
        <v>B0109AWTOT</v>
      </c>
      <c r="C822" s="219" t="s">
        <v>1848</v>
      </c>
      <c r="E822" s="249" t="s">
        <v>634</v>
      </c>
      <c r="F822" s="255">
        <f>IF(ISBLANK('2M'!J13),"##BLANK",'2M'!J13)</f>
        <v>751.18700000000001</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15.363</v>
      </c>
    </row>
    <row r="825" spans="2:6">
      <c r="B825" s="219" t="str">
        <f>'2M'!AC14</f>
        <v>B0110AGWWP</v>
      </c>
      <c r="C825" s="219" t="s">
        <v>1851</v>
      </c>
      <c r="E825" s="249" t="s">
        <v>634</v>
      </c>
      <c r="F825" s="255">
        <f>IF(ISBLANK('2M'!G14),"##BLANK",'2M'!G14)</f>
        <v>8.25</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23.613</v>
      </c>
    </row>
    <row r="829" spans="2:6">
      <c r="B829" s="219" t="str">
        <f>'2M'!AA15</f>
        <v>B0111RAWR</v>
      </c>
      <c r="C829" s="219" t="s">
        <v>1855</v>
      </c>
      <c r="E829" s="249" t="s">
        <v>634</v>
      </c>
      <c r="F829" s="255">
        <f>IF(ISBLANK('2M'!E15),"##BLANK",'2M'!E15)</f>
        <v>-1.4910000000000001</v>
      </c>
    </row>
    <row r="830" spans="2:6">
      <c r="B830" s="219" t="str">
        <f>'2M'!AB15</f>
        <v>B0111RAWNP</v>
      </c>
      <c r="C830" s="219" t="s">
        <v>1856</v>
      </c>
      <c r="E830" s="249" t="s">
        <v>634</v>
      </c>
      <c r="F830" s="255">
        <f>IF(ISBLANK('2M'!F15),"##BLANK",'2M'!F15)</f>
        <v>9.4540000000000006</v>
      </c>
    </row>
    <row r="831" spans="2:6">
      <c r="B831" s="219" t="str">
        <f>'2M'!AC15</f>
        <v>B0111RAWWP</v>
      </c>
      <c r="C831" s="219" t="s">
        <v>1857</v>
      </c>
      <c r="E831" s="249" t="s">
        <v>634</v>
      </c>
      <c r="F831" s="255">
        <f>IF(ISBLANK('2M'!G15),"##BLANK",'2M'!G15)</f>
        <v>26.347000000000001</v>
      </c>
    </row>
    <row r="832" spans="2:6">
      <c r="B832" s="219" t="str">
        <f>'2M'!AD15</f>
        <v>B0111RABIO</v>
      </c>
      <c r="C832" s="219" t="s">
        <v>1858</v>
      </c>
      <c r="E832" s="249" t="s">
        <v>634</v>
      </c>
      <c r="F832" s="255">
        <f>IF(ISBLANK('2M'!H15),"##BLANK",'2M'!H15)</f>
        <v>1.3360000000000001</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35.646000000000001</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-14.332000000000001</v>
      </c>
    </row>
    <row r="837" spans="2:6">
      <c r="B837" s="219" t="str">
        <f>'2M'!AC16</f>
        <v>B0112OAWWP</v>
      </c>
      <c r="C837" s="219" t="s">
        <v>1863</v>
      </c>
      <c r="E837" s="249" t="s">
        <v>634</v>
      </c>
      <c r="F837" s="255">
        <f>IF(ISBLANK('2M'!G16),"##BLANK",'2M'!G16)</f>
        <v>-0.19400000000000001</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-14.526000000000002</v>
      </c>
    </row>
    <row r="841" spans="2:6">
      <c r="B841" s="219" t="str">
        <f>'2M'!AA17</f>
        <v>B0113RCWR</v>
      </c>
      <c r="C841" s="219" t="s">
        <v>1867</v>
      </c>
      <c r="E841" s="249" t="s">
        <v>634</v>
      </c>
      <c r="F841" s="255">
        <f>IF(ISBLANK('2M'!E17),"##BLANK",'2M'!E17)</f>
        <v>40.664999999999999</v>
      </c>
    </row>
    <row r="842" spans="2:6">
      <c r="B842" s="219" t="str">
        <f>'2M'!AB17</f>
        <v>B0113RCWNP</v>
      </c>
      <c r="C842" s="219" t="s">
        <v>1868</v>
      </c>
      <c r="E842" s="249" t="s">
        <v>634</v>
      </c>
      <c r="F842" s="255">
        <f>IF(ISBLANK('2M'!F17),"##BLANK",'2M'!F17)</f>
        <v>276.96500000000003</v>
      </c>
    </row>
    <row r="843" spans="2:6">
      <c r="B843" s="219" t="str">
        <f>'2M'!AC17</f>
        <v>B0113RCWWP</v>
      </c>
      <c r="C843" s="219" t="s">
        <v>1869</v>
      </c>
      <c r="E843" s="249" t="s">
        <v>634</v>
      </c>
      <c r="F843" s="255">
        <f>IF(ISBLANK('2M'!G17),"##BLANK",'2M'!G17)</f>
        <v>437.99199999999996</v>
      </c>
    </row>
    <row r="844" spans="2:6">
      <c r="B844" s="219" t="str">
        <f>'2M'!AD17</f>
        <v>B0113RCBIO</v>
      </c>
      <c r="C844" s="219" t="s">
        <v>1870</v>
      </c>
      <c r="E844" s="249" t="s">
        <v>634</v>
      </c>
      <c r="F844" s="255">
        <f>IF(ISBLANK('2M'!H17),"##BLANK",'2M'!H17)</f>
        <v>40.298000000000002</v>
      </c>
    </row>
    <row r="845" spans="2:6">
      <c r="B845" s="219" t="str">
        <f>'2M'!AE17</f>
        <v>B0113RCAPC</v>
      </c>
      <c r="C845" s="219" t="s">
        <v>1871</v>
      </c>
      <c r="E845" s="249" t="s">
        <v>634</v>
      </c>
      <c r="F845" s="255">
        <f>IF(ISBLANK('2M'!I17),"##BLANK",'2M'!I17)</f>
        <v>0</v>
      </c>
    </row>
    <row r="846" spans="2:6">
      <c r="B846" s="219" t="str">
        <f>'2M'!AF17</f>
        <v>B0113RCTOT</v>
      </c>
      <c r="C846" s="219" t="s">
        <v>1872</v>
      </c>
      <c r="E846" s="249" t="s">
        <v>634</v>
      </c>
      <c r="F846" s="255">
        <f>IF(ISBLANK('2M'!J17),"##BLANK",'2M'!J17)</f>
        <v>795.92000000000007</v>
      </c>
    </row>
    <row r="847" spans="2:6">
      <c r="B847" s="219" t="str">
        <f>'2M'!AF20</f>
        <v>B0114RCTOT</v>
      </c>
      <c r="C847" s="219" t="s">
        <v>1873</v>
      </c>
      <c r="E847" s="249" t="s">
        <v>634</v>
      </c>
      <c r="F847" s="255">
        <f>IF(ISBLANK('2M'!J20),"##BLANK",'2M'!J20)</f>
        <v>795.92000000000007</v>
      </c>
    </row>
    <row r="848" spans="2:6">
      <c r="B848" s="219" t="str">
        <f>'2M'!AF21</f>
        <v>B0115RRTOT</v>
      </c>
      <c r="C848" s="219" t="s">
        <v>1874</v>
      </c>
      <c r="E848" s="249" t="s">
        <v>634</v>
      </c>
      <c r="F848" s="255">
        <f>IF(ISBLANK('2M'!J21),"##BLANK",'2M'!J21)</f>
        <v>792.33100000000002</v>
      </c>
    </row>
    <row r="849" spans="2:6">
      <c r="B849" s="219" t="str">
        <f>'2M'!AA22</f>
        <v>B0116RIWR</v>
      </c>
      <c r="C849" s="219" t="s">
        <v>1875</v>
      </c>
      <c r="E849" s="249" t="s">
        <v>634</v>
      </c>
      <c r="F849" s="255">
        <f>IF(ISBLANK('2M'!E22),"##BLANK",'2M'!E22)</f>
        <v>-3.5559999999999974</v>
      </c>
    </row>
    <row r="850" spans="2:6">
      <c r="B850" s="219" t="str">
        <f>'2M'!AB22</f>
        <v>B0116RIWNP</v>
      </c>
      <c r="C850" s="219" t="s">
        <v>1876</v>
      </c>
      <c r="E850" s="249" t="s">
        <v>634</v>
      </c>
      <c r="F850" s="255">
        <f>IF(ISBLANK('2M'!F22),"##BLANK",'2M'!F22)</f>
        <v>-3.3509999999999422</v>
      </c>
    </row>
    <row r="851" spans="2:6">
      <c r="B851" s="219" t="str">
        <f>'2M'!AC22</f>
        <v>B0116RIWWP</v>
      </c>
      <c r="C851" s="219" t="s">
        <v>1877</v>
      </c>
      <c r="E851" s="249" t="s">
        <v>634</v>
      </c>
      <c r="F851" s="255">
        <f>IF(ISBLANK('2M'!G22),"##BLANK",'2M'!G22)</f>
        <v>14.66799999999995</v>
      </c>
    </row>
    <row r="852" spans="2:6">
      <c r="B852" s="219" t="str">
        <f>'2M'!AD22</f>
        <v>B0116RIBIO</v>
      </c>
      <c r="C852" s="219" t="s">
        <v>1878</v>
      </c>
      <c r="E852" s="249" t="s">
        <v>634</v>
      </c>
      <c r="F852" s="255">
        <f>IF(ISBLANK('2M'!H22),"##BLANK",'2M'!H22)</f>
        <v>-4.171999999999997</v>
      </c>
    </row>
    <row r="853" spans="2:6">
      <c r="B853" s="219" t="str">
        <f>'2M'!AE22</f>
        <v>B0116RIAPC</v>
      </c>
      <c r="C853" s="219" t="s">
        <v>1879</v>
      </c>
      <c r="E853" s="249" t="s">
        <v>634</v>
      </c>
      <c r="F853" s="255">
        <f>IF(ISBLANK('2M'!I22),"##BLANK",'2M'!I22)</f>
        <v>0</v>
      </c>
    </row>
    <row r="854" spans="2:6">
      <c r="B854" s="219" t="str">
        <f>'2M'!AF22</f>
        <v>B0116RITOT</v>
      </c>
      <c r="C854" s="219" t="s">
        <v>1880</v>
      </c>
      <c r="E854" s="249" t="s">
        <v>634</v>
      </c>
      <c r="F854" s="255">
        <f>IF(ISBLANK('2M'!J22),"##BLANK",'2M'!J22)</f>
        <v>3.5890000000000128</v>
      </c>
    </row>
    <row r="855" spans="2:6">
      <c r="B855" s="219" t="str">
        <f>'2N'!W10</f>
        <v>B0117STC</v>
      </c>
      <c r="C855" s="219" t="s">
        <v>1881</v>
      </c>
      <c r="E855" s="249" t="s">
        <v>634</v>
      </c>
      <c r="F855" s="255">
        <f>IF(ISBLANK('2N'!E10),"##BLANK",'2N'!E10)</f>
        <v>1.266</v>
      </c>
    </row>
    <row r="856" spans="2:6">
      <c r="B856" s="219" t="str">
        <f>'2N'!W11</f>
        <v>B0118STC</v>
      </c>
      <c r="C856" s="219" t="s">
        <v>1882</v>
      </c>
      <c r="E856" s="249" t="s">
        <v>634</v>
      </c>
      <c r="F856" s="255">
        <f>IF(ISBLANK('2N'!E11),"##BLANK",'2N'!E11)</f>
        <v>3.931</v>
      </c>
    </row>
    <row r="857" spans="2:6">
      <c r="B857" s="219" t="str">
        <f>'2N'!W12</f>
        <v>B0119STC</v>
      </c>
      <c r="C857" s="219" t="s">
        <v>1883</v>
      </c>
      <c r="E857" s="249" t="s">
        <v>634</v>
      </c>
      <c r="F857" s="255">
        <f>IF(ISBLANK('2N'!E12),"##BLANK",'2N'!E12)</f>
        <v>119.099</v>
      </c>
    </row>
    <row r="858" spans="2:6">
      <c r="B858" s="219" t="str">
        <f>'2N'!W15</f>
        <v>B0117NSTC</v>
      </c>
      <c r="C858" s="219" t="s">
        <v>1884</v>
      </c>
      <c r="E858" s="249" t="s">
        <v>634</v>
      </c>
      <c r="F858" s="255">
        <f>IF(ISBLANK('2N'!E15),"##BLANK",'2N'!E15)</f>
        <v>84.055000000000007</v>
      </c>
    </row>
    <row r="859" spans="2:6">
      <c r="B859" s="219" t="str">
        <f>'2N'!W16</f>
        <v>B0118NSTC</v>
      </c>
      <c r="C859" s="219" t="s">
        <v>1885</v>
      </c>
      <c r="E859" s="249" t="s">
        <v>634</v>
      </c>
      <c r="F859" s="255">
        <f>IF(ISBLANK('2N'!E16),"##BLANK",'2N'!E16)</f>
        <v>126.679</v>
      </c>
    </row>
    <row r="860" spans="2:6">
      <c r="B860" s="219" t="str">
        <f>'2N'!W17</f>
        <v>B0119NSTC</v>
      </c>
      <c r="C860" s="219" t="s">
        <v>1886</v>
      </c>
      <c r="E860" s="249" t="s">
        <v>634</v>
      </c>
      <c r="F860" s="255">
        <f>IF(ISBLANK('2N'!E17),"##BLANK",'2N'!E17)</f>
        <v>1109.345</v>
      </c>
    </row>
    <row r="861" spans="2:6">
      <c r="B861" s="219" t="str">
        <f>'2N'!X20</f>
        <v>B0123STDC</v>
      </c>
      <c r="C861" s="219" t="s">
        <v>1887</v>
      </c>
      <c r="E861" s="249" t="s">
        <v>634</v>
      </c>
      <c r="F861" s="255">
        <f>IF(ISBLANK('2N'!F20),"##BLANK",'2N'!F20)</f>
        <v>140.60031595576621</v>
      </c>
    </row>
    <row r="862" spans="2:6">
      <c r="B862" s="219" t="str">
        <f>'2N'!X21</f>
        <v>B0124STDC</v>
      </c>
      <c r="C862" s="219" t="s">
        <v>1888</v>
      </c>
      <c r="E862" s="249" t="s">
        <v>634</v>
      </c>
      <c r="F862" s="255">
        <f>IF(ISBLANK('2N'!F21),"##BLANK",'2N'!F21)</f>
        <v>34.342406512337831</v>
      </c>
    </row>
    <row r="863" spans="2:6">
      <c r="B863" s="219" t="str">
        <f>'2N'!X22</f>
        <v>B0125STDC</v>
      </c>
      <c r="C863" s="219" t="s">
        <v>1889</v>
      </c>
      <c r="E863" s="249" t="s">
        <v>634</v>
      </c>
      <c r="F863" s="255">
        <f>IF(ISBLANK('2N'!F22),"##BLANK",'2N'!F22)</f>
        <v>240.82485999042814</v>
      </c>
    </row>
    <row r="864" spans="2:6">
      <c r="B864" s="219" t="str">
        <f>'2N'!V25</f>
        <v>B0125STCC</v>
      </c>
      <c r="C864" s="219" t="s">
        <v>1890</v>
      </c>
      <c r="E864" s="249" t="s">
        <v>634</v>
      </c>
      <c r="F864" s="255">
        <f>IF(ISBLANK('2N'!D25),"##BLANK",'2N'!D25)</f>
        <v>0.104</v>
      </c>
    </row>
    <row r="865" spans="2:6">
      <c r="B865" s="219" t="str">
        <f>'2N'!V26</f>
        <v>B0126STCC</v>
      </c>
      <c r="C865" s="219" t="s">
        <v>1891</v>
      </c>
      <c r="E865" s="249" t="s">
        <v>634</v>
      </c>
      <c r="F865" s="255">
        <f>IF(ISBLANK('2N'!D26),"##BLANK",'2N'!D26)</f>
        <v>7.9000000000000001E-2</v>
      </c>
    </row>
    <row r="866" spans="2:6">
      <c r="B866" s="219" t="str">
        <f>'2N'!V27</f>
        <v>B0127STCC</v>
      </c>
      <c r="C866" s="219" t="s">
        <v>1892</v>
      </c>
      <c r="E866" s="249" t="s">
        <v>634</v>
      </c>
      <c r="F866" s="255">
        <f>IF(ISBLANK('2N'!D27),"##BLANK",'2N'!D27)</f>
        <v>16.483000000000001</v>
      </c>
    </row>
    <row r="867" spans="2:6">
      <c r="B867" s="219" t="str">
        <f>'2N'!X28</f>
        <v>B0128STCC</v>
      </c>
      <c r="C867" s="219" t="s">
        <v>1893</v>
      </c>
      <c r="E867" s="249" t="s">
        <v>634</v>
      </c>
      <c r="F867" s="255">
        <f>IF(ISBLANK('2N'!F28),"##BLANK",'2N'!F28)</f>
        <v>1.2189261729234302</v>
      </c>
    </row>
    <row r="868" spans="2:6">
      <c r="B868" s="219" t="str">
        <f>'2N'!X29</f>
        <v>B0129STCC</v>
      </c>
      <c r="C868" s="219" t="s">
        <v>1894</v>
      </c>
      <c r="E868" s="249" t="s">
        <v>634</v>
      </c>
      <c r="F868" s="255">
        <f>IF(ISBLANK('2N'!F29),"##BLANK",'2N'!F29)</f>
        <v>0.60485414593063314</v>
      </c>
    </row>
    <row r="869" spans="2:6">
      <c r="B869" s="219" t="str">
        <f>'2N'!X30</f>
        <v>B0130STCC</v>
      </c>
      <c r="C869" s="219" t="s">
        <v>1895</v>
      </c>
      <c r="E869" s="249" t="s">
        <v>634</v>
      </c>
      <c r="F869" s="255">
        <f>IF(ISBLANK('2N'!F30),"##BLANK",'2N'!F30)</f>
        <v>13.417787054192134</v>
      </c>
    </row>
    <row r="870" spans="2:6">
      <c r="B870" s="219" t="str">
        <f>'2N'!V33</f>
        <v>B0131STCC</v>
      </c>
      <c r="C870" s="219" t="s">
        <v>1896</v>
      </c>
      <c r="E870" s="249" t="s">
        <v>634</v>
      </c>
      <c r="F870" s="255">
        <f>IF(ISBLANK('2N'!D33),"##BLANK",'2N'!D33)</f>
        <v>7.3999999999999996E-2</v>
      </c>
    </row>
    <row r="871" spans="2:6">
      <c r="B871" s="219" t="str">
        <f>'2N'!V34</f>
        <v>B0132STCC</v>
      </c>
      <c r="C871" s="219" t="s">
        <v>1897</v>
      </c>
      <c r="E871" s="249" t="s">
        <v>634</v>
      </c>
      <c r="F871" s="255">
        <f>IF(ISBLANK('2N'!D34),"##BLANK",'2N'!D34)</f>
        <v>5.6000000000000001E-2</v>
      </c>
    </row>
    <row r="872" spans="2:6">
      <c r="B872" s="219" t="str">
        <f>'2N'!V35</f>
        <v>B0133STCC</v>
      </c>
      <c r="C872" s="219" t="s">
        <v>1898</v>
      </c>
      <c r="E872" s="249" t="s">
        <v>634</v>
      </c>
      <c r="F872" s="255">
        <f>IF(ISBLANK('2N'!D35),"##BLANK",'2N'!D35)</f>
        <v>12.199</v>
      </c>
    </row>
    <row r="873" spans="2:6">
      <c r="B873" s="219" t="str">
        <f>'2N'!X36</f>
        <v>B0134STCC</v>
      </c>
      <c r="C873" s="219" t="s">
        <v>1899</v>
      </c>
      <c r="E873" s="249" t="s">
        <v>634</v>
      </c>
      <c r="F873" s="255">
        <f>IF(ISBLANK('2N'!F36),"##BLANK",'2N'!F36)</f>
        <v>58.451816745655606</v>
      </c>
    </row>
    <row r="874" spans="2:6">
      <c r="B874" s="219" t="str">
        <f>'2N'!X37</f>
        <v>B0135STCC</v>
      </c>
      <c r="C874" s="219" t="s">
        <v>1900</v>
      </c>
      <c r="E874" s="249" t="s">
        <v>634</v>
      </c>
      <c r="F874" s="255">
        <f>IF(ISBLANK('2N'!F37),"##BLANK",'2N'!F37)</f>
        <v>14.245738997710506</v>
      </c>
    </row>
    <row r="875" spans="2:6">
      <c r="B875" s="219" t="str">
        <f>'2N'!X38</f>
        <v>B0136STCC</v>
      </c>
      <c r="C875" s="219" t="s">
        <v>1901</v>
      </c>
      <c r="E875" s="249" t="s">
        <v>634</v>
      </c>
      <c r="F875" s="255">
        <f>IF(ISBLANK('2N'!F38),"##BLANK",'2N'!F38)</f>
        <v>102.42739233746714</v>
      </c>
    </row>
    <row r="876" spans="2:6">
      <c r="B876" s="219" t="str">
        <f>'2N'!X41</f>
        <v>B0137STSC</v>
      </c>
      <c r="C876" s="219" t="s">
        <v>1902</v>
      </c>
      <c r="E876" s="249" t="s">
        <v>634</v>
      </c>
      <c r="F876" s="255">
        <f>IF(ISBLANK('2N'!F41),"##BLANK",'2N'!F41)</f>
        <v>18.190000000000001</v>
      </c>
    </row>
    <row r="877" spans="2:6">
      <c r="B877" s="219" t="str">
        <f>'2N'!X42</f>
        <v>B0138STSC</v>
      </c>
      <c r="C877" s="219" t="s">
        <v>1903</v>
      </c>
      <c r="E877" s="249" t="s">
        <v>634</v>
      </c>
      <c r="F877" s="255">
        <f>IF(ISBLANK('2N'!F42),"##BLANK",'2N'!F42)</f>
        <v>22.92</v>
      </c>
    </row>
    <row r="878" spans="2:6">
      <c r="B878" s="219" t="str">
        <f>'2O'!AE8</f>
        <v>BMA4012WR</v>
      </c>
      <c r="C878" s="219" t="s">
        <v>1904</v>
      </c>
      <c r="E878" s="249" t="s">
        <v>634</v>
      </c>
      <c r="F878" s="255">
        <f>IF(ISBLANK('2O'!E8),"##BLANK",'2O'!E8)</f>
        <v>31.117000000000001</v>
      </c>
    </row>
    <row r="879" spans="2:6">
      <c r="B879" s="219" t="str">
        <f>'2O'!AF8</f>
        <v>BMA4012WN</v>
      </c>
      <c r="C879" s="219" t="s">
        <v>1905</v>
      </c>
      <c r="E879" s="249" t="s">
        <v>634</v>
      </c>
      <c r="F879" s="255">
        <f>IF(ISBLANK('2O'!F8),"##BLANK",'2O'!F8)</f>
        <v>2.2269999999999999</v>
      </c>
    </row>
    <row r="880" spans="2:6">
      <c r="B880" s="219" t="str">
        <f>'2O'!AG8</f>
        <v>BMA4012WNK</v>
      </c>
      <c r="C880" s="219" t="s">
        <v>1906</v>
      </c>
      <c r="E880" s="249" t="s">
        <v>634</v>
      </c>
      <c r="F880" s="255">
        <f>IF(ISBLANK('2O'!G8),"##BLANK",'2O'!G8)</f>
        <v>13.451000000000001</v>
      </c>
    </row>
    <row r="881" spans="2:6">
      <c r="B881" s="219" t="str">
        <f>'2O'!AH8</f>
        <v>BMA4012SG</v>
      </c>
      <c r="C881" s="219" t="s">
        <v>1907</v>
      </c>
      <c r="E881" s="249" t="s">
        <v>634</v>
      </c>
      <c r="F881" s="255">
        <f>IF(ISBLANK('2O'!H8),"##BLANK",'2O'!H8)</f>
        <v>275.17099999999999</v>
      </c>
    </row>
    <row r="882" spans="2:6">
      <c r="B882" s="219" t="str">
        <f>'2O'!AI8</f>
        <v>BMA4012STTT</v>
      </c>
      <c r="C882" s="219" t="s">
        <v>1908</v>
      </c>
      <c r="E882" s="249" t="s">
        <v>634</v>
      </c>
      <c r="F882" s="255">
        <f>IF(ISBLANK('2O'!I8),"##BLANK",'2O'!I8)</f>
        <v>132.089</v>
      </c>
    </row>
    <row r="883" spans="2:6">
      <c r="B883" s="219" t="str">
        <f>'2O'!AJ8</f>
        <v>BMA4012H</v>
      </c>
      <c r="C883" s="219" t="s">
        <v>1909</v>
      </c>
      <c r="E883" s="249" t="s">
        <v>634</v>
      </c>
      <c r="F883" s="255">
        <f>IF(ISBLANK('2O'!J8),"##BLANK",'2O'!J8)</f>
        <v>31.532</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485.58699999999999</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2.194</v>
      </c>
    </row>
    <row r="895" spans="2:6">
      <c r="B895" s="219" t="str">
        <f>'2O'!AF10</f>
        <v>BMA4017WN</v>
      </c>
      <c r="C895" s="219" t="s">
        <v>1921</v>
      </c>
      <c r="E895" s="249" t="s">
        <v>634</v>
      </c>
      <c r="F895" s="255">
        <f>IF(ISBLANK('2O'!F10),"##BLANK",'2O'!F10)</f>
        <v>0.193</v>
      </c>
    </row>
    <row r="896" spans="2:6">
      <c r="B896" s="219" t="str">
        <f>'2O'!AG10</f>
        <v>BMA4017WNK</v>
      </c>
      <c r="C896" s="219" t="s">
        <v>1922</v>
      </c>
      <c r="E896" s="249" t="s">
        <v>634</v>
      </c>
      <c r="F896" s="255">
        <f>IF(ISBLANK('2O'!G10),"##BLANK",'2O'!G10)</f>
        <v>1.534</v>
      </c>
    </row>
    <row r="897" spans="2:6">
      <c r="B897" s="219" t="str">
        <f>'2O'!AH10</f>
        <v>BMA4017SG</v>
      </c>
      <c r="C897" s="219" t="s">
        <v>1923</v>
      </c>
      <c r="E897" s="249" t="s">
        <v>634</v>
      </c>
      <c r="F897" s="255">
        <f>IF(ISBLANK('2O'!H10),"##BLANK",'2O'!H10)</f>
        <v>19.155000000000001</v>
      </c>
    </row>
    <row r="898" spans="2:6">
      <c r="B898" s="219" t="str">
        <f>'2O'!AI10</f>
        <v>BMA4017STTT</v>
      </c>
      <c r="C898" s="219" t="s">
        <v>1924</v>
      </c>
      <c r="E898" s="249" t="s">
        <v>634</v>
      </c>
      <c r="F898" s="255">
        <f>IF(ISBLANK('2O'!I10),"##BLANK",'2O'!I10)</f>
        <v>9.7940000000000005</v>
      </c>
    </row>
    <row r="899" spans="2:6">
      <c r="B899" s="219" t="str">
        <f>'2O'!AJ10</f>
        <v>BMA4017H</v>
      </c>
      <c r="C899" s="219" t="s">
        <v>1925</v>
      </c>
      <c r="E899" s="249" t="s">
        <v>634</v>
      </c>
      <c r="F899" s="255">
        <f>IF(ISBLANK('2O'!J10),"##BLANK",'2O'!J10)</f>
        <v>2.6030000000000002</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35.473000000000006</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33.311</v>
      </c>
    </row>
    <row r="919" spans="2:6">
      <c r="B919" s="219" t="str">
        <f>'2O'!AF13</f>
        <v>BMA4018WN</v>
      </c>
      <c r="C919" s="219" t="s">
        <v>1945</v>
      </c>
      <c r="E919" s="249" t="s">
        <v>634</v>
      </c>
      <c r="F919" s="255">
        <f>IF(ISBLANK('2O'!F13),"##BLANK",'2O'!F13)</f>
        <v>2.42</v>
      </c>
    </row>
    <row r="920" spans="2:6">
      <c r="B920" s="219" t="str">
        <f>'2O'!AG13</f>
        <v>BMA4018WNK</v>
      </c>
      <c r="C920" s="219" t="s">
        <v>1946</v>
      </c>
      <c r="E920" s="249" t="s">
        <v>634</v>
      </c>
      <c r="F920" s="255">
        <f>IF(ISBLANK('2O'!G13),"##BLANK",'2O'!G13)</f>
        <v>14.985000000000001</v>
      </c>
    </row>
    <row r="921" spans="2:6">
      <c r="B921" s="219" t="str">
        <f>'2O'!AH13</f>
        <v>BMA4018SG</v>
      </c>
      <c r="C921" s="219" t="s">
        <v>1947</v>
      </c>
      <c r="E921" s="249" t="s">
        <v>634</v>
      </c>
      <c r="F921" s="255">
        <f>IF(ISBLANK('2O'!H13),"##BLANK",'2O'!H13)</f>
        <v>294.32600000000002</v>
      </c>
    </row>
    <row r="922" spans="2:6">
      <c r="B922" s="219" t="str">
        <f>'2O'!AI13</f>
        <v>BMA4018STTT</v>
      </c>
      <c r="C922" s="219" t="s">
        <v>1948</v>
      </c>
      <c r="E922" s="249" t="s">
        <v>634</v>
      </c>
      <c r="F922" s="255">
        <f>IF(ISBLANK('2O'!I13),"##BLANK",'2O'!I13)</f>
        <v>141.88300000000001</v>
      </c>
    </row>
    <row r="923" spans="2:6">
      <c r="B923" s="219" t="str">
        <f>'2O'!AJ13</f>
        <v>BMA4018H</v>
      </c>
      <c r="C923" s="219" t="s">
        <v>1949</v>
      </c>
      <c r="E923" s="249" t="s">
        <v>634</v>
      </c>
      <c r="F923" s="255">
        <f>IF(ISBLANK('2O'!J13),"##BLANK",'2O'!J13)</f>
        <v>34.134999999999998</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521.06000000000006</v>
      </c>
    </row>
    <row r="926" spans="2:6">
      <c r="B926" s="219" t="str">
        <f>'2O'!AE16</f>
        <v>BMA4041WR</v>
      </c>
      <c r="C926" s="219" t="s">
        <v>1952</v>
      </c>
      <c r="E926" s="249" t="s">
        <v>634</v>
      </c>
      <c r="F926" s="255">
        <f>IF(ISBLANK('2O'!E16),"##BLANK",'2O'!E16)</f>
        <v>-28.11</v>
      </c>
    </row>
    <row r="927" spans="2:6">
      <c r="B927" s="219" t="str">
        <f>'2O'!AF16</f>
        <v>BMA4041WN</v>
      </c>
      <c r="C927" s="219" t="s">
        <v>1953</v>
      </c>
      <c r="E927" s="249" t="s">
        <v>634</v>
      </c>
      <c r="F927" s="255">
        <f>IF(ISBLANK('2O'!F16),"##BLANK",'2O'!F16)</f>
        <v>-2.2269999999999999</v>
      </c>
    </row>
    <row r="928" spans="2:6">
      <c r="B928" s="219" t="str">
        <f>'2O'!AG16</f>
        <v>BMA4041WNK</v>
      </c>
      <c r="C928" s="219" t="s">
        <v>1954</v>
      </c>
      <c r="E928" s="249" t="s">
        <v>634</v>
      </c>
      <c r="F928" s="255">
        <f>IF(ISBLANK('2O'!G16),"##BLANK",'2O'!G16)</f>
        <v>-10.596</v>
      </c>
    </row>
    <row r="929" spans="2:6">
      <c r="B929" s="219" t="str">
        <f>'2O'!AH16</f>
        <v>BMA4041SG</v>
      </c>
      <c r="C929" s="219" t="s">
        <v>1955</v>
      </c>
      <c r="E929" s="249" t="s">
        <v>634</v>
      </c>
      <c r="F929" s="255">
        <f>IF(ISBLANK('2O'!H16),"##BLANK",'2O'!H16)</f>
        <v>-131.648</v>
      </c>
    </row>
    <row r="930" spans="2:6">
      <c r="B930" s="219" t="str">
        <f>'2O'!AI16</f>
        <v>BMA4041STTT</v>
      </c>
      <c r="C930" s="219" t="s">
        <v>1956</v>
      </c>
      <c r="E930" s="249" t="s">
        <v>634</v>
      </c>
      <c r="F930" s="255">
        <f>IF(ISBLANK('2O'!I16),"##BLANK",'2O'!I16)</f>
        <v>-97.432000000000002</v>
      </c>
    </row>
    <row r="931" spans="2:6">
      <c r="B931" s="219" t="str">
        <f>'2O'!AJ16</f>
        <v>BMA4041H</v>
      </c>
      <c r="C931" s="219" t="s">
        <v>1957</v>
      </c>
      <c r="E931" s="249" t="s">
        <v>634</v>
      </c>
      <c r="F931" s="255">
        <f>IF(ISBLANK('2O'!J16),"##BLANK",'2O'!J16)</f>
        <v>-22.934000000000001</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-292.947</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-5.7670000000000003</v>
      </c>
    </row>
    <row r="951" spans="2:6">
      <c r="B951" s="219" t="str">
        <f>'2O'!AF19</f>
        <v>BMA4046WN</v>
      </c>
      <c r="C951" s="219" t="s">
        <v>1977</v>
      </c>
      <c r="E951" s="249" t="s">
        <v>634</v>
      </c>
      <c r="F951" s="255">
        <f>IF(ISBLANK('2O'!F19),"##BLANK",'2O'!F19)</f>
        <v>-0.42199999999999999</v>
      </c>
    </row>
    <row r="952" spans="2:6">
      <c r="B952" s="219" t="str">
        <f>'2O'!AG19</f>
        <v>BMA4046WNK</v>
      </c>
      <c r="C952" s="219" t="s">
        <v>1978</v>
      </c>
      <c r="E952" s="249" t="s">
        <v>634</v>
      </c>
      <c r="F952" s="255">
        <f>IF(ISBLANK('2O'!G19),"##BLANK",'2O'!G19)</f>
        <v>-0.85399999999999998</v>
      </c>
    </row>
    <row r="953" spans="2:6">
      <c r="B953" s="219" t="str">
        <f>'2O'!AH19</f>
        <v>BMA4046SG</v>
      </c>
      <c r="C953" s="219" t="s">
        <v>1979</v>
      </c>
      <c r="E953" s="249" t="s">
        <v>634</v>
      </c>
      <c r="F953" s="255">
        <f>IF(ISBLANK('2O'!H19),"##BLANK",'2O'!H19)</f>
        <v>-24.436</v>
      </c>
    </row>
    <row r="954" spans="2:6">
      <c r="B954" s="219" t="str">
        <f>'2O'!AI19</f>
        <v>BMA4046STTT</v>
      </c>
      <c r="C954" s="219" t="s">
        <v>1980</v>
      </c>
      <c r="E954" s="249" t="s">
        <v>634</v>
      </c>
      <c r="F954" s="255">
        <f>IF(ISBLANK('2O'!I19),"##BLANK",'2O'!I19)</f>
        <v>-5.61</v>
      </c>
    </row>
    <row r="955" spans="2:6">
      <c r="B955" s="219" t="str">
        <f>'2O'!AJ19</f>
        <v>BMA4046H</v>
      </c>
      <c r="C955" s="219" t="s">
        <v>1981</v>
      </c>
      <c r="E955" s="249" t="s">
        <v>634</v>
      </c>
      <c r="F955" s="255">
        <f>IF(ISBLANK('2O'!J19),"##BLANK",'2O'!J19)</f>
        <v>-1.4259999999999999</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-38.515000000000001</v>
      </c>
    </row>
    <row r="958" spans="2:6">
      <c r="B958" s="219" t="str">
        <f>'2O'!AE20</f>
        <v>BMA4047WR</v>
      </c>
      <c r="C958" s="219" t="s">
        <v>1984</v>
      </c>
      <c r="E958" s="249" t="s">
        <v>634</v>
      </c>
      <c r="F958" s="255">
        <f>IF(ISBLANK('2O'!E20),"##BLANK",'2O'!E20)</f>
        <v>-33.877000000000002</v>
      </c>
    </row>
    <row r="959" spans="2:6">
      <c r="B959" s="219" t="str">
        <f>'2O'!AF20</f>
        <v>BMA4047WN</v>
      </c>
      <c r="C959" s="219" t="s">
        <v>1985</v>
      </c>
      <c r="E959" s="249" t="s">
        <v>634</v>
      </c>
      <c r="F959" s="255">
        <f>IF(ISBLANK('2O'!F20),"##BLANK",'2O'!F20)</f>
        <v>-2.649</v>
      </c>
    </row>
    <row r="960" spans="2:6">
      <c r="B960" s="219" t="str">
        <f>'2O'!AG20</f>
        <v>BMA4047WNK</v>
      </c>
      <c r="C960" s="219" t="s">
        <v>1986</v>
      </c>
      <c r="E960" s="249" t="s">
        <v>634</v>
      </c>
      <c r="F960" s="255">
        <f>IF(ISBLANK('2O'!G20),"##BLANK",'2O'!G20)</f>
        <v>-11.45</v>
      </c>
    </row>
    <row r="961" spans="2:6">
      <c r="B961" s="219" t="str">
        <f>'2O'!AH20</f>
        <v>BMA4047SG</v>
      </c>
      <c r="C961" s="219" t="s">
        <v>1987</v>
      </c>
      <c r="E961" s="249" t="s">
        <v>634</v>
      </c>
      <c r="F961" s="255">
        <f>IF(ISBLANK('2O'!H20),"##BLANK",'2O'!H20)</f>
        <v>-156.084</v>
      </c>
    </row>
    <row r="962" spans="2:6">
      <c r="B962" s="219" t="str">
        <f>'2O'!AI20</f>
        <v>BMA4047STTT</v>
      </c>
      <c r="C962" s="219" t="s">
        <v>1988</v>
      </c>
      <c r="E962" s="249" t="s">
        <v>634</v>
      </c>
      <c r="F962" s="255">
        <f>IF(ISBLANK('2O'!I20),"##BLANK",'2O'!I20)</f>
        <v>-103.042</v>
      </c>
    </row>
    <row r="963" spans="2:6">
      <c r="B963" s="219" t="str">
        <f>'2O'!AJ20</f>
        <v>BMA4047H</v>
      </c>
      <c r="C963" s="219" t="s">
        <v>1989</v>
      </c>
      <c r="E963" s="249" t="s">
        <v>634</v>
      </c>
      <c r="F963" s="255">
        <f>IF(ISBLANK('2O'!J20),"##BLANK",'2O'!J20)</f>
        <v>-24.36</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-331.46199999999999</v>
      </c>
    </row>
    <row r="966" spans="2:6">
      <c r="B966" s="219" t="str">
        <f>'2O'!AE22</f>
        <v>BMA4048WR</v>
      </c>
      <c r="C966" s="219" t="s">
        <v>1992</v>
      </c>
      <c r="E966" s="249" t="s">
        <v>634</v>
      </c>
      <c r="F966" s="255">
        <f>IF(ISBLANK('2O'!E22),"##BLANK",'2O'!E22)</f>
        <v>-0.5660000000000025</v>
      </c>
    </row>
    <row r="967" spans="2:6">
      <c r="B967" s="219" t="str">
        <f>'2O'!AF22</f>
        <v>BMA4048WN</v>
      </c>
      <c r="C967" s="219" t="s">
        <v>1993</v>
      </c>
      <c r="E967" s="249" t="s">
        <v>634</v>
      </c>
      <c r="F967" s="255">
        <f>IF(ISBLANK('2O'!F22),"##BLANK",'2O'!F22)</f>
        <v>-0.22900000000000009</v>
      </c>
    </row>
    <row r="968" spans="2:6">
      <c r="B968" s="219" t="str">
        <f>'2O'!AG22</f>
        <v>BMA4048WNK</v>
      </c>
      <c r="C968" s="219" t="s">
        <v>1994</v>
      </c>
      <c r="E968" s="249" t="s">
        <v>634</v>
      </c>
      <c r="F968" s="255">
        <f>IF(ISBLANK('2O'!G22),"##BLANK",'2O'!G22)</f>
        <v>3.5350000000000019</v>
      </c>
    </row>
    <row r="969" spans="2:6">
      <c r="B969" s="219" t="str">
        <f>'2O'!AH22</f>
        <v>BMA4048SG</v>
      </c>
      <c r="C969" s="219" t="s">
        <v>1995</v>
      </c>
      <c r="E969" s="249" t="s">
        <v>634</v>
      </c>
      <c r="F969" s="255">
        <f>IF(ISBLANK('2O'!H22),"##BLANK",'2O'!H22)</f>
        <v>138.24200000000002</v>
      </c>
    </row>
    <row r="970" spans="2:6">
      <c r="B970" s="219" t="str">
        <f>'2O'!AI22</f>
        <v>BMA4048STTT</v>
      </c>
      <c r="C970" s="219" t="s">
        <v>1996</v>
      </c>
      <c r="E970" s="249" t="s">
        <v>634</v>
      </c>
      <c r="F970" s="255">
        <f>IF(ISBLANK('2O'!I22),"##BLANK",'2O'!I22)</f>
        <v>38.841000000000008</v>
      </c>
    </row>
    <row r="971" spans="2:6">
      <c r="B971" s="219" t="str">
        <f>'2O'!AJ22</f>
        <v>BMA4048H</v>
      </c>
      <c r="C971" s="219" t="s">
        <v>1997</v>
      </c>
      <c r="E971" s="249" t="s">
        <v>634</v>
      </c>
      <c r="F971" s="255">
        <f>IF(ISBLANK('2O'!J22),"##BLANK",'2O'!J22)</f>
        <v>9.7749999999999986</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189.59800000000004</v>
      </c>
    </row>
    <row r="974" spans="2:6">
      <c r="B974" s="219" t="str">
        <f>'2O'!AE24</f>
        <v>BMA4049WR</v>
      </c>
      <c r="C974" s="219" t="s">
        <v>2000</v>
      </c>
      <c r="E974" s="249" t="s">
        <v>634</v>
      </c>
      <c r="F974" s="255">
        <f>IF(ISBLANK('2O'!E24),"##BLANK",'2O'!E24)</f>
        <v>3.0070000000000014</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2.8550000000000004</v>
      </c>
    </row>
    <row r="977" spans="2:6">
      <c r="B977" s="219" t="str">
        <f>'2O'!AH24</f>
        <v>BMA4049SG</v>
      </c>
      <c r="C977" s="219" t="s">
        <v>2003</v>
      </c>
      <c r="E977" s="249" t="s">
        <v>634</v>
      </c>
      <c r="F977" s="255">
        <f>IF(ISBLANK('2O'!H24),"##BLANK",'2O'!H24)</f>
        <v>143.523</v>
      </c>
    </row>
    <row r="978" spans="2:6">
      <c r="B978" s="219" t="str">
        <f>'2O'!AI24</f>
        <v>BMA4049STTT</v>
      </c>
      <c r="C978" s="219" t="s">
        <v>2004</v>
      </c>
      <c r="E978" s="249" t="s">
        <v>634</v>
      </c>
      <c r="F978" s="255">
        <f>IF(ISBLANK('2O'!I24),"##BLANK",'2O'!I24)</f>
        <v>34.656999999999996</v>
      </c>
    </row>
    <row r="979" spans="2:6">
      <c r="B979" s="257" t="str">
        <f>'2O'!AJ24</f>
        <v>BMA4049H</v>
      </c>
      <c r="C979" s="219" t="s">
        <v>2005</v>
      </c>
      <c r="E979" s="249" t="s">
        <v>634</v>
      </c>
      <c r="F979" s="255">
        <f>IF(ISBLANK('2O'!J24),"##BLANK",'2O'!J24)</f>
        <v>8.597999999999999</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192.64</v>
      </c>
    </row>
    <row r="982" spans="2:6">
      <c r="B982" s="219" t="str">
        <f>'2O'!AE27</f>
        <v>BMA4051WR</v>
      </c>
      <c r="C982" s="219" t="s">
        <v>2008</v>
      </c>
      <c r="E982" s="249" t="s">
        <v>634</v>
      </c>
      <c r="F982" s="255">
        <f>IF(ISBLANK('2O'!E27),"##BLANK",'2O'!E27)</f>
        <v>-5.7670000000000003</v>
      </c>
    </row>
    <row r="983" spans="2:6">
      <c r="B983" s="219" t="str">
        <f>'2O'!AF27</f>
        <v>BMA4051WN</v>
      </c>
      <c r="C983" s="219" t="s">
        <v>2009</v>
      </c>
      <c r="E983" s="249" t="s">
        <v>634</v>
      </c>
      <c r="F983" s="255">
        <f>IF(ISBLANK('2O'!F27),"##BLANK",'2O'!F27)</f>
        <v>-0.42199999999999999</v>
      </c>
    </row>
    <row r="984" spans="2:6">
      <c r="B984" s="219" t="str">
        <f>'2O'!AG27</f>
        <v>BMA4051WNK</v>
      </c>
      <c r="C984" s="219" t="s">
        <v>2010</v>
      </c>
      <c r="E984" s="249" t="s">
        <v>634</v>
      </c>
      <c r="F984" s="255">
        <f>IF(ISBLANK('2O'!G27),"##BLANK",'2O'!G27)</f>
        <v>-0.85399999999999998</v>
      </c>
    </row>
    <row r="985" spans="2:6">
      <c r="B985" s="219" t="str">
        <f>'2O'!AH27</f>
        <v>BMA4051SG</v>
      </c>
      <c r="C985" s="219" t="s">
        <v>2011</v>
      </c>
      <c r="E985" s="249" t="s">
        <v>634</v>
      </c>
      <c r="F985" s="255">
        <f>IF(ISBLANK('2O'!H27),"##BLANK",'2O'!H27)</f>
        <v>-24.436</v>
      </c>
    </row>
    <row r="986" spans="2:6">
      <c r="B986" s="219" t="str">
        <f>'2O'!AI27</f>
        <v>BMA4051STTT</v>
      </c>
      <c r="C986" s="219" t="s">
        <v>2012</v>
      </c>
      <c r="E986" s="249" t="s">
        <v>634</v>
      </c>
      <c r="F986" s="255">
        <f>IF(ISBLANK('2O'!I27),"##BLANK",'2O'!I27)</f>
        <v>-5.61</v>
      </c>
    </row>
    <row r="987" spans="2:6">
      <c r="B987" s="219" t="str">
        <f>'2O'!AJ27</f>
        <v>BMA4051H</v>
      </c>
      <c r="C987" s="219" t="s">
        <v>2013</v>
      </c>
      <c r="E987" s="249" t="s">
        <v>634</v>
      </c>
      <c r="F987" s="255">
        <f>IF(ISBLANK('2O'!J27),"##BLANK",'2O'!J27)</f>
        <v>-1.4259999999999999</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-38.515000000000001</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-5.7670000000000003</v>
      </c>
    </row>
    <row r="999" spans="2:6">
      <c r="B999" s="219" t="str">
        <f>'2O'!AF29</f>
        <v>BMA4052WN</v>
      </c>
      <c r="C999" s="219" t="s">
        <v>2025</v>
      </c>
      <c r="E999" s="249" t="s">
        <v>634</v>
      </c>
      <c r="F999" s="255">
        <f>IF(ISBLANK('2O'!F29),"##BLANK",'2O'!F29)</f>
        <v>-0.42199999999999999</v>
      </c>
    </row>
    <row r="1000" spans="2:6">
      <c r="B1000" s="219" t="str">
        <f>'2O'!AG29</f>
        <v>BMA4052WNK</v>
      </c>
      <c r="C1000" s="219" t="s">
        <v>2026</v>
      </c>
      <c r="E1000" s="249" t="s">
        <v>634</v>
      </c>
      <c r="F1000" s="255">
        <f>IF(ISBLANK('2O'!G29),"##BLANK",'2O'!G29)</f>
        <v>-0.85399999999999998</v>
      </c>
    </row>
    <row r="1001" spans="2:6">
      <c r="B1001" s="219" t="str">
        <f>'2O'!AH29</f>
        <v>BMA4052SG</v>
      </c>
      <c r="C1001" s="219" t="s">
        <v>2027</v>
      </c>
      <c r="E1001" s="249" t="s">
        <v>634</v>
      </c>
      <c r="F1001" s="255">
        <f>IF(ISBLANK('2O'!H29),"##BLANK",'2O'!H29)</f>
        <v>-24.436</v>
      </c>
    </row>
    <row r="1002" spans="2:6">
      <c r="B1002" s="219" t="str">
        <f>'2O'!AI29</f>
        <v>BMA4052STTT</v>
      </c>
      <c r="C1002" s="219" t="s">
        <v>2028</v>
      </c>
      <c r="E1002" s="249" t="s">
        <v>634</v>
      </c>
      <c r="F1002" s="255">
        <f>IF(ISBLANK('2O'!I29),"##BLANK",'2O'!I29)</f>
        <v>-5.61</v>
      </c>
    </row>
    <row r="1003" spans="2:6">
      <c r="B1003" s="219" t="str">
        <f>'2O'!AJ29</f>
        <v>BMA4052H</v>
      </c>
      <c r="C1003" s="219" t="s">
        <v>2029</v>
      </c>
      <c r="E1003" s="249" t="s">
        <v>634</v>
      </c>
      <c r="F1003" s="255">
        <f>IF(ISBLANK('2O'!J29),"##BLANK",'2O'!J29)</f>
        <v>-1.4259999999999999</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-38.515000000000001</v>
      </c>
    </row>
  </sheetData>
  <sheetProtection sort="0"/>
  <conditionalFormatting sqref="E4:E1005">
    <cfRule type="expression" dxfId="248" priority="1">
      <formula>$C4="New Bon"</formula>
    </cfRule>
  </conditionalFormatting>
  <conditionalFormatting sqref="F78:F85">
    <cfRule type="expression" dxfId="247" priority="64">
      <formula>#REF!="New Bon"</formula>
    </cfRule>
  </conditionalFormatting>
  <conditionalFormatting sqref="F86:F111 F634:F653 F759:F769">
    <cfRule type="expression" dxfId="246" priority="4">
      <formula>#REF!="New Bon"</formula>
    </cfRule>
  </conditionalFormatting>
  <conditionalFormatting sqref="F112:F215">
    <cfRule type="expression" dxfId="245" priority="36">
      <formula>#REF!="New Bon"</formula>
    </cfRule>
  </conditionalFormatting>
  <conditionalFormatting sqref="F614:F633">
    <cfRule type="expression" dxfId="244" priority="66">
      <formula>#REF!="New Bon"</formula>
    </cfRule>
  </conditionalFormatting>
  <conditionalFormatting sqref="F654:F714">
    <cfRule type="expression" dxfId="243" priority="68">
      <formula>#REF!="New Bon"</formula>
    </cfRule>
  </conditionalFormatting>
  <conditionalFormatting sqref="F748:F758">
    <cfRule type="expression" dxfId="242" priority="3">
      <formula>#REF!="New Bon"</formula>
    </cfRule>
  </conditionalFormatting>
  <conditionalFormatting sqref="F770:F812">
    <cfRule type="expression" dxfId="241"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24" zoomScale="80" zoomScaleNormal="80" zoomScaleSheetLayoutView="100" workbookViewId="0">
      <selection activeCell="J40" sqref="J40"/>
    </sheetView>
  </sheetViews>
  <sheetFormatPr defaultColWidth="9" defaultRowHeight="14.4"/>
  <cols>
    <col min="1" max="1" width="1.59765625" style="16" customWidth="1"/>
    <col min="2" max="2" width="61.19921875" style="18" customWidth="1"/>
    <col min="3" max="3" width="15.19921875" style="16" customWidth="1"/>
    <col min="4" max="4" width="16.19921875" style="16" customWidth="1"/>
    <col min="5" max="5" width="16.69921875" style="16" customWidth="1"/>
    <col min="6" max="6" width="16.2968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71.19921875" style="16" bestFit="1" customWidth="1"/>
    <col min="22" max="22" width="22.796875" style="16" bestFit="1" customWidth="1"/>
    <col min="23" max="25" width="15" style="16" customWidth="1"/>
    <col min="26" max="26" width="1.59765625" style="16" customWidth="1"/>
    <col min="27" max="16384" width="9" style="16"/>
  </cols>
  <sheetData>
    <row r="1" spans="1:33" ht="30.75" customHeight="1">
      <c r="A1" s="219"/>
      <c r="B1" s="1229" t="s">
        <v>12689</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Dŵr Cymru</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29" t="s">
        <v>12690</v>
      </c>
      <c r="C3" s="2829"/>
      <c r="D3" s="2829"/>
      <c r="E3" s="2829"/>
      <c r="F3" s="2829"/>
      <c r="G3" s="2829"/>
      <c r="H3" s="2829"/>
      <c r="I3" s="2829"/>
      <c r="J3" s="2829"/>
      <c r="K3" s="219"/>
      <c r="L3" s="238"/>
      <c r="M3" s="1240" t="s">
        <v>4200</v>
      </c>
      <c r="N3" s="238"/>
      <c r="O3" s="219"/>
      <c r="P3" s="219"/>
      <c r="Q3" s="219"/>
      <c r="R3" s="219"/>
      <c r="S3" s="238"/>
      <c r="T3" s="219"/>
      <c r="U3" s="2829" t="s">
        <v>12690</v>
      </c>
      <c r="V3" s="2829"/>
      <c r="W3" s="2829"/>
      <c r="X3" s="2829"/>
      <c r="Y3" s="2829"/>
      <c r="Z3" s="2829"/>
      <c r="AA3" s="1241"/>
      <c r="AB3" s="1241"/>
      <c r="AC3" s="219"/>
      <c r="AD3" s="219"/>
      <c r="AE3" s="219"/>
      <c r="AF3" s="219"/>
      <c r="AG3" s="219"/>
    </row>
    <row r="4" spans="1:33" ht="23.4" thickBot="1">
      <c r="A4" s="219"/>
      <c r="B4" s="690"/>
      <c r="C4" s="690"/>
      <c r="D4" s="690"/>
      <c r="E4" s="690"/>
      <c r="F4" s="690"/>
      <c r="G4" s="827"/>
      <c r="H4" s="260"/>
      <c r="I4" s="219"/>
      <c r="J4" s="219"/>
      <c r="K4" s="219"/>
      <c r="L4" s="238"/>
      <c r="M4" s="219"/>
      <c r="N4" s="238"/>
      <c r="O4" s="2917" t="s">
        <v>4201</v>
      </c>
      <c r="P4" s="2917"/>
      <c r="Q4" s="2917"/>
      <c r="R4" s="2917"/>
      <c r="S4" s="238"/>
      <c r="T4" s="219"/>
      <c r="U4" s="690"/>
      <c r="V4" s="690"/>
      <c r="W4" s="690"/>
      <c r="X4" s="690"/>
      <c r="Y4" s="690"/>
      <c r="Z4" s="827"/>
      <c r="AA4" s="219"/>
      <c r="AB4" s="219"/>
      <c r="AC4" s="219"/>
      <c r="AD4" s="219"/>
      <c r="AE4" s="219"/>
      <c r="AF4" s="219"/>
      <c r="AG4" s="219"/>
    </row>
    <row r="5" spans="1:33" ht="46.2" thickTop="1" thickBot="1">
      <c r="A5" s="242"/>
      <c r="B5" s="445" t="s">
        <v>4202</v>
      </c>
      <c r="C5" s="446" t="s">
        <v>4203</v>
      </c>
      <c r="D5" s="446" t="s">
        <v>4204</v>
      </c>
      <c r="E5" s="447" t="s">
        <v>12497</v>
      </c>
      <c r="F5" s="242"/>
      <c r="G5" s="731"/>
      <c r="H5" s="449" t="s">
        <v>4208</v>
      </c>
      <c r="I5" s="242"/>
      <c r="J5" s="449" t="s">
        <v>4209</v>
      </c>
      <c r="K5" s="242"/>
      <c r="L5" s="238"/>
      <c r="M5" s="219"/>
      <c r="N5" s="238"/>
      <c r="O5" s="269" t="s">
        <v>4210</v>
      </c>
      <c r="P5" s="269"/>
      <c r="Q5" s="269"/>
      <c r="R5" s="269"/>
      <c r="S5" s="238"/>
      <c r="T5" s="219"/>
      <c r="U5" s="445" t="s">
        <v>4202</v>
      </c>
      <c r="V5" s="447" t="s">
        <v>12497</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12691</v>
      </c>
      <c r="C7" s="482"/>
      <c r="D7" s="482"/>
      <c r="E7" s="482"/>
      <c r="F7" s="242"/>
      <c r="G7" s="1242"/>
      <c r="H7" s="565"/>
      <c r="I7" s="242"/>
      <c r="J7" s="242"/>
      <c r="K7" s="242"/>
      <c r="L7" s="238"/>
      <c r="M7" s="219"/>
      <c r="N7" s="238"/>
      <c r="O7" s="219"/>
      <c r="P7" s="219"/>
      <c r="Q7" s="219"/>
      <c r="R7" s="219"/>
      <c r="S7" s="238"/>
      <c r="T7" s="219"/>
      <c r="U7" s="33" t="s">
        <v>12691</v>
      </c>
      <c r="V7" s="482"/>
      <c r="W7" s="482"/>
      <c r="X7" s="482"/>
      <c r="Y7" s="242"/>
      <c r="Z7" s="1242"/>
      <c r="AA7" s="242"/>
      <c r="AB7" s="219"/>
      <c r="AC7" s="219"/>
      <c r="AD7" s="219"/>
      <c r="AE7" s="219"/>
      <c r="AF7" s="219"/>
      <c r="AG7" s="219"/>
    </row>
    <row r="8" spans="1:33" ht="15.75" customHeight="1" thickTop="1">
      <c r="A8" s="242"/>
      <c r="B8" s="829" t="s">
        <v>12692</v>
      </c>
      <c r="C8" s="788" t="s">
        <v>4843</v>
      </c>
      <c r="D8" s="788">
        <v>0</v>
      </c>
      <c r="E8" s="1704">
        <v>3</v>
      </c>
      <c r="F8" s="1243"/>
      <c r="G8" s="389"/>
      <c r="H8" s="832" t="s">
        <v>12693</v>
      </c>
      <c r="I8" s="242"/>
      <c r="J8" s="1231"/>
      <c r="K8" s="242"/>
      <c r="L8" s="238"/>
      <c r="M8" s="1232">
        <f>IF( SUM( O8:R8 ) = 0, 0, $O$5 )</f>
        <v>0</v>
      </c>
      <c r="N8" s="238"/>
      <c r="O8" s="219"/>
      <c r="P8" s="219"/>
      <c r="Q8" s="285">
        <f xml:space="preserve"> IF( ISNUMBER(E8 ), 0, 1 )</f>
        <v>0</v>
      </c>
      <c r="R8" s="219"/>
      <c r="S8" s="238"/>
      <c r="T8" s="219"/>
      <c r="U8" s="1564" t="s">
        <v>12692</v>
      </c>
      <c r="V8" s="1565" t="s">
        <v>12694</v>
      </c>
      <c r="W8" s="871"/>
      <c r="X8" s="871"/>
      <c r="Y8" s="242"/>
      <c r="Z8" s="389"/>
      <c r="AA8" s="242"/>
      <c r="AB8" s="219"/>
      <c r="AC8" s="219"/>
      <c r="AD8" s="219"/>
      <c r="AE8" s="219"/>
      <c r="AF8" s="219"/>
      <c r="AG8" s="219"/>
    </row>
    <row r="9" spans="1:33" ht="15.75" customHeight="1">
      <c r="A9" s="242"/>
      <c r="B9" s="833" t="s">
        <v>12695</v>
      </c>
      <c r="C9" s="834" t="s">
        <v>6755</v>
      </c>
      <c r="D9" s="834">
        <v>0</v>
      </c>
      <c r="E9" s="1705">
        <v>311</v>
      </c>
      <c r="F9" s="1244"/>
      <c r="G9" s="389"/>
      <c r="H9" s="837" t="s">
        <v>12696</v>
      </c>
      <c r="I9" s="242"/>
      <c r="J9" s="1233"/>
      <c r="K9" s="242"/>
      <c r="L9" s="238"/>
      <c r="M9" s="1232">
        <f t="shared" ref="M9:M19" si="0">IF( SUM( O9:R9 ) = 0, 0, $O$5 )</f>
        <v>0</v>
      </c>
      <c r="N9" s="238"/>
      <c r="O9" s="219"/>
      <c r="P9" s="219"/>
      <c r="Q9" s="285">
        <f t="shared" ref="Q9:Q19" si="1" xml:space="preserve"> IF( ISNUMBER(E9 ), 0, 1 )</f>
        <v>0</v>
      </c>
      <c r="R9" s="219"/>
      <c r="S9" s="238"/>
      <c r="T9" s="219"/>
      <c r="U9" s="1566" t="s">
        <v>12695</v>
      </c>
      <c r="V9" s="1567" t="s">
        <v>12697</v>
      </c>
      <c r="W9" s="871"/>
      <c r="X9" s="871"/>
      <c r="Y9" s="242"/>
      <c r="Z9" s="389"/>
      <c r="AA9" s="242"/>
      <c r="AB9" s="219"/>
      <c r="AC9" s="219"/>
      <c r="AD9" s="219"/>
      <c r="AE9" s="219"/>
      <c r="AF9" s="219"/>
      <c r="AG9" s="219"/>
    </row>
    <row r="10" spans="1:33" ht="15.75" customHeight="1">
      <c r="A10" s="242"/>
      <c r="B10" s="833" t="s">
        <v>12698</v>
      </c>
      <c r="C10" s="834" t="s">
        <v>4843</v>
      </c>
      <c r="D10" s="834">
        <v>0</v>
      </c>
      <c r="E10" s="1705">
        <v>13</v>
      </c>
      <c r="F10" s="1244"/>
      <c r="G10" s="197"/>
      <c r="H10" s="837" t="s">
        <v>12699</v>
      </c>
      <c r="I10" s="242"/>
      <c r="J10" s="1233"/>
      <c r="K10" s="242"/>
      <c r="L10" s="238"/>
      <c r="M10" s="1232">
        <f t="shared" si="0"/>
        <v>0</v>
      </c>
      <c r="N10" s="238"/>
      <c r="O10" s="219"/>
      <c r="P10" s="219"/>
      <c r="Q10" s="285">
        <f t="shared" si="1"/>
        <v>0</v>
      </c>
      <c r="R10" s="219"/>
      <c r="S10" s="238"/>
      <c r="T10" s="219"/>
      <c r="U10" s="1566" t="s">
        <v>12698</v>
      </c>
      <c r="V10" s="1567" t="s">
        <v>12700</v>
      </c>
      <c r="W10" s="871"/>
      <c r="X10" s="871"/>
      <c r="Y10" s="242"/>
      <c r="Z10" s="197"/>
      <c r="AA10" s="242"/>
      <c r="AB10" s="219"/>
      <c r="AC10" s="219"/>
      <c r="AD10" s="219"/>
      <c r="AE10" s="219"/>
      <c r="AF10" s="219"/>
      <c r="AG10" s="219"/>
    </row>
    <row r="11" spans="1:33" ht="30">
      <c r="A11" s="242"/>
      <c r="B11" s="833" t="s">
        <v>12701</v>
      </c>
      <c r="C11" s="834" t="s">
        <v>12562</v>
      </c>
      <c r="D11" s="834">
        <v>0</v>
      </c>
      <c r="E11" s="1705">
        <v>6891</v>
      </c>
      <c r="F11" s="1244"/>
      <c r="G11" s="197"/>
      <c r="H11" s="837" t="s">
        <v>12702</v>
      </c>
      <c r="I11" s="242"/>
      <c r="J11" s="1233"/>
      <c r="K11" s="242"/>
      <c r="L11" s="238"/>
      <c r="M11" s="1232">
        <f t="shared" si="0"/>
        <v>0</v>
      </c>
      <c r="N11" s="238"/>
      <c r="O11" s="219"/>
      <c r="P11" s="219"/>
      <c r="Q11" s="285">
        <f t="shared" si="1"/>
        <v>0</v>
      </c>
      <c r="R11" s="219"/>
      <c r="S11" s="238"/>
      <c r="T11" s="219"/>
      <c r="U11" s="1566" t="s">
        <v>12701</v>
      </c>
      <c r="V11" s="1567" t="s">
        <v>12703</v>
      </c>
      <c r="W11" s="871"/>
      <c r="X11" s="871"/>
      <c r="Y11" s="242"/>
      <c r="Z11" s="197"/>
      <c r="AA11" s="242"/>
      <c r="AB11" s="219"/>
      <c r="AC11" s="219"/>
      <c r="AD11" s="219"/>
      <c r="AE11" s="219"/>
      <c r="AF11" s="219"/>
      <c r="AG11" s="219"/>
    </row>
    <row r="12" spans="1:33" ht="15.75" customHeight="1">
      <c r="A12" s="242"/>
      <c r="B12" s="833" t="s">
        <v>12704</v>
      </c>
      <c r="C12" s="834" t="s">
        <v>12566</v>
      </c>
      <c r="D12" s="834">
        <v>2</v>
      </c>
      <c r="E12" s="1245">
        <v>381.36</v>
      </c>
      <c r="F12" s="1244"/>
      <c r="G12" s="197"/>
      <c r="H12" s="837" t="s">
        <v>12705</v>
      </c>
      <c r="I12" s="242"/>
      <c r="J12" s="1233"/>
      <c r="K12" s="242"/>
      <c r="L12" s="238"/>
      <c r="M12" s="1232">
        <f t="shared" si="0"/>
        <v>0</v>
      </c>
      <c r="N12" s="238"/>
      <c r="O12" s="219"/>
      <c r="P12" s="219"/>
      <c r="Q12" s="285">
        <f t="shared" si="1"/>
        <v>0</v>
      </c>
      <c r="R12" s="219"/>
      <c r="S12" s="238"/>
      <c r="T12" s="219"/>
      <c r="U12" s="1566" t="s">
        <v>12704</v>
      </c>
      <c r="V12" s="1567" t="s">
        <v>12706</v>
      </c>
      <c r="W12" s="871"/>
      <c r="X12" s="871"/>
      <c r="Y12" s="242"/>
      <c r="Z12" s="197"/>
      <c r="AA12" s="242"/>
      <c r="AB12" s="219"/>
      <c r="AC12" s="219"/>
      <c r="AD12" s="219"/>
      <c r="AE12" s="219"/>
      <c r="AF12" s="219"/>
      <c r="AG12" s="219"/>
    </row>
    <row r="13" spans="1:33" ht="15.75" customHeight="1">
      <c r="A13" s="242"/>
      <c r="B13" s="833" t="s">
        <v>12707</v>
      </c>
      <c r="C13" s="834" t="s">
        <v>12570</v>
      </c>
      <c r="D13" s="834">
        <v>2</v>
      </c>
      <c r="E13" s="1245">
        <v>16.940000000000001</v>
      </c>
      <c r="F13" s="1244"/>
      <c r="G13" s="197"/>
      <c r="H13" s="837" t="s">
        <v>12708</v>
      </c>
      <c r="I13" s="242"/>
      <c r="J13" s="1233" t="s">
        <v>18538</v>
      </c>
      <c r="K13" s="242"/>
      <c r="L13" s="238"/>
      <c r="M13" s="1232">
        <f t="shared" si="0"/>
        <v>0</v>
      </c>
      <c r="N13" s="238"/>
      <c r="O13" s="219"/>
      <c r="P13" s="219"/>
      <c r="Q13" s="285">
        <f t="shared" si="1"/>
        <v>0</v>
      </c>
      <c r="R13" s="219"/>
      <c r="S13" s="238"/>
      <c r="T13" s="219"/>
      <c r="U13" s="1566" t="s">
        <v>12709</v>
      </c>
      <c r="V13" s="1567" t="s">
        <v>12710</v>
      </c>
      <c r="W13" s="871"/>
      <c r="X13" s="871"/>
      <c r="Y13" s="242"/>
      <c r="Z13" s="197"/>
      <c r="AA13" s="242"/>
      <c r="AB13" s="219"/>
      <c r="AC13" s="219"/>
      <c r="AD13" s="219"/>
      <c r="AE13" s="219"/>
      <c r="AF13" s="219"/>
      <c r="AG13" s="219"/>
    </row>
    <row r="14" spans="1:33" ht="15.75" customHeight="1">
      <c r="A14" s="242"/>
      <c r="B14" s="833" t="s">
        <v>12711</v>
      </c>
      <c r="C14" s="834" t="s">
        <v>12574</v>
      </c>
      <c r="D14" s="834">
        <v>3</v>
      </c>
      <c r="E14" s="878">
        <v>24724.989000000001</v>
      </c>
      <c r="F14" s="1244"/>
      <c r="G14" s="197"/>
      <c r="H14" s="837" t="s">
        <v>12712</v>
      </c>
      <c r="I14" s="242"/>
      <c r="J14" s="1233"/>
      <c r="K14" s="242"/>
      <c r="L14" s="238"/>
      <c r="M14" s="1232">
        <f t="shared" si="0"/>
        <v>0</v>
      </c>
      <c r="N14" s="238"/>
      <c r="O14" s="219"/>
      <c r="P14" s="219"/>
      <c r="Q14" s="285">
        <f t="shared" si="1"/>
        <v>0</v>
      </c>
      <c r="R14" s="219"/>
      <c r="S14" s="238"/>
      <c r="T14" s="219"/>
      <c r="U14" s="1566" t="s">
        <v>12713</v>
      </c>
      <c r="V14" s="1567" t="s">
        <v>12714</v>
      </c>
      <c r="W14" s="871"/>
      <c r="X14" s="871"/>
      <c r="Y14" s="242"/>
      <c r="Z14" s="197"/>
      <c r="AA14" s="242"/>
      <c r="AB14" s="219"/>
      <c r="AC14" s="219"/>
      <c r="AD14" s="219"/>
      <c r="AE14" s="219"/>
      <c r="AF14" s="219"/>
      <c r="AG14" s="219"/>
    </row>
    <row r="15" spans="1:33" ht="15.75" customHeight="1">
      <c r="A15" s="242"/>
      <c r="B15" s="833" t="s">
        <v>12715</v>
      </c>
      <c r="C15" s="834" t="s">
        <v>4843</v>
      </c>
      <c r="D15" s="834">
        <v>0</v>
      </c>
      <c r="E15" s="1705">
        <v>1</v>
      </c>
      <c r="F15" s="1244"/>
      <c r="G15" s="197"/>
      <c r="H15" s="837" t="s">
        <v>12716</v>
      </c>
      <c r="I15" s="242"/>
      <c r="J15" s="1233" t="s">
        <v>18539</v>
      </c>
      <c r="K15" s="242"/>
      <c r="L15" s="238"/>
      <c r="M15" s="1232">
        <f t="shared" si="0"/>
        <v>0</v>
      </c>
      <c r="N15" s="238"/>
      <c r="O15" s="219"/>
      <c r="P15" s="219"/>
      <c r="Q15" s="285">
        <f t="shared" si="1"/>
        <v>0</v>
      </c>
      <c r="R15" s="219"/>
      <c r="S15" s="238"/>
      <c r="T15" s="219"/>
      <c r="U15" s="1566" t="s">
        <v>12715</v>
      </c>
      <c r="V15" s="1567" t="s">
        <v>12717</v>
      </c>
      <c r="W15" s="871"/>
      <c r="X15" s="871"/>
      <c r="Y15" s="242"/>
      <c r="Z15" s="197"/>
      <c r="AA15" s="242"/>
      <c r="AB15" s="219"/>
      <c r="AC15" s="219"/>
      <c r="AD15" s="219"/>
      <c r="AE15" s="219"/>
      <c r="AF15" s="219"/>
      <c r="AG15" s="219"/>
    </row>
    <row r="16" spans="1:33" ht="15.75" customHeight="1">
      <c r="A16" s="242"/>
      <c r="B16" s="833" t="s">
        <v>12718</v>
      </c>
      <c r="C16" s="834" t="s">
        <v>12500</v>
      </c>
      <c r="D16" s="834">
        <v>2</v>
      </c>
      <c r="E16" s="1245">
        <v>6.71</v>
      </c>
      <c r="F16" s="1244"/>
      <c r="G16" s="197"/>
      <c r="H16" s="837" t="s">
        <v>12719</v>
      </c>
      <c r="I16" s="242"/>
      <c r="J16" s="1233"/>
      <c r="K16" s="242"/>
      <c r="L16" s="238"/>
      <c r="M16" s="1232">
        <f t="shared" si="0"/>
        <v>0</v>
      </c>
      <c r="N16" s="238"/>
      <c r="O16" s="219"/>
      <c r="P16" s="219"/>
      <c r="Q16" s="285">
        <f t="shared" si="1"/>
        <v>0</v>
      </c>
      <c r="R16" s="219"/>
      <c r="S16" s="238"/>
      <c r="T16" s="219"/>
      <c r="U16" s="1566" t="s">
        <v>12720</v>
      </c>
      <c r="V16" s="1567" t="s">
        <v>12721</v>
      </c>
      <c r="W16" s="871"/>
      <c r="X16" s="871"/>
      <c r="Y16" s="242"/>
      <c r="Z16" s="197"/>
      <c r="AA16" s="242"/>
      <c r="AB16" s="219"/>
      <c r="AC16" s="219"/>
      <c r="AD16" s="219"/>
      <c r="AE16" s="219"/>
      <c r="AF16" s="219"/>
      <c r="AG16" s="219"/>
    </row>
    <row r="17" spans="1:33" ht="15.75" customHeight="1">
      <c r="A17" s="242"/>
      <c r="B17" s="833" t="s">
        <v>12722</v>
      </c>
      <c r="C17" s="834" t="s">
        <v>4843</v>
      </c>
      <c r="D17" s="834">
        <v>0</v>
      </c>
      <c r="E17" s="1705">
        <v>13</v>
      </c>
      <c r="F17" s="1244"/>
      <c r="G17" s="197"/>
      <c r="H17" s="837" t="s">
        <v>12723</v>
      </c>
      <c r="I17" s="242"/>
      <c r="J17" s="1233"/>
      <c r="K17" s="242"/>
      <c r="L17" s="238"/>
      <c r="M17" s="1232">
        <f t="shared" si="0"/>
        <v>0</v>
      </c>
      <c r="N17" s="238"/>
      <c r="O17" s="219"/>
      <c r="P17" s="219"/>
      <c r="Q17" s="285">
        <f t="shared" si="1"/>
        <v>0</v>
      </c>
      <c r="R17" s="219"/>
      <c r="S17" s="238"/>
      <c r="T17" s="219"/>
      <c r="U17" s="1566" t="s">
        <v>12722</v>
      </c>
      <c r="V17" s="1567" t="s">
        <v>12724</v>
      </c>
      <c r="W17" s="871"/>
      <c r="X17" s="871"/>
      <c r="Y17" s="242"/>
      <c r="Z17" s="197"/>
      <c r="AA17" s="242"/>
      <c r="AB17" s="219"/>
      <c r="AC17" s="219"/>
      <c r="AD17" s="219"/>
      <c r="AE17" s="219"/>
      <c r="AF17" s="219"/>
      <c r="AG17" s="219"/>
    </row>
    <row r="18" spans="1:33" ht="15.75" customHeight="1">
      <c r="A18" s="242"/>
      <c r="B18" s="833" t="s">
        <v>12725</v>
      </c>
      <c r="C18" s="834" t="s">
        <v>12500</v>
      </c>
      <c r="D18" s="834">
        <v>2</v>
      </c>
      <c r="E18" s="1245">
        <v>25.82</v>
      </c>
      <c r="F18" s="1244"/>
      <c r="G18" s="197"/>
      <c r="H18" s="837" t="s">
        <v>12726</v>
      </c>
      <c r="I18" s="242"/>
      <c r="J18" s="1233"/>
      <c r="K18" s="242"/>
      <c r="L18" s="238"/>
      <c r="M18" s="1232">
        <f t="shared" si="0"/>
        <v>0</v>
      </c>
      <c r="N18" s="238"/>
      <c r="O18" s="219"/>
      <c r="P18" s="219"/>
      <c r="Q18" s="285">
        <f t="shared" si="1"/>
        <v>0</v>
      </c>
      <c r="R18" s="219"/>
      <c r="S18" s="238"/>
      <c r="T18" s="219"/>
      <c r="U18" s="1566" t="s">
        <v>12727</v>
      </c>
      <c r="V18" s="1567" t="s">
        <v>12728</v>
      </c>
      <c r="W18" s="871"/>
      <c r="X18" s="871"/>
      <c r="Y18" s="242"/>
      <c r="Z18" s="197"/>
      <c r="AA18" s="242"/>
      <c r="AB18" s="219"/>
      <c r="AC18" s="219"/>
      <c r="AD18" s="219"/>
      <c r="AE18" s="219"/>
      <c r="AF18" s="219"/>
      <c r="AG18" s="219"/>
    </row>
    <row r="19" spans="1:33" ht="33" customHeight="1" thickBot="1">
      <c r="A19" s="242"/>
      <c r="B19" s="868" t="s">
        <v>12729</v>
      </c>
      <c r="C19" s="844" t="s">
        <v>12566</v>
      </c>
      <c r="D19" s="844">
        <v>2</v>
      </c>
      <c r="E19" s="1255">
        <v>152.24</v>
      </c>
      <c r="F19" s="1247"/>
      <c r="G19" s="197"/>
      <c r="H19" s="847" t="s">
        <v>12730</v>
      </c>
      <c r="I19" s="242"/>
      <c r="J19" s="1237"/>
      <c r="K19" s="242"/>
      <c r="L19" s="238"/>
      <c r="M19" s="1232">
        <f t="shared" si="0"/>
        <v>0</v>
      </c>
      <c r="N19" s="238"/>
      <c r="O19" s="219"/>
      <c r="P19" s="219"/>
      <c r="Q19" s="285">
        <f t="shared" si="1"/>
        <v>0</v>
      </c>
      <c r="R19" s="219"/>
      <c r="S19" s="238"/>
      <c r="T19" s="219"/>
      <c r="U19" s="1568" t="s">
        <v>12729</v>
      </c>
      <c r="V19" s="1569" t="s">
        <v>12731</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34" t="s">
        <v>12732</v>
      </c>
      <c r="C21" s="2715" t="s">
        <v>12733</v>
      </c>
      <c r="D21" s="2715"/>
      <c r="E21" s="2715" t="s">
        <v>12734</v>
      </c>
      <c r="F21" s="2717"/>
      <c r="G21" s="242"/>
      <c r="H21" s="242"/>
      <c r="I21" s="242"/>
      <c r="J21" s="242"/>
      <c r="K21" s="242"/>
      <c r="L21" s="238"/>
      <c r="M21" s="219"/>
      <c r="N21" s="238"/>
      <c r="O21" s="219"/>
      <c r="P21" s="219"/>
      <c r="Q21" s="219"/>
      <c r="R21" s="219"/>
      <c r="S21" s="238"/>
      <c r="T21" s="219"/>
      <c r="U21" s="2734" t="s">
        <v>12732</v>
      </c>
      <c r="V21" s="2715" t="s">
        <v>12733</v>
      </c>
      <c r="W21" s="2715"/>
      <c r="X21" s="2715" t="s">
        <v>12734</v>
      </c>
      <c r="Y21" s="2717"/>
      <c r="Z21" s="242"/>
      <c r="AA21" s="242"/>
      <c r="AB21" s="219"/>
      <c r="AC21" s="219"/>
      <c r="AD21" s="219"/>
      <c r="AE21" s="219"/>
      <c r="AF21" s="219"/>
      <c r="AG21" s="219"/>
    </row>
    <row r="22" spans="1:33" ht="15.75" customHeight="1">
      <c r="A22" s="242"/>
      <c r="B22" s="2817"/>
      <c r="C22" s="427" t="s">
        <v>12735</v>
      </c>
      <c r="D22" s="427" t="s">
        <v>12736</v>
      </c>
      <c r="E22" s="427" t="s">
        <v>12735</v>
      </c>
      <c r="F22" s="428" t="s">
        <v>12736</v>
      </c>
      <c r="G22" s="242"/>
      <c r="H22" s="242"/>
      <c r="I22" s="242"/>
      <c r="J22" s="242"/>
      <c r="K22" s="242"/>
      <c r="L22" s="238"/>
      <c r="M22" s="219"/>
      <c r="N22" s="238"/>
      <c r="O22" s="219"/>
      <c r="P22" s="219"/>
      <c r="Q22" s="219"/>
      <c r="R22" s="219"/>
      <c r="S22" s="238"/>
      <c r="T22" s="219"/>
      <c r="U22" s="2817"/>
      <c r="V22" s="427" t="s">
        <v>12735</v>
      </c>
      <c r="W22" s="427" t="s">
        <v>12736</v>
      </c>
      <c r="X22" s="427" t="s">
        <v>12735</v>
      </c>
      <c r="Y22" s="428" t="s">
        <v>12736</v>
      </c>
      <c r="Z22" s="242"/>
      <c r="AA22" s="242"/>
      <c r="AB22" s="219"/>
      <c r="AC22" s="219"/>
      <c r="AD22" s="219"/>
      <c r="AE22" s="219"/>
      <c r="AF22" s="219"/>
      <c r="AG22" s="219"/>
    </row>
    <row r="23" spans="1:33" ht="15.75" customHeight="1">
      <c r="A23" s="242"/>
      <c r="B23" s="429" t="s">
        <v>4203</v>
      </c>
      <c r="C23" s="427" t="s">
        <v>12500</v>
      </c>
      <c r="D23" s="427" t="s">
        <v>4843</v>
      </c>
      <c r="E23" s="427" t="s">
        <v>12500</v>
      </c>
      <c r="F23" s="428" t="s">
        <v>4843</v>
      </c>
      <c r="G23" s="242"/>
      <c r="H23" s="242"/>
      <c r="I23" s="242"/>
      <c r="J23" s="242"/>
      <c r="K23" s="242"/>
      <c r="L23" s="238"/>
      <c r="M23" s="219"/>
      <c r="N23" s="238"/>
      <c r="O23" s="219"/>
      <c r="P23" s="219"/>
      <c r="Q23" s="219"/>
      <c r="R23" s="219"/>
      <c r="S23" s="238"/>
      <c r="T23" s="219"/>
      <c r="U23" s="429" t="s">
        <v>4203</v>
      </c>
      <c r="V23" s="427" t="s">
        <v>12500</v>
      </c>
      <c r="W23" s="427" t="s">
        <v>4843</v>
      </c>
      <c r="X23" s="427" t="s">
        <v>12500</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12737</v>
      </c>
      <c r="C25" s="1252">
        <v>0</v>
      </c>
      <c r="D25" s="1704">
        <v>0</v>
      </c>
      <c r="E25" s="1252">
        <v>0</v>
      </c>
      <c r="F25" s="1708">
        <v>0</v>
      </c>
      <c r="G25" s="197"/>
      <c r="H25" s="832" t="s">
        <v>12738</v>
      </c>
      <c r="I25" s="242"/>
      <c r="J25" s="1231" t="s">
        <v>18540</v>
      </c>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12737</v>
      </c>
      <c r="V25" s="1252" t="s">
        <v>12739</v>
      </c>
      <c r="W25" s="860" t="s">
        <v>12740</v>
      </c>
      <c r="X25" s="1252" t="s">
        <v>12741</v>
      </c>
      <c r="Y25" s="1253" t="s">
        <v>12742</v>
      </c>
      <c r="Z25" s="197"/>
      <c r="AA25" s="242"/>
      <c r="AB25" s="219"/>
      <c r="AC25" s="219"/>
      <c r="AD25" s="219"/>
      <c r="AE25" s="219"/>
      <c r="AF25" s="219"/>
      <c r="AG25" s="219"/>
    </row>
    <row r="26" spans="1:33" ht="15.75" customHeight="1">
      <c r="A26" s="242"/>
      <c r="B26" s="833" t="s">
        <v>12743</v>
      </c>
      <c r="C26" s="1245">
        <v>0</v>
      </c>
      <c r="D26" s="1705">
        <v>0</v>
      </c>
      <c r="E26" s="1245">
        <v>0</v>
      </c>
      <c r="F26" s="1709">
        <v>0</v>
      </c>
      <c r="G26" s="197"/>
      <c r="H26" s="837" t="s">
        <v>12744</v>
      </c>
      <c r="I26" s="242"/>
      <c r="J26" s="1233" t="s">
        <v>18541</v>
      </c>
      <c r="K26" s="242"/>
      <c r="L26" s="238"/>
      <c r="M26" s="1232">
        <f t="shared" si="2"/>
        <v>0</v>
      </c>
      <c r="N26" s="238"/>
      <c r="O26" s="285">
        <f t="shared" si="3"/>
        <v>0</v>
      </c>
      <c r="P26" s="285">
        <f t="shared" si="4"/>
        <v>0</v>
      </c>
      <c r="Q26" s="285">
        <f t="shared" si="5"/>
        <v>0</v>
      </c>
      <c r="R26" s="285">
        <f t="shared" si="6"/>
        <v>0</v>
      </c>
      <c r="S26" s="238"/>
      <c r="T26" s="219"/>
      <c r="U26" s="833" t="s">
        <v>12743</v>
      </c>
      <c r="V26" s="1245" t="s">
        <v>12745</v>
      </c>
      <c r="W26" s="841" t="s">
        <v>12746</v>
      </c>
      <c r="X26" s="1245" t="s">
        <v>12747</v>
      </c>
      <c r="Y26" s="1254" t="s">
        <v>12748</v>
      </c>
      <c r="Z26" s="197"/>
      <c r="AA26" s="242"/>
      <c r="AB26" s="219"/>
      <c r="AC26" s="219"/>
      <c r="AD26" s="219"/>
      <c r="AE26" s="219"/>
      <c r="AF26" s="219"/>
      <c r="AG26" s="219"/>
    </row>
    <row r="27" spans="1:33" ht="15.75" customHeight="1">
      <c r="A27" s="242"/>
      <c r="B27" s="833" t="s">
        <v>12749</v>
      </c>
      <c r="C27" s="1245">
        <v>0</v>
      </c>
      <c r="D27" s="1705">
        <v>0</v>
      </c>
      <c r="E27" s="1245">
        <v>0</v>
      </c>
      <c r="F27" s="1709">
        <v>0</v>
      </c>
      <c r="G27" s="197"/>
      <c r="H27" s="837" t="s">
        <v>12750</v>
      </c>
      <c r="I27" s="242"/>
      <c r="J27" s="1233" t="s">
        <v>18541</v>
      </c>
      <c r="K27" s="242"/>
      <c r="L27" s="238"/>
      <c r="M27" s="1232">
        <f t="shared" si="2"/>
        <v>0</v>
      </c>
      <c r="N27" s="238"/>
      <c r="O27" s="285">
        <f t="shared" si="3"/>
        <v>0</v>
      </c>
      <c r="P27" s="285">
        <f t="shared" si="4"/>
        <v>0</v>
      </c>
      <c r="Q27" s="285">
        <f t="shared" si="5"/>
        <v>0</v>
      </c>
      <c r="R27" s="285">
        <f t="shared" si="6"/>
        <v>0</v>
      </c>
      <c r="S27" s="238"/>
      <c r="T27" s="219"/>
      <c r="U27" s="833" t="s">
        <v>12749</v>
      </c>
      <c r="V27" s="1245" t="s">
        <v>12751</v>
      </c>
      <c r="W27" s="841" t="s">
        <v>12752</v>
      </c>
      <c r="X27" s="1245" t="s">
        <v>12753</v>
      </c>
      <c r="Y27" s="1254" t="s">
        <v>12754</v>
      </c>
      <c r="Z27" s="197"/>
      <c r="AA27" s="242"/>
      <c r="AB27" s="219"/>
      <c r="AC27" s="219"/>
      <c r="AD27" s="219"/>
      <c r="AE27" s="219"/>
      <c r="AF27" s="219"/>
      <c r="AG27" s="219"/>
    </row>
    <row r="28" spans="1:33" ht="15.75" customHeight="1">
      <c r="A28" s="242"/>
      <c r="B28" s="833" t="s">
        <v>12755</v>
      </c>
      <c r="C28" s="1245">
        <v>7.1140830385973217</v>
      </c>
      <c r="D28" s="1705">
        <v>2</v>
      </c>
      <c r="E28" s="1245">
        <v>0</v>
      </c>
      <c r="F28" s="1709">
        <v>0</v>
      </c>
      <c r="G28" s="197"/>
      <c r="H28" s="837" t="s">
        <v>12756</v>
      </c>
      <c r="I28" s="242"/>
      <c r="J28" s="1233" t="s">
        <v>18541</v>
      </c>
      <c r="K28" s="242"/>
      <c r="L28" s="238"/>
      <c r="M28" s="1232">
        <f t="shared" si="2"/>
        <v>0</v>
      </c>
      <c r="N28" s="238"/>
      <c r="O28" s="285">
        <f t="shared" si="3"/>
        <v>0</v>
      </c>
      <c r="P28" s="285">
        <f t="shared" si="4"/>
        <v>0</v>
      </c>
      <c r="Q28" s="285">
        <f t="shared" si="5"/>
        <v>0</v>
      </c>
      <c r="R28" s="285">
        <f t="shared" si="6"/>
        <v>0</v>
      </c>
      <c r="S28" s="238"/>
      <c r="T28" s="219"/>
      <c r="U28" s="833" t="s">
        <v>12755</v>
      </c>
      <c r="V28" s="1245" t="s">
        <v>12757</v>
      </c>
      <c r="W28" s="841" t="s">
        <v>12758</v>
      </c>
      <c r="X28" s="1245" t="s">
        <v>12759</v>
      </c>
      <c r="Y28" s="1254" t="s">
        <v>12760</v>
      </c>
      <c r="Z28" s="197"/>
      <c r="AA28" s="242"/>
      <c r="AB28" s="219"/>
      <c r="AC28" s="219"/>
      <c r="AD28" s="219"/>
      <c r="AE28" s="219"/>
      <c r="AF28" s="219"/>
      <c r="AG28" s="219"/>
    </row>
    <row r="29" spans="1:33" ht="15.75" customHeight="1">
      <c r="A29" s="242"/>
      <c r="B29" s="833" t="s">
        <v>12761</v>
      </c>
      <c r="C29" s="1245">
        <v>359.72682740806675</v>
      </c>
      <c r="D29" s="1705">
        <v>23</v>
      </c>
      <c r="E29" s="1245">
        <v>20.723205411283072</v>
      </c>
      <c r="F29" s="1709">
        <v>9</v>
      </c>
      <c r="G29" s="197"/>
      <c r="H29" s="837" t="s">
        <v>12762</v>
      </c>
      <c r="I29" s="242"/>
      <c r="J29" s="1233" t="s">
        <v>18541</v>
      </c>
      <c r="K29" s="242"/>
      <c r="L29" s="238"/>
      <c r="M29" s="1232">
        <f t="shared" si="2"/>
        <v>0</v>
      </c>
      <c r="N29" s="238"/>
      <c r="O29" s="285">
        <f t="shared" si="3"/>
        <v>0</v>
      </c>
      <c r="P29" s="285">
        <f t="shared" si="4"/>
        <v>0</v>
      </c>
      <c r="Q29" s="285">
        <f t="shared" si="5"/>
        <v>0</v>
      </c>
      <c r="R29" s="285">
        <f t="shared" si="6"/>
        <v>0</v>
      </c>
      <c r="S29" s="238"/>
      <c r="T29" s="219"/>
      <c r="U29" s="833" t="s">
        <v>12761</v>
      </c>
      <c r="V29" s="1245" t="s">
        <v>12763</v>
      </c>
      <c r="W29" s="841" t="s">
        <v>12764</v>
      </c>
      <c r="X29" s="1245" t="s">
        <v>12765</v>
      </c>
      <c r="Y29" s="1254" t="s">
        <v>12766</v>
      </c>
      <c r="Z29" s="197"/>
      <c r="AA29" s="242"/>
      <c r="AB29" s="219"/>
      <c r="AC29" s="219"/>
      <c r="AD29" s="219"/>
      <c r="AE29" s="219"/>
      <c r="AF29" s="219"/>
      <c r="AG29" s="219"/>
    </row>
    <row r="30" spans="1:33" ht="15.75" customHeight="1">
      <c r="A30" s="242"/>
      <c r="B30" s="833" t="s">
        <v>12767</v>
      </c>
      <c r="C30" s="1245">
        <v>481.36252566787374</v>
      </c>
      <c r="D30" s="1705">
        <v>25</v>
      </c>
      <c r="E30" s="1245">
        <v>8.7992865756466241</v>
      </c>
      <c r="F30" s="1709">
        <v>6</v>
      </c>
      <c r="G30" s="197"/>
      <c r="H30" s="837" t="s">
        <v>12768</v>
      </c>
      <c r="I30" s="242"/>
      <c r="J30" s="1233" t="s">
        <v>18541</v>
      </c>
      <c r="K30" s="242"/>
      <c r="L30" s="238"/>
      <c r="M30" s="1232">
        <f t="shared" si="2"/>
        <v>0</v>
      </c>
      <c r="N30" s="238"/>
      <c r="O30" s="285">
        <f t="shared" si="3"/>
        <v>0</v>
      </c>
      <c r="P30" s="285">
        <f t="shared" si="4"/>
        <v>0</v>
      </c>
      <c r="Q30" s="285">
        <f t="shared" si="5"/>
        <v>0</v>
      </c>
      <c r="R30" s="285">
        <f t="shared" si="6"/>
        <v>0</v>
      </c>
      <c r="S30" s="238"/>
      <c r="T30" s="219"/>
      <c r="U30" s="833" t="s">
        <v>12767</v>
      </c>
      <c r="V30" s="1245" t="s">
        <v>12769</v>
      </c>
      <c r="W30" s="841" t="s">
        <v>12770</v>
      </c>
      <c r="X30" s="1245" t="s">
        <v>12771</v>
      </c>
      <c r="Y30" s="1254" t="s">
        <v>12772</v>
      </c>
      <c r="Z30" s="197"/>
      <c r="AA30" s="242"/>
      <c r="AB30" s="219"/>
      <c r="AC30" s="219"/>
      <c r="AD30" s="219"/>
      <c r="AE30" s="219"/>
      <c r="AF30" s="219"/>
      <c r="AG30" s="219"/>
    </row>
    <row r="31" spans="1:33" ht="15.75" customHeight="1" thickBot="1">
      <c r="A31" s="242"/>
      <c r="B31" s="868" t="s">
        <v>12773</v>
      </c>
      <c r="C31" s="1255">
        <v>0</v>
      </c>
      <c r="D31" s="1707">
        <v>0</v>
      </c>
      <c r="E31" s="1255">
        <v>0</v>
      </c>
      <c r="F31" s="1710">
        <v>0</v>
      </c>
      <c r="G31" s="197"/>
      <c r="H31" s="847" t="s">
        <v>12774</v>
      </c>
      <c r="I31" s="242"/>
      <c r="J31" s="1237" t="s">
        <v>18541</v>
      </c>
      <c r="K31" s="242"/>
      <c r="L31" s="238"/>
      <c r="M31" s="1232">
        <f t="shared" si="2"/>
        <v>0</v>
      </c>
      <c r="N31" s="238"/>
      <c r="O31" s="285">
        <f t="shared" si="3"/>
        <v>0</v>
      </c>
      <c r="P31" s="285">
        <f t="shared" si="4"/>
        <v>0</v>
      </c>
      <c r="Q31" s="285">
        <f t="shared" si="5"/>
        <v>0</v>
      </c>
      <c r="R31" s="285">
        <f t="shared" si="6"/>
        <v>0</v>
      </c>
      <c r="S31" s="238"/>
      <c r="T31" s="219"/>
      <c r="U31" s="868" t="s">
        <v>12773</v>
      </c>
      <c r="V31" s="1255" t="s">
        <v>12775</v>
      </c>
      <c r="W31" s="1246" t="s">
        <v>12776</v>
      </c>
      <c r="X31" s="1255" t="s">
        <v>12777</v>
      </c>
      <c r="Y31" s="1256" t="s">
        <v>12778</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12779</v>
      </c>
      <c r="C33" s="670" t="s">
        <v>12780</v>
      </c>
      <c r="D33" s="671" t="s">
        <v>12736</v>
      </c>
      <c r="E33" s="482"/>
      <c r="F33" s="482"/>
      <c r="G33" s="106"/>
      <c r="H33" s="242"/>
      <c r="I33" s="242"/>
      <c r="J33" s="242"/>
      <c r="K33" s="242"/>
      <c r="L33" s="238"/>
      <c r="M33" s="219"/>
      <c r="N33" s="238"/>
      <c r="O33" s="219"/>
      <c r="P33" s="219"/>
      <c r="Q33" s="219"/>
      <c r="R33" s="219"/>
      <c r="S33" s="238"/>
      <c r="T33" s="219"/>
      <c r="U33" s="1257" t="s">
        <v>12779</v>
      </c>
      <c r="V33" s="670" t="s">
        <v>12781</v>
      </c>
      <c r="W33" s="671" t="s">
        <v>12782</v>
      </c>
      <c r="X33" s="482"/>
      <c r="Y33" s="482"/>
      <c r="Z33" s="106"/>
      <c r="AA33" s="242"/>
      <c r="AB33" s="219"/>
      <c r="AC33" s="219"/>
      <c r="AD33" s="219"/>
      <c r="AE33" s="219"/>
      <c r="AF33" s="219"/>
      <c r="AG33" s="219"/>
    </row>
    <row r="34" spans="1:33" ht="15.75" customHeight="1">
      <c r="A34" s="242"/>
      <c r="B34" s="429" t="s">
        <v>4203</v>
      </c>
      <c r="C34" s="427" t="s">
        <v>12783</v>
      </c>
      <c r="D34" s="428" t="s">
        <v>4843</v>
      </c>
      <c r="E34" s="482"/>
      <c r="F34" s="482"/>
      <c r="G34" s="106"/>
      <c r="H34" s="242"/>
      <c r="I34" s="242"/>
      <c r="J34" s="242"/>
      <c r="K34" s="242"/>
      <c r="L34" s="238"/>
      <c r="M34" s="219"/>
      <c r="N34" s="238"/>
      <c r="O34" s="219"/>
      <c r="P34" s="219"/>
      <c r="Q34" s="219"/>
      <c r="R34" s="219"/>
      <c r="S34" s="238"/>
      <c r="T34" s="219"/>
      <c r="U34" s="429" t="s">
        <v>4203</v>
      </c>
      <c r="V34" s="427" t="s">
        <v>12783</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12784</v>
      </c>
      <c r="C36" s="1571">
        <v>0.16840300268741196</v>
      </c>
      <c r="D36" s="1704">
        <v>7</v>
      </c>
      <c r="E36" s="1258"/>
      <c r="F36" s="1259"/>
      <c r="G36" s="197"/>
      <c r="H36" s="832" t="s">
        <v>12785</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12784</v>
      </c>
      <c r="V36" s="1570" t="s">
        <v>12786</v>
      </c>
      <c r="W36" s="1565" t="s">
        <v>12787</v>
      </c>
      <c r="X36" s="871"/>
      <c r="Y36" s="871"/>
      <c r="Z36" s="197"/>
      <c r="AA36" s="242"/>
      <c r="AB36" s="219"/>
      <c r="AC36" s="219"/>
      <c r="AD36" s="219"/>
      <c r="AE36" s="219"/>
      <c r="AF36" s="219"/>
      <c r="AG36" s="219"/>
    </row>
    <row r="37" spans="1:33" ht="15.75" customHeight="1">
      <c r="A37" s="242"/>
      <c r="B37" s="833" t="s">
        <v>12788</v>
      </c>
      <c r="C37" s="1572">
        <v>2.9883643956905148</v>
      </c>
      <c r="D37" s="1705">
        <v>16</v>
      </c>
      <c r="E37" s="1260"/>
      <c r="F37" s="1261"/>
      <c r="G37" s="197"/>
      <c r="H37" s="837" t="s">
        <v>12789</v>
      </c>
      <c r="I37" s="242"/>
      <c r="J37" s="1233"/>
      <c r="K37" s="242"/>
      <c r="L37" s="238"/>
      <c r="M37" s="1232">
        <f t="shared" si="7"/>
        <v>0</v>
      </c>
      <c r="N37" s="238"/>
      <c r="O37" s="285">
        <f t="shared" si="8"/>
        <v>0</v>
      </c>
      <c r="P37" s="285">
        <f t="shared" si="9"/>
        <v>0</v>
      </c>
      <c r="Q37" s="219"/>
      <c r="R37" s="219"/>
      <c r="S37" s="238"/>
      <c r="T37" s="219"/>
      <c r="U37" s="1566" t="s">
        <v>12788</v>
      </c>
      <c r="V37" s="1563" t="s">
        <v>12790</v>
      </c>
      <c r="W37" s="1567" t="s">
        <v>12791</v>
      </c>
      <c r="X37" s="871"/>
      <c r="Y37" s="871"/>
      <c r="Z37" s="197"/>
      <c r="AA37" s="242"/>
      <c r="AB37" s="219"/>
      <c r="AC37" s="219"/>
      <c r="AD37" s="219"/>
      <c r="AE37" s="219"/>
      <c r="AF37" s="219"/>
      <c r="AG37" s="219"/>
    </row>
    <row r="38" spans="1:33" ht="15.75" customHeight="1">
      <c r="A38" s="242"/>
      <c r="B38" s="833" t="s">
        <v>12792</v>
      </c>
      <c r="C38" s="1572">
        <v>2.8646510293862484</v>
      </c>
      <c r="D38" s="1705">
        <v>8</v>
      </c>
      <c r="E38" s="1260"/>
      <c r="F38" s="1261"/>
      <c r="G38" s="197"/>
      <c r="H38" s="837" t="s">
        <v>12793</v>
      </c>
      <c r="I38" s="242"/>
      <c r="J38" s="1233"/>
      <c r="K38" s="242"/>
      <c r="L38" s="238"/>
      <c r="M38" s="1232">
        <f t="shared" si="7"/>
        <v>0</v>
      </c>
      <c r="N38" s="238"/>
      <c r="O38" s="285">
        <f t="shared" si="8"/>
        <v>0</v>
      </c>
      <c r="P38" s="285">
        <f t="shared" si="9"/>
        <v>0</v>
      </c>
      <c r="Q38" s="219"/>
      <c r="R38" s="219"/>
      <c r="S38" s="238"/>
      <c r="T38" s="219"/>
      <c r="U38" s="1566" t="s">
        <v>12792</v>
      </c>
      <c r="V38" s="1563" t="s">
        <v>12794</v>
      </c>
      <c r="W38" s="1567" t="s">
        <v>12795</v>
      </c>
      <c r="X38" s="871"/>
      <c r="Y38" s="871"/>
      <c r="Z38" s="197"/>
      <c r="AA38" s="242"/>
      <c r="AB38" s="219"/>
      <c r="AC38" s="219"/>
      <c r="AD38" s="219"/>
      <c r="AE38" s="219"/>
      <c r="AF38" s="219"/>
      <c r="AG38" s="219"/>
    </row>
    <row r="39" spans="1:33" ht="15.75" customHeight="1">
      <c r="A39" s="242"/>
      <c r="B39" s="833" t="s">
        <v>12796</v>
      </c>
      <c r="C39" s="1572">
        <v>9.340303810448134</v>
      </c>
      <c r="D39" s="1705">
        <v>11</v>
      </c>
      <c r="E39" s="1260"/>
      <c r="F39" s="1261"/>
      <c r="G39" s="197"/>
      <c r="H39" s="837" t="s">
        <v>12797</v>
      </c>
      <c r="I39" s="242"/>
      <c r="J39" s="1233"/>
      <c r="K39" s="242"/>
      <c r="L39" s="238"/>
      <c r="M39" s="1232">
        <f t="shared" si="7"/>
        <v>0</v>
      </c>
      <c r="N39" s="238"/>
      <c r="O39" s="285">
        <f t="shared" si="8"/>
        <v>0</v>
      </c>
      <c r="P39" s="285">
        <f t="shared" si="9"/>
        <v>0</v>
      </c>
      <c r="Q39" s="219"/>
      <c r="R39" s="219"/>
      <c r="S39" s="238"/>
      <c r="T39" s="219"/>
      <c r="U39" s="1566" t="s">
        <v>12796</v>
      </c>
      <c r="V39" s="1563" t="s">
        <v>12798</v>
      </c>
      <c r="W39" s="1567" t="s">
        <v>12799</v>
      </c>
      <c r="X39" s="871"/>
      <c r="Y39" s="871"/>
      <c r="Z39" s="197"/>
      <c r="AA39" s="242"/>
      <c r="AB39" s="219"/>
      <c r="AC39" s="219"/>
      <c r="AD39" s="219"/>
      <c r="AE39" s="219"/>
      <c r="AF39" s="219"/>
      <c r="AG39" s="219"/>
    </row>
    <row r="40" spans="1:33" ht="15.75" customHeight="1">
      <c r="A40" s="242"/>
      <c r="B40" s="833" t="s">
        <v>12800</v>
      </c>
      <c r="C40" s="1572">
        <v>12.675525382772765</v>
      </c>
      <c r="D40" s="1705">
        <v>9</v>
      </c>
      <c r="E40" s="1260"/>
      <c r="F40" s="1261"/>
      <c r="G40" s="197"/>
      <c r="H40" s="837" t="s">
        <v>12801</v>
      </c>
      <c r="I40" s="242"/>
      <c r="J40" s="1233"/>
      <c r="K40" s="242"/>
      <c r="L40" s="238"/>
      <c r="M40" s="1232">
        <f t="shared" si="7"/>
        <v>0</v>
      </c>
      <c r="N40" s="238"/>
      <c r="O40" s="285">
        <f t="shared" si="8"/>
        <v>0</v>
      </c>
      <c r="P40" s="285">
        <f t="shared" si="9"/>
        <v>0</v>
      </c>
      <c r="Q40" s="219"/>
      <c r="R40" s="219"/>
      <c r="S40" s="238"/>
      <c r="T40" s="219"/>
      <c r="U40" s="1566" t="s">
        <v>12800</v>
      </c>
      <c r="V40" s="1563" t="s">
        <v>12802</v>
      </c>
      <c r="W40" s="1567" t="s">
        <v>12803</v>
      </c>
      <c r="X40" s="871"/>
      <c r="Y40" s="871"/>
      <c r="Z40" s="197"/>
      <c r="AA40" s="242"/>
      <c r="AB40" s="219"/>
      <c r="AC40" s="219"/>
      <c r="AD40" s="219"/>
      <c r="AE40" s="219"/>
      <c r="AF40" s="219"/>
      <c r="AG40" s="219"/>
    </row>
    <row r="41" spans="1:33" ht="15.75" customHeight="1">
      <c r="A41" s="242"/>
      <c r="B41" s="833" t="s">
        <v>12804</v>
      </c>
      <c r="C41" s="1572">
        <v>26.930259064777406</v>
      </c>
      <c r="D41" s="1705">
        <v>10</v>
      </c>
      <c r="E41" s="1260"/>
      <c r="F41" s="1261"/>
      <c r="G41" s="197"/>
      <c r="H41" s="837" t="s">
        <v>12805</v>
      </c>
      <c r="I41" s="242"/>
      <c r="J41" s="1233"/>
      <c r="K41" s="242"/>
      <c r="L41" s="238"/>
      <c r="M41" s="1232">
        <f t="shared" si="7"/>
        <v>0</v>
      </c>
      <c r="N41" s="238"/>
      <c r="O41" s="285">
        <f t="shared" si="8"/>
        <v>0</v>
      </c>
      <c r="P41" s="285">
        <f t="shared" si="9"/>
        <v>0</v>
      </c>
      <c r="Q41" s="219"/>
      <c r="R41" s="219"/>
      <c r="S41" s="238"/>
      <c r="T41" s="219"/>
      <c r="U41" s="1566" t="s">
        <v>12804</v>
      </c>
      <c r="V41" s="1563" t="s">
        <v>12806</v>
      </c>
      <c r="W41" s="1567" t="s">
        <v>12807</v>
      </c>
      <c r="X41" s="871"/>
      <c r="Y41" s="871"/>
      <c r="Z41" s="197"/>
      <c r="AA41" s="242"/>
      <c r="AB41" s="219"/>
      <c r="AC41" s="219"/>
      <c r="AD41" s="219"/>
      <c r="AE41" s="219"/>
      <c r="AF41" s="219"/>
      <c r="AG41" s="219"/>
    </row>
    <row r="42" spans="1:33" ht="15.75" customHeight="1">
      <c r="A42" s="242"/>
      <c r="B42" s="833" t="s">
        <v>12808</v>
      </c>
      <c r="C42" s="1572">
        <v>16.16737615154555</v>
      </c>
      <c r="D42" s="1705">
        <v>2</v>
      </c>
      <c r="E42" s="1260"/>
      <c r="F42" s="1261"/>
      <c r="G42" s="197"/>
      <c r="H42" s="837" t="s">
        <v>12809</v>
      </c>
      <c r="I42" s="242"/>
      <c r="J42" s="1233"/>
      <c r="K42" s="242"/>
      <c r="L42" s="238"/>
      <c r="M42" s="1232">
        <f t="shared" si="7"/>
        <v>0</v>
      </c>
      <c r="N42" s="238"/>
      <c r="O42" s="285">
        <f t="shared" si="8"/>
        <v>0</v>
      </c>
      <c r="P42" s="285">
        <f t="shared" si="9"/>
        <v>0</v>
      </c>
      <c r="Q42" s="219"/>
      <c r="R42" s="219"/>
      <c r="S42" s="238"/>
      <c r="T42" s="219"/>
      <c r="U42" s="1566" t="s">
        <v>12808</v>
      </c>
      <c r="V42" s="1563" t="s">
        <v>12810</v>
      </c>
      <c r="W42" s="1567" t="s">
        <v>12811</v>
      </c>
      <c r="X42" s="871"/>
      <c r="Y42" s="871"/>
      <c r="Z42" s="197"/>
      <c r="AA42" s="242"/>
      <c r="AB42" s="219"/>
      <c r="AC42" s="219"/>
      <c r="AD42" s="219"/>
      <c r="AE42" s="219"/>
      <c r="AF42" s="219"/>
      <c r="AG42" s="219"/>
    </row>
    <row r="43" spans="1:33" ht="15.75" customHeight="1" thickBot="1">
      <c r="A43" s="242"/>
      <c r="B43" s="868" t="s">
        <v>12812</v>
      </c>
      <c r="C43" s="1706">
        <v>28.865117162691973</v>
      </c>
      <c r="D43" s="1707">
        <v>2</v>
      </c>
      <c r="E43" s="1262"/>
      <c r="F43" s="1263"/>
      <c r="G43" s="197"/>
      <c r="H43" s="847" t="s">
        <v>12813</v>
      </c>
      <c r="I43" s="242"/>
      <c r="J43" s="1237"/>
      <c r="K43" s="242"/>
      <c r="L43" s="238"/>
      <c r="M43" s="1232">
        <f t="shared" si="7"/>
        <v>0</v>
      </c>
      <c r="N43" s="238"/>
      <c r="O43" s="285">
        <f t="shared" si="8"/>
        <v>0</v>
      </c>
      <c r="P43" s="285">
        <f t="shared" si="9"/>
        <v>0</v>
      </c>
      <c r="Q43" s="219"/>
      <c r="R43" s="219"/>
      <c r="S43" s="238"/>
      <c r="T43" s="219"/>
      <c r="U43" s="1568" t="s">
        <v>12812</v>
      </c>
      <c r="V43" s="2564" t="s">
        <v>12814</v>
      </c>
      <c r="W43" s="2341" t="s">
        <v>12815</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12816</v>
      </c>
      <c r="C45" s="446" t="s">
        <v>4203</v>
      </c>
      <c r="D45" s="446" t="s">
        <v>4204</v>
      </c>
      <c r="E45" s="447" t="s">
        <v>12497</v>
      </c>
      <c r="F45" s="242"/>
      <c r="G45" s="106"/>
      <c r="H45" s="242"/>
      <c r="I45" s="242"/>
      <c r="J45" s="242"/>
      <c r="K45" s="242"/>
      <c r="L45" s="238"/>
      <c r="M45" s="219"/>
      <c r="N45" s="238"/>
      <c r="O45" s="219"/>
      <c r="P45" s="219"/>
      <c r="Q45" s="219"/>
      <c r="R45" s="219"/>
      <c r="S45" s="238"/>
      <c r="T45" s="219"/>
      <c r="U45" s="445" t="s">
        <v>12816</v>
      </c>
      <c r="V45" s="447" t="s">
        <v>12497</v>
      </c>
      <c r="W45" s="482"/>
      <c r="X45" s="482"/>
      <c r="Y45" s="242"/>
      <c r="Z45" s="106"/>
      <c r="AA45" s="242"/>
      <c r="AB45" s="219"/>
      <c r="AC45" s="219"/>
      <c r="AD45" s="219"/>
      <c r="AE45" s="219"/>
      <c r="AF45" s="219"/>
      <c r="AG45" s="219"/>
    </row>
    <row r="46" spans="1:33" ht="15.75" customHeight="1" thickTop="1">
      <c r="A46" s="242"/>
      <c r="B46" s="2417" t="s">
        <v>12817</v>
      </c>
      <c r="C46" s="788" t="s">
        <v>12500</v>
      </c>
      <c r="D46" s="788">
        <v>2</v>
      </c>
      <c r="E46" s="1252">
        <v>1291.8699999999999</v>
      </c>
      <c r="F46" s="1243"/>
      <c r="G46" s="197"/>
      <c r="H46" s="2565" t="s">
        <v>4180</v>
      </c>
      <c r="I46" s="242"/>
      <c r="J46" s="2340"/>
      <c r="K46" s="242"/>
      <c r="L46" s="238"/>
      <c r="M46" s="1232">
        <f>IF( SUM( O46:R46 ) = 0, 0, $O$5 )</f>
        <v>0</v>
      </c>
      <c r="N46" s="238"/>
      <c r="O46" s="219"/>
      <c r="P46" s="219"/>
      <c r="Q46" s="285">
        <f xml:space="preserve"> IF( ISNUMBER(E46 ), 0, 1 )</f>
        <v>0</v>
      </c>
      <c r="R46" s="219"/>
      <c r="S46" s="238"/>
      <c r="T46" s="219"/>
      <c r="U46" s="2417" t="s">
        <v>12818</v>
      </c>
      <c r="V46" s="2566" t="s">
        <v>18520</v>
      </c>
      <c r="W46" s="871"/>
      <c r="X46" s="871"/>
      <c r="Y46" s="242"/>
      <c r="Z46" s="197"/>
      <c r="AA46" s="242"/>
      <c r="AB46" s="219"/>
      <c r="AC46" s="219"/>
      <c r="AD46" s="219"/>
      <c r="AE46" s="219"/>
      <c r="AF46" s="219"/>
      <c r="AG46" s="219"/>
    </row>
    <row r="47" spans="1:33" ht="40.5" customHeight="1">
      <c r="A47" s="242"/>
      <c r="B47" s="2377" t="s">
        <v>12819</v>
      </c>
      <c r="C47" s="834" t="s">
        <v>12500</v>
      </c>
      <c r="D47" s="834">
        <v>2</v>
      </c>
      <c r="E47" s="1245">
        <v>0</v>
      </c>
      <c r="F47" s="1244"/>
      <c r="G47" s="197"/>
      <c r="H47" s="2567" t="s">
        <v>12820</v>
      </c>
      <c r="I47" s="242"/>
      <c r="J47" s="2331"/>
      <c r="K47" s="242"/>
      <c r="L47" s="238"/>
      <c r="M47" s="1232">
        <f t="shared" ref="M47:M48" si="10">IF( SUM( O47:R47 ) = 0, 0, $O$5 )</f>
        <v>0</v>
      </c>
      <c r="N47" s="238"/>
      <c r="O47" s="219"/>
      <c r="P47" s="219"/>
      <c r="Q47" s="285"/>
      <c r="R47" s="219"/>
      <c r="S47" s="238"/>
      <c r="T47" s="219"/>
      <c r="U47" s="2377" t="s">
        <v>12821</v>
      </c>
      <c r="V47" s="2418" t="s">
        <v>12822</v>
      </c>
      <c r="W47" s="871"/>
      <c r="X47" s="871"/>
      <c r="Y47" s="242"/>
      <c r="Z47" s="197"/>
      <c r="AA47" s="242"/>
      <c r="AB47" s="219"/>
      <c r="AC47" s="219"/>
      <c r="AD47" s="219"/>
      <c r="AE47" s="219"/>
      <c r="AF47" s="219"/>
      <c r="AG47" s="219"/>
    </row>
    <row r="48" spans="1:33" ht="40.5" customHeight="1">
      <c r="A48" s="242"/>
      <c r="B48" s="2377" t="s">
        <v>12823</v>
      </c>
      <c r="C48" s="834" t="s">
        <v>12500</v>
      </c>
      <c r="D48" s="834">
        <v>2</v>
      </c>
      <c r="E48" s="1245">
        <v>0</v>
      </c>
      <c r="F48" s="1244"/>
      <c r="G48" s="197"/>
      <c r="H48" s="2567" t="s">
        <v>12824</v>
      </c>
      <c r="I48" s="242"/>
      <c r="J48" s="2331"/>
      <c r="K48" s="242"/>
      <c r="L48" s="238"/>
      <c r="M48" s="1232">
        <f t="shared" si="10"/>
        <v>0</v>
      </c>
      <c r="N48" s="238"/>
      <c r="O48" s="219"/>
      <c r="P48" s="219"/>
      <c r="Q48" s="285"/>
      <c r="R48" s="219"/>
      <c r="S48" s="238"/>
      <c r="T48" s="219"/>
      <c r="U48" s="2377" t="s">
        <v>12825</v>
      </c>
      <c r="V48" s="2418" t="s">
        <v>12826</v>
      </c>
      <c r="W48" s="871"/>
      <c r="X48" s="871"/>
      <c r="Y48" s="242"/>
      <c r="Z48" s="197"/>
      <c r="AA48" s="242"/>
      <c r="AB48" s="219"/>
      <c r="AC48" s="219"/>
      <c r="AD48" s="219"/>
      <c r="AE48" s="219"/>
      <c r="AF48" s="219"/>
      <c r="AG48" s="219"/>
    </row>
    <row r="49" spans="1:33" ht="15.75" customHeight="1">
      <c r="A49" s="242"/>
      <c r="B49" s="833" t="s">
        <v>12827</v>
      </c>
      <c r="C49" s="834" t="s">
        <v>12500</v>
      </c>
      <c r="D49" s="834">
        <v>2</v>
      </c>
      <c r="E49" s="1245">
        <v>0</v>
      </c>
      <c r="F49" s="1244"/>
      <c r="G49" s="197"/>
      <c r="H49" s="2567" t="s">
        <v>12828</v>
      </c>
      <c r="I49" s="242"/>
      <c r="J49" s="2322"/>
      <c r="K49" s="242"/>
      <c r="L49" s="238"/>
      <c r="M49" s="1232">
        <f t="shared" ref="M49:M57" si="11">IF( SUM( O49:R49 ) = 0, 0, $O$5 )</f>
        <v>0</v>
      </c>
      <c r="N49" s="238"/>
      <c r="O49" s="219"/>
      <c r="P49" s="219"/>
      <c r="Q49" s="285">
        <f xml:space="preserve"> IF( ISNUMBER(E49 ), 0, 1 )</f>
        <v>0</v>
      </c>
      <c r="R49" s="219"/>
      <c r="S49" s="238"/>
      <c r="T49" s="219"/>
      <c r="U49" s="833" t="s">
        <v>12827</v>
      </c>
      <c r="V49" s="2568" t="s">
        <v>12829</v>
      </c>
      <c r="W49" s="871"/>
      <c r="X49" s="871"/>
      <c r="Y49" s="242"/>
      <c r="Z49" s="197"/>
      <c r="AA49" s="242"/>
      <c r="AB49" s="219"/>
      <c r="AC49" s="219"/>
      <c r="AD49" s="219"/>
      <c r="AE49" s="219"/>
      <c r="AF49" s="219"/>
      <c r="AG49" s="219"/>
    </row>
    <row r="50" spans="1:33" ht="32.25" customHeight="1">
      <c r="A50" s="242"/>
      <c r="B50" s="833" t="s">
        <v>12830</v>
      </c>
      <c r="C50" s="834" t="s">
        <v>4843</v>
      </c>
      <c r="D50" s="834">
        <v>0</v>
      </c>
      <c r="E50" s="1705">
        <v>0</v>
      </c>
      <c r="F50" s="1244"/>
      <c r="G50" s="197"/>
      <c r="H50" s="2567" t="s">
        <v>12831</v>
      </c>
      <c r="I50" s="242"/>
      <c r="J50" s="1233" t="s">
        <v>18542</v>
      </c>
      <c r="K50" s="242"/>
      <c r="L50" s="238"/>
      <c r="M50" s="1232">
        <f t="shared" si="11"/>
        <v>0</v>
      </c>
      <c r="N50" s="238"/>
      <c r="O50" s="219"/>
      <c r="P50" s="219"/>
      <c r="Q50" s="285">
        <f t="shared" ref="Q50:Q57" si="12" xml:space="preserve"> IF( ISNUMBER(E50 ), 0, 1 )</f>
        <v>0</v>
      </c>
      <c r="R50" s="219"/>
      <c r="S50" s="238"/>
      <c r="T50" s="219"/>
      <c r="U50" s="833" t="s">
        <v>12830</v>
      </c>
      <c r="V50" s="2568" t="s">
        <v>12832</v>
      </c>
      <c r="W50" s="871"/>
      <c r="X50" s="871"/>
      <c r="Y50" s="242"/>
      <c r="Z50" s="197"/>
      <c r="AA50" s="242"/>
      <c r="AB50" s="219"/>
      <c r="AC50" s="219"/>
      <c r="AD50" s="219"/>
      <c r="AE50" s="219"/>
      <c r="AF50" s="219"/>
      <c r="AG50" s="219"/>
    </row>
    <row r="51" spans="1:33" ht="15.75" customHeight="1">
      <c r="A51" s="242"/>
      <c r="B51" s="833" t="s">
        <v>12833</v>
      </c>
      <c r="C51" s="834" t="s">
        <v>12834</v>
      </c>
      <c r="D51" s="834">
        <v>3</v>
      </c>
      <c r="E51" s="878">
        <v>3062.598</v>
      </c>
      <c r="F51" s="1244"/>
      <c r="G51" s="197"/>
      <c r="H51" s="2567" t="s">
        <v>12835</v>
      </c>
      <c r="I51" s="242"/>
      <c r="J51" s="1233"/>
      <c r="K51" s="242"/>
      <c r="L51" s="238"/>
      <c r="M51" s="1232">
        <f t="shared" si="11"/>
        <v>0</v>
      </c>
      <c r="N51" s="238"/>
      <c r="O51" s="219"/>
      <c r="P51" s="219"/>
      <c r="Q51" s="285">
        <f t="shared" si="12"/>
        <v>0</v>
      </c>
      <c r="R51" s="219"/>
      <c r="S51" s="238"/>
      <c r="T51" s="219"/>
      <c r="U51" s="833" t="s">
        <v>12833</v>
      </c>
      <c r="V51" s="2568" t="s">
        <v>12836</v>
      </c>
      <c r="W51" s="871"/>
      <c r="X51" s="871"/>
      <c r="Y51" s="242"/>
      <c r="Z51" s="197"/>
      <c r="AA51" s="242"/>
      <c r="AB51" s="219"/>
      <c r="AC51" s="219"/>
      <c r="AD51" s="219"/>
      <c r="AE51" s="219"/>
      <c r="AF51" s="219"/>
      <c r="AG51" s="219"/>
    </row>
    <row r="52" spans="1:33" ht="15.75" customHeight="1">
      <c r="A52" s="242"/>
      <c r="B52" s="833" t="s">
        <v>12837</v>
      </c>
      <c r="C52" s="834" t="s">
        <v>12570</v>
      </c>
      <c r="D52" s="834">
        <v>2</v>
      </c>
      <c r="E52" s="1245">
        <v>12.44</v>
      </c>
      <c r="F52" s="1244"/>
      <c r="G52" s="197"/>
      <c r="H52" s="2567" t="s">
        <v>12838</v>
      </c>
      <c r="I52" s="242"/>
      <c r="J52" s="1233" t="s">
        <v>18543</v>
      </c>
      <c r="K52" s="242"/>
      <c r="L52" s="238"/>
      <c r="M52" s="1232">
        <f t="shared" si="11"/>
        <v>0</v>
      </c>
      <c r="N52" s="238"/>
      <c r="O52" s="219"/>
      <c r="P52" s="219"/>
      <c r="Q52" s="285">
        <f t="shared" si="12"/>
        <v>0</v>
      </c>
      <c r="R52" s="219"/>
      <c r="S52" s="238"/>
      <c r="T52" s="219"/>
      <c r="U52" s="833" t="s">
        <v>12837</v>
      </c>
      <c r="V52" s="2568" t="s">
        <v>12839</v>
      </c>
      <c r="W52" s="871"/>
      <c r="X52" s="871"/>
      <c r="Y52" s="242"/>
      <c r="Z52" s="197"/>
      <c r="AA52" s="242"/>
      <c r="AB52" s="219"/>
      <c r="AC52" s="219"/>
      <c r="AD52" s="219"/>
      <c r="AE52" s="219"/>
      <c r="AF52" s="219"/>
      <c r="AG52" s="219"/>
    </row>
    <row r="53" spans="1:33" ht="15.75" customHeight="1">
      <c r="A53" s="242"/>
      <c r="B53" s="833" t="s">
        <v>12840</v>
      </c>
      <c r="C53" s="834" t="s">
        <v>12574</v>
      </c>
      <c r="D53" s="834">
        <v>3</v>
      </c>
      <c r="E53" s="878">
        <v>65270.184999999998</v>
      </c>
      <c r="F53" s="1244"/>
      <c r="G53" s="197"/>
      <c r="H53" s="2567" t="s">
        <v>12841</v>
      </c>
      <c r="I53" s="242"/>
      <c r="J53" s="1233"/>
      <c r="K53" s="242"/>
      <c r="L53" s="238"/>
      <c r="M53" s="1232">
        <f t="shared" si="11"/>
        <v>0</v>
      </c>
      <c r="N53" s="238"/>
      <c r="O53" s="219"/>
      <c r="P53" s="219"/>
      <c r="Q53" s="285">
        <f t="shared" si="12"/>
        <v>0</v>
      </c>
      <c r="R53" s="219"/>
      <c r="S53" s="238"/>
      <c r="T53" s="219"/>
      <c r="U53" s="833" t="s">
        <v>12842</v>
      </c>
      <c r="V53" s="2568" t="s">
        <v>12843</v>
      </c>
      <c r="W53" s="871"/>
      <c r="X53" s="871"/>
      <c r="Y53" s="242"/>
      <c r="Z53" s="197"/>
      <c r="AA53" s="242"/>
      <c r="AB53" s="219"/>
      <c r="AC53" s="219"/>
      <c r="AD53" s="219"/>
      <c r="AE53" s="219"/>
      <c r="AF53" s="219"/>
      <c r="AG53" s="219"/>
    </row>
    <row r="54" spans="1:33" ht="15.75" customHeight="1">
      <c r="A54" s="242"/>
      <c r="B54" s="833" t="s">
        <v>12844</v>
      </c>
      <c r="C54" s="834" t="s">
        <v>4843</v>
      </c>
      <c r="D54" s="834">
        <v>0</v>
      </c>
      <c r="E54" s="1705">
        <v>1</v>
      </c>
      <c r="F54" s="1244"/>
      <c r="G54" s="197"/>
      <c r="H54" s="2567" t="s">
        <v>12845</v>
      </c>
      <c r="I54" s="242"/>
      <c r="J54" s="1233"/>
      <c r="K54" s="242"/>
      <c r="L54" s="238"/>
      <c r="M54" s="1232">
        <f t="shared" si="11"/>
        <v>0</v>
      </c>
      <c r="N54" s="238"/>
      <c r="O54" s="219"/>
      <c r="P54" s="219"/>
      <c r="Q54" s="285">
        <f t="shared" si="12"/>
        <v>0</v>
      </c>
      <c r="R54" s="219"/>
      <c r="S54" s="238"/>
      <c r="T54" s="219"/>
      <c r="U54" s="833" t="s">
        <v>12844</v>
      </c>
      <c r="V54" s="2568" t="s">
        <v>12846</v>
      </c>
      <c r="W54" s="871"/>
      <c r="X54" s="871"/>
      <c r="Y54" s="242"/>
      <c r="Z54" s="197"/>
      <c r="AA54" s="242"/>
      <c r="AB54" s="219"/>
      <c r="AC54" s="219"/>
      <c r="AD54" s="219"/>
      <c r="AE54" s="219"/>
      <c r="AF54" s="219"/>
      <c r="AG54" s="219"/>
    </row>
    <row r="55" spans="1:33" ht="15.75" customHeight="1">
      <c r="A55" s="242"/>
      <c r="B55" s="833" t="s">
        <v>12847</v>
      </c>
      <c r="C55" s="834" t="s">
        <v>12500</v>
      </c>
      <c r="D55" s="834">
        <v>2</v>
      </c>
      <c r="E55" s="1245">
        <v>6.65</v>
      </c>
      <c r="F55" s="1244"/>
      <c r="G55" s="197"/>
      <c r="H55" s="2567" t="s">
        <v>12848</v>
      </c>
      <c r="I55" s="242"/>
      <c r="J55" s="1233"/>
      <c r="K55" s="242"/>
      <c r="L55" s="238"/>
      <c r="M55" s="1232">
        <f t="shared" si="11"/>
        <v>0</v>
      </c>
      <c r="N55" s="238"/>
      <c r="O55" s="219"/>
      <c r="P55" s="219"/>
      <c r="Q55" s="285">
        <f t="shared" si="12"/>
        <v>0</v>
      </c>
      <c r="R55" s="219"/>
      <c r="S55" s="238"/>
      <c r="T55" s="219"/>
      <c r="U55" s="833" t="s">
        <v>12849</v>
      </c>
      <c r="V55" s="2568" t="s">
        <v>12850</v>
      </c>
      <c r="W55" s="871"/>
      <c r="X55" s="871"/>
      <c r="Y55" s="242"/>
      <c r="Z55" s="197"/>
      <c r="AA55" s="242"/>
      <c r="AB55" s="219"/>
      <c r="AC55" s="219"/>
      <c r="AD55" s="219"/>
      <c r="AE55" s="219"/>
      <c r="AF55" s="219"/>
      <c r="AG55" s="219"/>
    </row>
    <row r="56" spans="1:33" ht="15.75" customHeight="1">
      <c r="A56" s="242"/>
      <c r="B56" s="833" t="s">
        <v>12851</v>
      </c>
      <c r="C56" s="834" t="s">
        <v>4843</v>
      </c>
      <c r="D56" s="834">
        <v>0</v>
      </c>
      <c r="E56" s="1705">
        <v>2</v>
      </c>
      <c r="F56" s="1244"/>
      <c r="G56" s="197"/>
      <c r="H56" s="2567" t="s">
        <v>12852</v>
      </c>
      <c r="I56" s="242"/>
      <c r="J56" s="1233"/>
      <c r="K56" s="242"/>
      <c r="L56" s="238"/>
      <c r="M56" s="1232">
        <f t="shared" si="11"/>
        <v>0</v>
      </c>
      <c r="N56" s="238"/>
      <c r="O56" s="219"/>
      <c r="P56" s="219"/>
      <c r="Q56" s="285">
        <f t="shared" si="12"/>
        <v>0</v>
      </c>
      <c r="R56" s="219"/>
      <c r="S56" s="238"/>
      <c r="T56" s="219"/>
      <c r="U56" s="833" t="s">
        <v>12851</v>
      </c>
      <c r="V56" s="2568" t="s">
        <v>12853</v>
      </c>
      <c r="W56" s="871"/>
      <c r="X56" s="871"/>
      <c r="Y56" s="242"/>
      <c r="Z56" s="197"/>
      <c r="AA56" s="242"/>
      <c r="AB56" s="219"/>
      <c r="AC56" s="219"/>
      <c r="AD56" s="219"/>
      <c r="AE56" s="219"/>
      <c r="AF56" s="219"/>
      <c r="AG56" s="219"/>
    </row>
    <row r="57" spans="1:33" ht="15.75" customHeight="1" thickBot="1">
      <c r="A57" s="242"/>
      <c r="B57" s="868" t="s">
        <v>12854</v>
      </c>
      <c r="C57" s="844" t="s">
        <v>12500</v>
      </c>
      <c r="D57" s="844">
        <v>2</v>
      </c>
      <c r="E57" s="1255">
        <v>300.77999999999997</v>
      </c>
      <c r="F57" s="1247"/>
      <c r="G57" s="197"/>
      <c r="H57" s="2433" t="s">
        <v>12855</v>
      </c>
      <c r="I57" s="242"/>
      <c r="J57" s="1237"/>
      <c r="K57" s="242"/>
      <c r="L57" s="238"/>
      <c r="M57" s="1232">
        <f t="shared" si="11"/>
        <v>0</v>
      </c>
      <c r="N57" s="238"/>
      <c r="O57" s="219"/>
      <c r="P57" s="219"/>
      <c r="Q57" s="285">
        <f t="shared" si="12"/>
        <v>0</v>
      </c>
      <c r="R57" s="219"/>
      <c r="S57" s="238"/>
      <c r="T57" s="219"/>
      <c r="U57" s="868" t="s">
        <v>12856</v>
      </c>
      <c r="V57" s="2569" t="s">
        <v>12857</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3" priority="9" operator="equal">
      <formula>0</formula>
    </cfRule>
  </conditionalFormatting>
  <conditionalFormatting sqref="M25:M31">
    <cfRule type="cellIs" dxfId="72" priority="3" operator="equal">
      <formula>0</formula>
    </cfRule>
  </conditionalFormatting>
  <conditionalFormatting sqref="M36:M43">
    <cfRule type="cellIs" dxfId="71" priority="2" operator="equal">
      <formula>0</formula>
    </cfRule>
  </conditionalFormatting>
  <conditionalFormatting sqref="M46:M57">
    <cfRule type="cellIs" dxfId="70"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47" zoomScale="80" zoomScaleNormal="80" zoomScaleSheetLayoutView="100" workbookViewId="0">
      <selection activeCell="I46" sqref="I46"/>
    </sheetView>
  </sheetViews>
  <sheetFormatPr defaultColWidth="0" defaultRowHeight="14.4" zeroHeight="1"/>
  <cols>
    <col min="1" max="1" width="1.59765625" style="16" customWidth="1"/>
    <col min="2" max="2" width="81.09765625" style="16" customWidth="1"/>
    <col min="3" max="3" width="11.69921875" style="16" customWidth="1"/>
    <col min="4" max="4" width="4.69921875" style="16"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77.5" style="16" bestFit="1" customWidth="1"/>
    <col min="18" max="18" width="23.1992187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12858</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Dŵr Cymru</v>
      </c>
      <c r="C2" s="529"/>
      <c r="D2" s="529"/>
      <c r="E2" s="529"/>
      <c r="F2" s="106"/>
      <c r="G2" s="1265"/>
      <c r="H2" s="219"/>
      <c r="I2" s="219"/>
      <c r="J2" s="219"/>
      <c r="K2" s="238"/>
      <c r="L2" s="219"/>
      <c r="M2" s="238"/>
      <c r="N2" s="219"/>
      <c r="O2" s="238"/>
      <c r="P2" s="219"/>
      <c r="Q2" s="1229"/>
      <c r="R2" s="529"/>
    </row>
    <row r="3" spans="1:18" ht="37.5" customHeight="1">
      <c r="A3" s="219"/>
      <c r="B3" s="2829" t="s">
        <v>12859</v>
      </c>
      <c r="C3" s="2829"/>
      <c r="D3" s="2829"/>
      <c r="E3" s="2829"/>
      <c r="F3" s="2829"/>
      <c r="G3" s="2829"/>
      <c r="H3" s="2829"/>
      <c r="I3" s="2829"/>
      <c r="J3" s="219"/>
      <c r="K3" s="238"/>
      <c r="L3" s="1240" t="s">
        <v>4200</v>
      </c>
      <c r="M3" s="238"/>
      <c r="N3" s="219"/>
      <c r="O3" s="238"/>
      <c r="P3" s="219"/>
      <c r="Q3" s="2829" t="s">
        <v>12860</v>
      </c>
      <c r="R3" s="2829"/>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12497</v>
      </c>
      <c r="F5" s="731"/>
      <c r="G5" s="449" t="s">
        <v>4208</v>
      </c>
      <c r="H5" s="242"/>
      <c r="I5" s="449" t="s">
        <v>4209</v>
      </c>
      <c r="J5" s="242"/>
      <c r="K5" s="238"/>
      <c r="L5" s="219"/>
      <c r="M5" s="238"/>
      <c r="N5" s="269" t="s">
        <v>4210</v>
      </c>
      <c r="O5" s="238"/>
      <c r="P5" s="219"/>
      <c r="Q5" s="445" t="s">
        <v>4202</v>
      </c>
      <c r="R5" s="447" t="s">
        <v>12497</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12861</v>
      </c>
      <c r="C7" s="482"/>
      <c r="D7" s="482"/>
      <c r="E7" s="482"/>
      <c r="F7" s="1242"/>
      <c r="G7" s="565"/>
      <c r="H7" s="242"/>
      <c r="I7" s="242"/>
      <c r="J7" s="242"/>
      <c r="K7" s="238"/>
      <c r="L7" s="219"/>
      <c r="M7" s="238"/>
      <c r="N7" s="219"/>
      <c r="O7" s="238"/>
      <c r="P7" s="219"/>
      <c r="Q7" s="393" t="s">
        <v>12861</v>
      </c>
      <c r="R7" s="482"/>
    </row>
    <row r="8" spans="1:18" ht="15.75" customHeight="1" thickTop="1">
      <c r="A8" s="242"/>
      <c r="B8" s="451" t="s">
        <v>12862</v>
      </c>
      <c r="C8" s="277" t="s">
        <v>12562</v>
      </c>
      <c r="D8" s="277">
        <v>0</v>
      </c>
      <c r="E8" s="1711">
        <v>43281.17</v>
      </c>
      <c r="F8" s="106"/>
      <c r="G8" s="791" t="s">
        <v>12863</v>
      </c>
      <c r="H8" s="242"/>
      <c r="I8" s="1231"/>
      <c r="J8" s="242"/>
      <c r="K8" s="238"/>
      <c r="L8" s="1232">
        <f t="shared" ref="L8:L37" si="0">IF( SUM( N8:N8 ) = 0, 0, $N$5 )</f>
        <v>0</v>
      </c>
      <c r="M8" s="238"/>
      <c r="N8" s="270">
        <f t="shared" ref="N8:N37" si="1" xml:space="preserve"> IF( ISNUMBER(E8 ), 0, 1 )</f>
        <v>0</v>
      </c>
      <c r="O8" s="238"/>
      <c r="P8" s="219"/>
      <c r="Q8" s="451" t="s">
        <v>12862</v>
      </c>
      <c r="R8" s="1711" t="s">
        <v>12864</v>
      </c>
    </row>
    <row r="9" spans="1:18" ht="15.75" customHeight="1">
      <c r="A9" s="242"/>
      <c r="B9" s="460" t="s">
        <v>12865</v>
      </c>
      <c r="C9" s="286" t="s">
        <v>6755</v>
      </c>
      <c r="D9" s="286">
        <v>1</v>
      </c>
      <c r="E9" s="1269">
        <v>1982</v>
      </c>
      <c r="F9" s="106"/>
      <c r="G9" s="795" t="s">
        <v>12866</v>
      </c>
      <c r="H9" s="242"/>
      <c r="I9" s="1233"/>
      <c r="J9" s="242"/>
      <c r="K9" s="238"/>
      <c r="L9" s="1232">
        <f t="shared" si="0"/>
        <v>0</v>
      </c>
      <c r="M9" s="238"/>
      <c r="N9" s="270">
        <f t="shared" si="1"/>
        <v>0</v>
      </c>
      <c r="O9" s="238"/>
      <c r="P9" s="219"/>
      <c r="Q9" s="460" t="s">
        <v>12865</v>
      </c>
      <c r="R9" s="1269" t="s">
        <v>12867</v>
      </c>
    </row>
    <row r="10" spans="1:18" ht="15.75" customHeight="1">
      <c r="A10" s="242"/>
      <c r="B10" s="460" t="s">
        <v>12868</v>
      </c>
      <c r="C10" s="286" t="s">
        <v>6755</v>
      </c>
      <c r="D10" s="286">
        <v>1</v>
      </c>
      <c r="E10" s="1269">
        <v>2.1</v>
      </c>
      <c r="F10" s="106"/>
      <c r="G10" s="795" t="s">
        <v>12869</v>
      </c>
      <c r="H10" s="242"/>
      <c r="I10" s="1233"/>
      <c r="J10" s="242"/>
      <c r="K10" s="238"/>
      <c r="L10" s="1232">
        <f t="shared" si="0"/>
        <v>0</v>
      </c>
      <c r="M10" s="238"/>
      <c r="N10" s="270">
        <f t="shared" si="1"/>
        <v>0</v>
      </c>
      <c r="O10" s="238"/>
      <c r="P10" s="219"/>
      <c r="Q10" s="460" t="s">
        <v>12868</v>
      </c>
      <c r="R10" s="1269" t="s">
        <v>12870</v>
      </c>
    </row>
    <row r="11" spans="1:18" ht="15.75" customHeight="1">
      <c r="A11" s="242"/>
      <c r="B11" s="460" t="s">
        <v>3870</v>
      </c>
      <c r="C11" s="286" t="s">
        <v>12500</v>
      </c>
      <c r="D11" s="286">
        <v>2</v>
      </c>
      <c r="E11" s="1234">
        <v>35.9</v>
      </c>
      <c r="F11" s="106"/>
      <c r="G11" s="803" t="s">
        <v>12871</v>
      </c>
      <c r="H11" s="242"/>
      <c r="I11" s="1233"/>
      <c r="J11" s="242"/>
      <c r="K11" s="238"/>
      <c r="L11" s="1232">
        <f t="shared" si="0"/>
        <v>0</v>
      </c>
      <c r="M11" s="238"/>
      <c r="N11" s="270">
        <f t="shared" si="1"/>
        <v>0</v>
      </c>
      <c r="O11" s="238"/>
      <c r="P11" s="219"/>
      <c r="Q11" s="460" t="s">
        <v>3870</v>
      </c>
      <c r="R11" s="1234" t="s">
        <v>12872</v>
      </c>
    </row>
    <row r="12" spans="1:18" ht="15.75" customHeight="1">
      <c r="A12" s="242"/>
      <c r="B12" s="460" t="s">
        <v>12873</v>
      </c>
      <c r="C12" s="286" t="s">
        <v>12500</v>
      </c>
      <c r="D12" s="286">
        <v>2</v>
      </c>
      <c r="E12" s="1234">
        <v>685.52760931440696</v>
      </c>
      <c r="F12" s="106"/>
      <c r="G12" s="803" t="s">
        <v>12874</v>
      </c>
      <c r="H12" s="242"/>
      <c r="I12" s="1233"/>
      <c r="J12" s="242"/>
      <c r="K12" s="238"/>
      <c r="L12" s="1232">
        <f t="shared" si="0"/>
        <v>0</v>
      </c>
      <c r="M12" s="238"/>
      <c r="N12" s="270">
        <f t="shared" si="1"/>
        <v>0</v>
      </c>
      <c r="O12" s="238"/>
      <c r="P12" s="219"/>
      <c r="Q12" s="460" t="s">
        <v>12873</v>
      </c>
      <c r="R12" s="1234" t="s">
        <v>12875</v>
      </c>
    </row>
    <row r="13" spans="1:18" ht="15.75" customHeight="1">
      <c r="A13" s="242"/>
      <c r="B13" s="460" t="s">
        <v>12876</v>
      </c>
      <c r="C13" s="286" t="s">
        <v>12500</v>
      </c>
      <c r="D13" s="286">
        <v>2</v>
      </c>
      <c r="E13" s="1234">
        <v>176.27524407407861</v>
      </c>
      <c r="F13" s="106"/>
      <c r="G13" s="803" t="s">
        <v>12877</v>
      </c>
      <c r="H13" s="242"/>
      <c r="I13" s="1233"/>
      <c r="J13" s="242"/>
      <c r="K13" s="238"/>
      <c r="L13" s="1232">
        <f t="shared" si="0"/>
        <v>0</v>
      </c>
      <c r="M13" s="238"/>
      <c r="N13" s="270">
        <f t="shared" si="1"/>
        <v>0</v>
      </c>
      <c r="O13" s="238"/>
      <c r="P13" s="219"/>
      <c r="Q13" s="460" t="s">
        <v>12876</v>
      </c>
      <c r="R13" s="1234" t="s">
        <v>12878</v>
      </c>
    </row>
    <row r="14" spans="1:18" ht="15.75" customHeight="1">
      <c r="A14" s="242"/>
      <c r="B14" s="460" t="s">
        <v>12879</v>
      </c>
      <c r="C14" s="286" t="s">
        <v>12500</v>
      </c>
      <c r="D14" s="286">
        <v>2</v>
      </c>
      <c r="E14" s="1234">
        <v>170.49755891736359</v>
      </c>
      <c r="F14" s="106"/>
      <c r="G14" s="803" t="s">
        <v>12880</v>
      </c>
      <c r="H14" s="242"/>
      <c r="I14" s="1233"/>
      <c r="J14" s="242"/>
      <c r="K14" s="238"/>
      <c r="L14" s="1232">
        <f t="shared" si="0"/>
        <v>0</v>
      </c>
      <c r="M14" s="238"/>
      <c r="N14" s="270">
        <f t="shared" si="1"/>
        <v>0</v>
      </c>
      <c r="O14" s="238"/>
      <c r="P14" s="219"/>
      <c r="Q14" s="460" t="s">
        <v>12879</v>
      </c>
      <c r="R14" s="1234" t="s">
        <v>12881</v>
      </c>
    </row>
    <row r="15" spans="1:18" ht="15.75" customHeight="1">
      <c r="A15" s="242"/>
      <c r="B15" s="460" t="s">
        <v>12882</v>
      </c>
      <c r="C15" s="286" t="s">
        <v>12883</v>
      </c>
      <c r="D15" s="286">
        <v>3</v>
      </c>
      <c r="E15" s="1266">
        <v>0.411232283759493</v>
      </c>
      <c r="F15" s="106"/>
      <c r="G15" s="803" t="s">
        <v>12884</v>
      </c>
      <c r="H15" s="242"/>
      <c r="I15" s="1233"/>
      <c r="J15" s="242"/>
      <c r="K15" s="238"/>
      <c r="L15" s="1232">
        <f t="shared" si="0"/>
        <v>0</v>
      </c>
      <c r="M15" s="238"/>
      <c r="N15" s="270">
        <f t="shared" si="1"/>
        <v>0</v>
      </c>
      <c r="O15" s="238"/>
      <c r="P15" s="219"/>
      <c r="Q15" s="460" t="s">
        <v>12882</v>
      </c>
      <c r="R15" s="1266" t="s">
        <v>12885</v>
      </c>
    </row>
    <row r="16" spans="1:18" ht="15.75" customHeight="1">
      <c r="A16" s="242"/>
      <c r="B16" s="460" t="s">
        <v>12886</v>
      </c>
      <c r="C16" s="286" t="s">
        <v>12883</v>
      </c>
      <c r="D16" s="286">
        <v>3</v>
      </c>
      <c r="E16" s="1266">
        <v>0.30483210239166414</v>
      </c>
      <c r="F16" s="106"/>
      <c r="G16" s="803" t="s">
        <v>12887</v>
      </c>
      <c r="H16" s="242"/>
      <c r="I16" s="1233"/>
      <c r="J16" s="242"/>
      <c r="K16" s="238"/>
      <c r="L16" s="1232">
        <f t="shared" si="0"/>
        <v>0</v>
      </c>
      <c r="M16" s="238"/>
      <c r="N16" s="270">
        <f t="shared" si="1"/>
        <v>0</v>
      </c>
      <c r="O16" s="238"/>
      <c r="P16" s="219"/>
      <c r="Q16" s="460" t="s">
        <v>12886</v>
      </c>
      <c r="R16" s="1266" t="s">
        <v>12888</v>
      </c>
    </row>
    <row r="17" spans="1:18" ht="15.75" customHeight="1">
      <c r="A17" s="242"/>
      <c r="B17" s="460" t="s">
        <v>12889</v>
      </c>
      <c r="C17" s="286" t="s">
        <v>12883</v>
      </c>
      <c r="D17" s="286">
        <v>3</v>
      </c>
      <c r="E17" s="1266">
        <v>0.24922041208429574</v>
      </c>
      <c r="F17" s="106"/>
      <c r="G17" s="803" t="s">
        <v>12890</v>
      </c>
      <c r="H17" s="242"/>
      <c r="I17" s="1233"/>
      <c r="J17" s="242"/>
      <c r="K17" s="238"/>
      <c r="L17" s="1232">
        <f t="shared" si="0"/>
        <v>0</v>
      </c>
      <c r="M17" s="238"/>
      <c r="N17" s="270">
        <f t="shared" si="1"/>
        <v>0</v>
      </c>
      <c r="O17" s="238"/>
      <c r="P17" s="219"/>
      <c r="Q17" s="460" t="s">
        <v>12889</v>
      </c>
      <c r="R17" s="1266" t="s">
        <v>12891</v>
      </c>
    </row>
    <row r="18" spans="1:18" ht="32.25" customHeight="1">
      <c r="A18" s="242"/>
      <c r="B18" s="460" t="s">
        <v>12892</v>
      </c>
      <c r="C18" s="286" t="s">
        <v>12883</v>
      </c>
      <c r="D18" s="286">
        <v>3</v>
      </c>
      <c r="E18" s="1266">
        <v>3.4715201764547156E-2</v>
      </c>
      <c r="F18" s="106"/>
      <c r="G18" s="803" t="s">
        <v>12893</v>
      </c>
      <c r="H18" s="242"/>
      <c r="I18" s="1233"/>
      <c r="J18" s="242"/>
      <c r="K18" s="238"/>
      <c r="L18" s="1232">
        <f t="shared" si="0"/>
        <v>0</v>
      </c>
      <c r="M18" s="238"/>
      <c r="N18" s="270">
        <f t="shared" si="1"/>
        <v>0</v>
      </c>
      <c r="O18" s="238"/>
      <c r="P18" s="219"/>
      <c r="Q18" s="460" t="s">
        <v>12892</v>
      </c>
      <c r="R18" s="1266" t="s">
        <v>12894</v>
      </c>
    </row>
    <row r="19" spans="1:18" ht="32.25" customHeight="1">
      <c r="A19" s="242"/>
      <c r="B19" s="460" t="s">
        <v>12895</v>
      </c>
      <c r="C19" s="286" t="s">
        <v>12883</v>
      </c>
      <c r="D19" s="286">
        <v>3</v>
      </c>
      <c r="E19" s="1266">
        <v>0</v>
      </c>
      <c r="F19" s="106"/>
      <c r="G19" s="803" t="s">
        <v>12896</v>
      </c>
      <c r="H19" s="242"/>
      <c r="I19" s="1233"/>
      <c r="J19" s="242"/>
      <c r="K19" s="238"/>
      <c r="L19" s="1232">
        <f t="shared" si="0"/>
        <v>0</v>
      </c>
      <c r="M19" s="238"/>
      <c r="N19" s="270">
        <f t="shared" si="1"/>
        <v>0</v>
      </c>
      <c r="O19" s="238"/>
      <c r="P19" s="219"/>
      <c r="Q19" s="460" t="s">
        <v>12895</v>
      </c>
      <c r="R19" s="1266" t="s">
        <v>12897</v>
      </c>
    </row>
    <row r="20" spans="1:18" ht="32.25" customHeight="1">
      <c r="A20" s="242"/>
      <c r="B20" s="460" t="s">
        <v>12898</v>
      </c>
      <c r="C20" s="286" t="s">
        <v>12883</v>
      </c>
      <c r="D20" s="286">
        <v>3</v>
      </c>
      <c r="E20" s="1266">
        <v>0</v>
      </c>
      <c r="F20" s="106"/>
      <c r="G20" s="803" t="s">
        <v>12899</v>
      </c>
      <c r="H20" s="242"/>
      <c r="I20" s="1233"/>
      <c r="J20" s="242"/>
      <c r="K20" s="238"/>
      <c r="L20" s="1232">
        <f t="shared" si="0"/>
        <v>0</v>
      </c>
      <c r="M20" s="238"/>
      <c r="N20" s="270">
        <f t="shared" si="1"/>
        <v>0</v>
      </c>
      <c r="O20" s="238"/>
      <c r="P20" s="219"/>
      <c r="Q20" s="460" t="s">
        <v>12898</v>
      </c>
      <c r="R20" s="1266" t="s">
        <v>12900</v>
      </c>
    </row>
    <row r="21" spans="1:18" ht="15.75" customHeight="1">
      <c r="A21" s="242"/>
      <c r="B21" s="460" t="s">
        <v>12901</v>
      </c>
      <c r="C21" s="286" t="s">
        <v>12883</v>
      </c>
      <c r="D21" s="286">
        <v>3</v>
      </c>
      <c r="E21" s="1266">
        <v>0</v>
      </c>
      <c r="F21" s="106"/>
      <c r="G21" s="803" t="s">
        <v>12902</v>
      </c>
      <c r="H21" s="242"/>
      <c r="I21" s="1233"/>
      <c r="J21" s="242"/>
      <c r="K21" s="238"/>
      <c r="L21" s="1232">
        <f t="shared" si="0"/>
        <v>0</v>
      </c>
      <c r="M21" s="238"/>
      <c r="N21" s="270">
        <f t="shared" si="1"/>
        <v>0</v>
      </c>
      <c r="O21" s="238"/>
      <c r="P21" s="219"/>
      <c r="Q21" s="460" t="s">
        <v>12901</v>
      </c>
      <c r="R21" s="1266" t="s">
        <v>12903</v>
      </c>
    </row>
    <row r="22" spans="1:18" ht="15.75" customHeight="1">
      <c r="A22" s="242"/>
      <c r="B22" s="460" t="s">
        <v>12904</v>
      </c>
      <c r="C22" s="286" t="s">
        <v>12883</v>
      </c>
      <c r="D22" s="286">
        <v>3</v>
      </c>
      <c r="E22" s="1266">
        <v>0</v>
      </c>
      <c r="F22" s="106"/>
      <c r="G22" s="803" t="s">
        <v>12905</v>
      </c>
      <c r="H22" s="242"/>
      <c r="I22" s="1233"/>
      <c r="J22" s="242"/>
      <c r="K22" s="238"/>
      <c r="L22" s="1232">
        <f t="shared" si="0"/>
        <v>0</v>
      </c>
      <c r="M22" s="238"/>
      <c r="N22" s="270">
        <f t="shared" si="1"/>
        <v>0</v>
      </c>
      <c r="O22" s="238"/>
      <c r="P22" s="219"/>
      <c r="Q22" s="460" t="s">
        <v>12904</v>
      </c>
      <c r="R22" s="1266" t="s">
        <v>12906</v>
      </c>
    </row>
    <row r="23" spans="1:18" s="5" customFormat="1" ht="32.25" customHeight="1">
      <c r="A23" s="242"/>
      <c r="B23" s="460" t="s">
        <v>12907</v>
      </c>
      <c r="C23" s="286" t="s">
        <v>4843</v>
      </c>
      <c r="D23" s="286">
        <v>0</v>
      </c>
      <c r="E23" s="1330">
        <v>577</v>
      </c>
      <c r="F23" s="106"/>
      <c r="G23" s="803" t="s">
        <v>12908</v>
      </c>
      <c r="H23" s="242"/>
      <c r="I23" s="1233"/>
      <c r="J23" s="242"/>
      <c r="K23" s="238"/>
      <c r="L23" s="1232">
        <f t="shared" si="0"/>
        <v>0</v>
      </c>
      <c r="M23" s="238"/>
      <c r="N23" s="270">
        <f t="shared" si="1"/>
        <v>0</v>
      </c>
      <c r="O23" s="238"/>
      <c r="P23" s="742"/>
      <c r="Q23" s="460" t="s">
        <v>12907</v>
      </c>
      <c r="R23" s="1330" t="s">
        <v>12909</v>
      </c>
    </row>
    <row r="24" spans="1:18" s="5" customFormat="1" ht="32.25" customHeight="1">
      <c r="A24" s="242"/>
      <c r="B24" s="460" t="s">
        <v>12910</v>
      </c>
      <c r="C24" s="286" t="s">
        <v>4843</v>
      </c>
      <c r="D24" s="286">
        <v>0</v>
      </c>
      <c r="E24" s="1330">
        <v>6</v>
      </c>
      <c r="F24" s="106"/>
      <c r="G24" s="803" t="s">
        <v>12911</v>
      </c>
      <c r="H24" s="242"/>
      <c r="I24" s="1233"/>
      <c r="J24" s="242"/>
      <c r="K24" s="238"/>
      <c r="L24" s="1232">
        <f t="shared" si="0"/>
        <v>0</v>
      </c>
      <c r="M24" s="238"/>
      <c r="N24" s="270">
        <f t="shared" si="1"/>
        <v>0</v>
      </c>
      <c r="O24" s="238"/>
      <c r="P24" s="742"/>
      <c r="Q24" s="460" t="s">
        <v>12910</v>
      </c>
      <c r="R24" s="1330" t="s">
        <v>12912</v>
      </c>
    </row>
    <row r="25" spans="1:18" s="5" customFormat="1" ht="32.25" customHeight="1">
      <c r="A25" s="242"/>
      <c r="B25" s="460" t="s">
        <v>12913</v>
      </c>
      <c r="C25" s="286" t="s">
        <v>4843</v>
      </c>
      <c r="D25" s="286">
        <v>0</v>
      </c>
      <c r="E25" s="1330">
        <v>34</v>
      </c>
      <c r="F25" s="106"/>
      <c r="G25" s="803" t="s">
        <v>12914</v>
      </c>
      <c r="H25" s="242"/>
      <c r="I25" s="1233"/>
      <c r="J25" s="242"/>
      <c r="K25" s="238"/>
      <c r="L25" s="1232">
        <f t="shared" si="0"/>
        <v>0</v>
      </c>
      <c r="M25" s="238"/>
      <c r="N25" s="270">
        <f t="shared" si="1"/>
        <v>0</v>
      </c>
      <c r="O25" s="238"/>
      <c r="P25" s="742"/>
      <c r="Q25" s="460" t="s">
        <v>12913</v>
      </c>
      <c r="R25" s="1330" t="s">
        <v>12915</v>
      </c>
    </row>
    <row r="26" spans="1:18" s="5" customFormat="1" ht="32.25" customHeight="1">
      <c r="A26" s="242"/>
      <c r="B26" s="460" t="s">
        <v>12916</v>
      </c>
      <c r="C26" s="286" t="s">
        <v>4843</v>
      </c>
      <c r="D26" s="286">
        <v>0</v>
      </c>
      <c r="E26" s="1330">
        <v>537</v>
      </c>
      <c r="F26" s="106"/>
      <c r="G26" s="803" t="s">
        <v>12917</v>
      </c>
      <c r="H26" s="242"/>
      <c r="I26" s="1233" t="s">
        <v>18544</v>
      </c>
      <c r="J26" s="242"/>
      <c r="K26" s="238"/>
      <c r="L26" s="1232">
        <f t="shared" si="0"/>
        <v>0</v>
      </c>
      <c r="M26" s="238"/>
      <c r="N26" s="270">
        <f t="shared" si="1"/>
        <v>0</v>
      </c>
      <c r="O26" s="238"/>
      <c r="P26" s="742"/>
      <c r="Q26" s="460" t="s">
        <v>12916</v>
      </c>
      <c r="R26" s="1330" t="s">
        <v>12918</v>
      </c>
    </row>
    <row r="27" spans="1:18" s="5" customFormat="1" ht="32.25" customHeight="1">
      <c r="A27" s="242"/>
      <c r="B27" s="460" t="s">
        <v>12919</v>
      </c>
      <c r="C27" s="286" t="s">
        <v>4843</v>
      </c>
      <c r="D27" s="286">
        <v>0</v>
      </c>
      <c r="E27" s="1330">
        <v>0</v>
      </c>
      <c r="F27" s="106"/>
      <c r="G27" s="803" t="s">
        <v>12920</v>
      </c>
      <c r="H27" s="242"/>
      <c r="I27" s="1233"/>
      <c r="J27" s="242"/>
      <c r="K27" s="238"/>
      <c r="L27" s="1232">
        <f t="shared" si="0"/>
        <v>0</v>
      </c>
      <c r="M27" s="238"/>
      <c r="N27" s="270">
        <f t="shared" si="1"/>
        <v>0</v>
      </c>
      <c r="O27" s="238"/>
      <c r="P27" s="742"/>
      <c r="Q27" s="460" t="s">
        <v>12919</v>
      </c>
      <c r="R27" s="1330" t="s">
        <v>12921</v>
      </c>
    </row>
    <row r="28" spans="1:18" ht="15.75" customHeight="1">
      <c r="A28" s="242"/>
      <c r="B28" s="460" t="s">
        <v>12922</v>
      </c>
      <c r="C28" s="286" t="s">
        <v>4843</v>
      </c>
      <c r="D28" s="286">
        <v>0</v>
      </c>
      <c r="E28" s="1330">
        <v>439</v>
      </c>
      <c r="F28" s="106"/>
      <c r="G28" s="803" t="s">
        <v>12923</v>
      </c>
      <c r="H28" s="242"/>
      <c r="I28" s="1233" t="s">
        <v>18545</v>
      </c>
      <c r="J28" s="242"/>
      <c r="K28" s="238"/>
      <c r="L28" s="1232">
        <f t="shared" si="0"/>
        <v>0</v>
      </c>
      <c r="M28" s="238"/>
      <c r="N28" s="270">
        <f t="shared" si="1"/>
        <v>0</v>
      </c>
      <c r="O28" s="238"/>
      <c r="P28" s="219"/>
      <c r="Q28" s="460" t="s">
        <v>12922</v>
      </c>
      <c r="R28" s="1330" t="s">
        <v>12924</v>
      </c>
    </row>
    <row r="29" spans="1:18" ht="15.75" customHeight="1">
      <c r="A29" s="242"/>
      <c r="B29" s="460" t="s">
        <v>12925</v>
      </c>
      <c r="C29" s="286" t="s">
        <v>4843</v>
      </c>
      <c r="D29" s="286">
        <v>0</v>
      </c>
      <c r="E29" s="1330">
        <v>4</v>
      </c>
      <c r="F29" s="106"/>
      <c r="G29" s="803" t="s">
        <v>12926</v>
      </c>
      <c r="H29" s="242"/>
      <c r="I29" s="1233"/>
      <c r="J29" s="242"/>
      <c r="K29" s="238"/>
      <c r="L29" s="1232">
        <f t="shared" si="0"/>
        <v>0</v>
      </c>
      <c r="M29" s="238"/>
      <c r="N29" s="270">
        <f t="shared" si="1"/>
        <v>0</v>
      </c>
      <c r="O29" s="238"/>
      <c r="P29" s="219"/>
      <c r="Q29" s="460" t="s">
        <v>12925</v>
      </c>
      <c r="R29" s="1330" t="s">
        <v>12927</v>
      </c>
    </row>
    <row r="30" spans="1:18" ht="15.75" customHeight="1">
      <c r="A30" s="242"/>
      <c r="B30" s="460" t="s">
        <v>12928</v>
      </c>
      <c r="C30" s="286" t="s">
        <v>12574</v>
      </c>
      <c r="D30" s="286">
        <v>3</v>
      </c>
      <c r="E30" s="1266">
        <v>102148.86500000001</v>
      </c>
      <c r="F30" s="871"/>
      <c r="G30" s="803" t="s">
        <v>12929</v>
      </c>
      <c r="H30" s="197"/>
      <c r="I30" s="842"/>
      <c r="J30" s="197"/>
      <c r="K30" s="238"/>
      <c r="L30" s="1232">
        <f t="shared" si="0"/>
        <v>0</v>
      </c>
      <c r="M30" s="238"/>
      <c r="N30" s="270">
        <f t="shared" si="1"/>
        <v>0</v>
      </c>
      <c r="O30" s="238"/>
      <c r="P30" s="219"/>
      <c r="Q30" s="460" t="s">
        <v>12928</v>
      </c>
      <c r="R30" s="1266" t="s">
        <v>12930</v>
      </c>
    </row>
    <row r="31" spans="1:18" ht="15.75" customHeight="1">
      <c r="A31" s="242"/>
      <c r="B31" s="460" t="s">
        <v>12931</v>
      </c>
      <c r="C31" s="286" t="s">
        <v>12570</v>
      </c>
      <c r="D31" s="286">
        <v>2</v>
      </c>
      <c r="E31" s="1234">
        <v>71.58</v>
      </c>
      <c r="F31" s="106"/>
      <c r="G31" s="803" t="s">
        <v>12932</v>
      </c>
      <c r="H31" s="242"/>
      <c r="I31" s="1233" t="s">
        <v>18546</v>
      </c>
      <c r="J31" s="242"/>
      <c r="K31" s="238"/>
      <c r="L31" s="1232">
        <f t="shared" si="0"/>
        <v>0</v>
      </c>
      <c r="M31" s="238"/>
      <c r="N31" s="270">
        <f t="shared" si="1"/>
        <v>0</v>
      </c>
      <c r="O31" s="238"/>
      <c r="P31" s="219"/>
      <c r="Q31" s="460" t="s">
        <v>12931</v>
      </c>
      <c r="R31" s="1234" t="s">
        <v>12933</v>
      </c>
    </row>
    <row r="32" spans="1:18" ht="15.75" customHeight="1">
      <c r="A32" s="242"/>
      <c r="B32" s="460" t="s">
        <v>12934</v>
      </c>
      <c r="C32" s="286" t="s">
        <v>4843</v>
      </c>
      <c r="D32" s="286">
        <v>0</v>
      </c>
      <c r="E32" s="1330">
        <v>7</v>
      </c>
      <c r="F32" s="106"/>
      <c r="G32" s="803" t="s">
        <v>12935</v>
      </c>
      <c r="H32" s="242"/>
      <c r="I32" s="1233"/>
      <c r="J32" s="242"/>
      <c r="K32" s="238"/>
      <c r="L32" s="1232">
        <f t="shared" si="0"/>
        <v>0</v>
      </c>
      <c r="M32" s="238"/>
      <c r="N32" s="270">
        <f t="shared" si="1"/>
        <v>0</v>
      </c>
      <c r="O32" s="238"/>
      <c r="P32" s="219"/>
      <c r="Q32" s="460" t="s">
        <v>12934</v>
      </c>
      <c r="R32" s="1330" t="s">
        <v>12936</v>
      </c>
    </row>
    <row r="33" spans="1:19" ht="15.75" customHeight="1">
      <c r="A33" s="242"/>
      <c r="B33" s="460" t="s">
        <v>12937</v>
      </c>
      <c r="C33" s="286" t="s">
        <v>12500</v>
      </c>
      <c r="D33" s="286">
        <v>2</v>
      </c>
      <c r="E33" s="1234">
        <v>7.1087005687876745</v>
      </c>
      <c r="F33" s="106"/>
      <c r="G33" s="803" t="s">
        <v>12938</v>
      </c>
      <c r="H33" s="242"/>
      <c r="I33" s="1233"/>
      <c r="J33" s="242"/>
      <c r="K33" s="238"/>
      <c r="L33" s="1232">
        <f t="shared" si="0"/>
        <v>0</v>
      </c>
      <c r="M33" s="238"/>
      <c r="N33" s="270">
        <f t="shared" si="1"/>
        <v>0</v>
      </c>
      <c r="O33" s="238"/>
      <c r="P33" s="219"/>
      <c r="Q33" s="460" t="s">
        <v>12937</v>
      </c>
      <c r="R33" s="1234" t="s">
        <v>12939</v>
      </c>
    </row>
    <row r="34" spans="1:19" ht="15.75" customHeight="1">
      <c r="A34" s="242"/>
      <c r="B34" s="460" t="s">
        <v>12940</v>
      </c>
      <c r="C34" s="286" t="s">
        <v>4843</v>
      </c>
      <c r="D34" s="286">
        <v>0</v>
      </c>
      <c r="E34" s="1234">
        <v>23</v>
      </c>
      <c r="F34" s="106"/>
      <c r="G34" s="803" t="s">
        <v>12941</v>
      </c>
      <c r="H34" s="242"/>
      <c r="I34" s="1233"/>
      <c r="J34" s="242"/>
      <c r="K34" s="238"/>
      <c r="L34" s="1232">
        <f t="shared" si="0"/>
        <v>0</v>
      </c>
      <c r="M34" s="238"/>
      <c r="N34" s="270">
        <f t="shared" si="1"/>
        <v>0</v>
      </c>
      <c r="O34" s="238"/>
      <c r="P34" s="219"/>
      <c r="Q34" s="460" t="s">
        <v>12940</v>
      </c>
      <c r="R34" s="1234" t="s">
        <v>12942</v>
      </c>
    </row>
    <row r="35" spans="1:19" ht="15.75" customHeight="1">
      <c r="A35" s="242"/>
      <c r="B35" s="460" t="s">
        <v>12943</v>
      </c>
      <c r="C35" s="286" t="s">
        <v>12500</v>
      </c>
      <c r="D35" s="286">
        <v>2</v>
      </c>
      <c r="E35" s="1234">
        <v>0.2409676273972603</v>
      </c>
      <c r="F35" s="106"/>
      <c r="G35" s="803" t="s">
        <v>12944</v>
      </c>
      <c r="H35" s="242"/>
      <c r="I35" s="1233"/>
      <c r="J35" s="242"/>
      <c r="K35" s="238"/>
      <c r="L35" s="1232">
        <f t="shared" si="0"/>
        <v>0</v>
      </c>
      <c r="M35" s="238"/>
      <c r="N35" s="270">
        <f t="shared" si="1"/>
        <v>0</v>
      </c>
      <c r="O35" s="238"/>
      <c r="P35" s="219"/>
      <c r="Q35" s="460" t="s">
        <v>12943</v>
      </c>
      <c r="R35" s="1234" t="s">
        <v>12945</v>
      </c>
    </row>
    <row r="36" spans="1:19" ht="15.75" customHeight="1">
      <c r="A36" s="242"/>
      <c r="B36" s="2377" t="s">
        <v>12946</v>
      </c>
      <c r="C36" s="2370" t="s">
        <v>12500</v>
      </c>
      <c r="D36" s="2370">
        <v>2</v>
      </c>
      <c r="E36" s="1234">
        <v>1005.1018835078572</v>
      </c>
      <c r="F36" s="106"/>
      <c r="G36" s="803" t="s">
        <v>12947</v>
      </c>
      <c r="H36" s="242"/>
      <c r="I36" s="1233"/>
      <c r="J36" s="242"/>
      <c r="K36" s="238"/>
      <c r="L36" s="1232">
        <f t="shared" si="0"/>
        <v>0</v>
      </c>
      <c r="M36" s="238"/>
      <c r="N36" s="270">
        <f t="shared" si="1"/>
        <v>0</v>
      </c>
      <c r="O36" s="238"/>
      <c r="P36" s="219"/>
      <c r="Q36" s="2377" t="s">
        <v>12946</v>
      </c>
      <c r="R36" s="1234" t="s">
        <v>17700</v>
      </c>
    </row>
    <row r="37" spans="1:19" ht="15.75" customHeight="1" thickBot="1">
      <c r="A37" s="242"/>
      <c r="B37" s="2422" t="s">
        <v>12948</v>
      </c>
      <c r="C37" s="2424" t="s">
        <v>4805</v>
      </c>
      <c r="D37" s="2424">
        <v>2</v>
      </c>
      <c r="E37" s="2596">
        <f>IFERROR(E36 / E48,0)</f>
        <v>1.1430335772872273</v>
      </c>
      <c r="F37" s="106"/>
      <c r="G37" s="2430" t="s">
        <v>4182</v>
      </c>
      <c r="H37" s="242"/>
      <c r="I37" s="1237"/>
      <c r="J37" s="242"/>
      <c r="K37" s="238"/>
      <c r="L37" s="1232">
        <f t="shared" si="0"/>
        <v>0</v>
      </c>
      <c r="M37" s="238"/>
      <c r="N37" s="270">
        <f t="shared" si="1"/>
        <v>0</v>
      </c>
      <c r="O37" s="238"/>
      <c r="P37" s="219"/>
      <c r="Q37" s="2422" t="s">
        <v>12948</v>
      </c>
      <c r="R37" s="1236" t="s">
        <v>17701</v>
      </c>
    </row>
    <row r="38" spans="1:19" ht="16.8"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6.8" thickTop="1" thickBot="1">
      <c r="A39" s="242"/>
      <c r="B39" s="2429" t="s">
        <v>12949</v>
      </c>
      <c r="C39" s="2423"/>
      <c r="D39" s="2423"/>
      <c r="E39" s="242"/>
      <c r="F39" s="242"/>
      <c r="G39" s="436"/>
      <c r="H39" s="242"/>
      <c r="I39" s="242"/>
      <c r="J39" s="242"/>
      <c r="K39" s="238"/>
      <c r="L39" s="219"/>
      <c r="M39" s="238"/>
      <c r="N39" s="270">
        <f t="shared" ref="N39:N48" si="2" xml:space="preserve"> IF( ISNUMBER(E39 ), 0, 1 )</f>
        <v>1</v>
      </c>
      <c r="O39" s="238"/>
      <c r="P39" s="219"/>
      <c r="Q39" s="2429" t="s">
        <v>12949</v>
      </c>
      <c r="R39" s="242"/>
      <c r="S39" s="16"/>
    </row>
    <row r="40" spans="1:19" s="2332" customFormat="1" ht="16.2" thickTop="1">
      <c r="A40" s="242"/>
      <c r="B40" s="2417" t="s">
        <v>12950</v>
      </c>
      <c r="C40" s="277" t="s">
        <v>12500</v>
      </c>
      <c r="D40" s="277">
        <v>2</v>
      </c>
      <c r="E40" s="1296">
        <v>161.86197924067682</v>
      </c>
      <c r="F40" s="242"/>
      <c r="G40" s="2426" t="s">
        <v>12951</v>
      </c>
      <c r="H40" s="242"/>
      <c r="I40" s="1040"/>
      <c r="J40" s="242"/>
      <c r="K40" s="238"/>
      <c r="L40" s="1232">
        <f t="shared" ref="L40:L48" si="3">IF( SUM( N40:N40 ) = 0, 0, $N$5 )</f>
        <v>0</v>
      </c>
      <c r="M40" s="238"/>
      <c r="N40" s="270">
        <f t="shared" si="2"/>
        <v>0</v>
      </c>
      <c r="O40" s="238"/>
      <c r="P40" s="219"/>
      <c r="Q40" s="451" t="s">
        <v>12952</v>
      </c>
      <c r="R40" s="1711" t="s">
        <v>12953</v>
      </c>
      <c r="S40" s="16"/>
    </row>
    <row r="41" spans="1:19" s="2332" customFormat="1" ht="15.6">
      <c r="A41" s="16"/>
      <c r="B41" s="2377" t="s">
        <v>12954</v>
      </c>
      <c r="C41" s="286" t="s">
        <v>12500</v>
      </c>
      <c r="D41" s="286">
        <v>2</v>
      </c>
      <c r="E41" s="1234">
        <v>283.18257925888389</v>
      </c>
      <c r="F41" s="16"/>
      <c r="G41" s="2431" t="s">
        <v>12955</v>
      </c>
      <c r="H41" s="16"/>
      <c r="I41" s="1233"/>
      <c r="J41" s="16"/>
      <c r="K41" s="238"/>
      <c r="L41" s="1232">
        <f t="shared" si="3"/>
        <v>0</v>
      </c>
      <c r="M41" s="238"/>
      <c r="N41" s="270">
        <f t="shared" si="2"/>
        <v>0</v>
      </c>
      <c r="O41" s="238"/>
      <c r="P41" s="16"/>
      <c r="Q41" s="460" t="s">
        <v>12956</v>
      </c>
      <c r="R41" s="1269" t="s">
        <v>12957</v>
      </c>
      <c r="S41" s="16"/>
    </row>
    <row r="42" spans="1:19" s="2332" customFormat="1" ht="15.6">
      <c r="A42" s="16"/>
      <c r="B42" s="2377" t="s">
        <v>12958</v>
      </c>
      <c r="C42" s="286" t="s">
        <v>12500</v>
      </c>
      <c r="D42" s="286">
        <v>2</v>
      </c>
      <c r="E42" s="1234">
        <v>168.17908250311893</v>
      </c>
      <c r="F42" s="16"/>
      <c r="G42" s="2431" t="s">
        <v>12959</v>
      </c>
      <c r="H42" s="16"/>
      <c r="I42" s="1233"/>
      <c r="J42" s="16"/>
      <c r="K42" s="238"/>
      <c r="L42" s="1232">
        <f t="shared" si="3"/>
        <v>0</v>
      </c>
      <c r="M42" s="238"/>
      <c r="N42" s="270">
        <f t="shared" si="2"/>
        <v>0</v>
      </c>
      <c r="O42" s="238"/>
      <c r="P42" s="16"/>
      <c r="Q42" s="460" t="s">
        <v>12960</v>
      </c>
      <c r="R42" s="1269" t="s">
        <v>12961</v>
      </c>
      <c r="S42" s="16"/>
    </row>
    <row r="43" spans="1:19" s="2332" customFormat="1" ht="15.6">
      <c r="A43" s="16"/>
      <c r="B43" s="2377" t="s">
        <v>12962</v>
      </c>
      <c r="C43" s="286" t="s">
        <v>12500</v>
      </c>
      <c r="D43" s="286">
        <v>2</v>
      </c>
      <c r="E43" s="1234">
        <v>4.6216309010639991</v>
      </c>
      <c r="F43" s="16"/>
      <c r="G43" s="2431" t="s">
        <v>12963</v>
      </c>
      <c r="H43" s="16"/>
      <c r="I43" s="842"/>
      <c r="J43" s="16"/>
      <c r="K43" s="238"/>
      <c r="L43" s="1232">
        <f t="shared" si="3"/>
        <v>0</v>
      </c>
      <c r="M43" s="238"/>
      <c r="N43" s="270">
        <f t="shared" si="2"/>
        <v>0</v>
      </c>
      <c r="O43" s="238"/>
      <c r="P43" s="16"/>
      <c r="Q43" s="460" t="s">
        <v>12964</v>
      </c>
      <c r="R43" s="1234" t="s">
        <v>12965</v>
      </c>
      <c r="S43" s="16"/>
    </row>
    <row r="44" spans="1:19" s="2332" customFormat="1" ht="15.6">
      <c r="A44" s="16"/>
      <c r="B44" s="460" t="s">
        <v>12966</v>
      </c>
      <c r="C44" s="286" t="s">
        <v>12500</v>
      </c>
      <c r="D44" s="286">
        <v>2</v>
      </c>
      <c r="E44" s="1234">
        <v>253.21014545153778</v>
      </c>
      <c r="F44" s="106"/>
      <c r="G44" s="2431" t="s">
        <v>12967</v>
      </c>
      <c r="H44" s="242"/>
      <c r="I44" s="1233" t="s">
        <v>18547</v>
      </c>
      <c r="J44" s="242"/>
      <c r="K44" s="238"/>
      <c r="L44" s="1232">
        <f t="shared" si="3"/>
        <v>0</v>
      </c>
      <c r="M44" s="238"/>
      <c r="N44" s="270">
        <f t="shared" si="2"/>
        <v>0</v>
      </c>
      <c r="O44" s="238"/>
      <c r="P44" s="219"/>
      <c r="Q44" s="460" t="s">
        <v>12966</v>
      </c>
      <c r="R44" s="1234" t="s">
        <v>12968</v>
      </c>
      <c r="S44" s="16"/>
    </row>
    <row r="45" spans="1:19" s="2332" customFormat="1" ht="15.6">
      <c r="A45" s="16"/>
      <c r="B45" s="460" t="s">
        <v>12969</v>
      </c>
      <c r="C45" s="286" t="s">
        <v>12500</v>
      </c>
      <c r="D45" s="286">
        <v>2</v>
      </c>
      <c r="E45" s="1234">
        <v>0.96819953179638696</v>
      </c>
      <c r="F45" s="16"/>
      <c r="G45" s="2431" t="s">
        <v>12970</v>
      </c>
      <c r="H45" s="16"/>
      <c r="I45" s="1233"/>
      <c r="J45" s="16"/>
      <c r="K45" s="238"/>
      <c r="L45" s="1232">
        <f t="shared" si="3"/>
        <v>0</v>
      </c>
      <c r="M45" s="238"/>
      <c r="N45" s="270">
        <f t="shared" si="2"/>
        <v>0</v>
      </c>
      <c r="O45" s="238"/>
      <c r="P45" s="16"/>
      <c r="Q45" s="460" t="s">
        <v>12969</v>
      </c>
      <c r="R45" s="1234" t="s">
        <v>12971</v>
      </c>
      <c r="S45" s="16"/>
    </row>
    <row r="46" spans="1:19" s="2332" customFormat="1" ht="15.6">
      <c r="A46" s="16"/>
      <c r="B46" s="460" t="s">
        <v>12972</v>
      </c>
      <c r="C46" s="286" t="s">
        <v>12500</v>
      </c>
      <c r="D46" s="286">
        <v>2</v>
      </c>
      <c r="E46" s="1234">
        <v>5.7023112143898063</v>
      </c>
      <c r="F46" s="106"/>
      <c r="G46" s="2431" t="s">
        <v>12973</v>
      </c>
      <c r="H46" s="242"/>
      <c r="I46" s="1233"/>
      <c r="J46" s="242"/>
      <c r="K46" s="238"/>
      <c r="L46" s="1232">
        <f t="shared" si="3"/>
        <v>0</v>
      </c>
      <c r="M46" s="238"/>
      <c r="N46" s="270">
        <f t="shared" si="2"/>
        <v>0</v>
      </c>
      <c r="O46" s="238"/>
      <c r="P46" s="219"/>
      <c r="Q46" s="460" t="s">
        <v>12972</v>
      </c>
      <c r="R46" s="1234" t="s">
        <v>12974</v>
      </c>
      <c r="S46" s="16"/>
    </row>
    <row r="47" spans="1:19" s="2332" customFormat="1" ht="15.6">
      <c r="A47" s="16"/>
      <c r="B47" s="460" t="s">
        <v>12975</v>
      </c>
      <c r="C47" s="286" t="s">
        <v>12500</v>
      </c>
      <c r="D47" s="286">
        <v>2</v>
      </c>
      <c r="E47" s="1234">
        <v>877.7259281014675</v>
      </c>
      <c r="F47" s="106"/>
      <c r="G47" s="2431" t="s">
        <v>12976</v>
      </c>
      <c r="H47" s="242"/>
      <c r="I47" s="1233"/>
      <c r="J47" s="242"/>
      <c r="K47" s="238"/>
      <c r="L47" s="1232">
        <f t="shared" si="3"/>
        <v>0</v>
      </c>
      <c r="M47" s="238"/>
      <c r="N47" s="270">
        <f t="shared" si="2"/>
        <v>0</v>
      </c>
      <c r="O47" s="238"/>
      <c r="P47" s="219"/>
      <c r="Q47" s="460" t="s">
        <v>12975</v>
      </c>
      <c r="R47" s="1266" t="s">
        <v>12977</v>
      </c>
      <c r="S47" s="16"/>
    </row>
    <row r="48" spans="1:19" s="2332" customFormat="1" ht="16.2" thickBot="1">
      <c r="A48" s="16"/>
      <c r="B48" s="463" t="s">
        <v>12978</v>
      </c>
      <c r="C48" s="355" t="s">
        <v>12500</v>
      </c>
      <c r="D48" s="355">
        <v>2</v>
      </c>
      <c r="E48" s="1236">
        <v>879.32839724032885</v>
      </c>
      <c r="F48" s="16"/>
      <c r="G48" s="2430" t="s">
        <v>12979</v>
      </c>
      <c r="H48" s="16"/>
      <c r="I48" s="1237"/>
      <c r="J48" s="16"/>
      <c r="K48" s="238"/>
      <c r="L48" s="1232">
        <f t="shared" si="3"/>
        <v>0</v>
      </c>
      <c r="M48" s="238"/>
      <c r="N48" s="270">
        <f t="shared" si="2"/>
        <v>0</v>
      </c>
      <c r="O48" s="238"/>
      <c r="P48" s="16"/>
      <c r="Q48" s="463" t="s">
        <v>12978</v>
      </c>
      <c r="R48" s="2428" t="s">
        <v>12980</v>
      </c>
      <c r="S48" s="16"/>
    </row>
    <row r="49" spans="1:19" s="2332" customFormat="1" ht="15.6" thickTop="1" thickBot="1">
      <c r="A49" s="16"/>
      <c r="B49" s="2425"/>
      <c r="C49" s="2425"/>
      <c r="D49" s="2425"/>
      <c r="E49" s="16"/>
      <c r="F49" s="16"/>
      <c r="G49" s="2432"/>
      <c r="H49" s="16"/>
      <c r="I49" s="16"/>
      <c r="J49" s="16"/>
      <c r="K49" s="238"/>
      <c r="L49" s="16"/>
      <c r="M49" s="238"/>
      <c r="N49" s="16"/>
      <c r="O49" s="238"/>
      <c r="P49" s="16"/>
      <c r="Q49" s="2425"/>
      <c r="R49" s="16"/>
      <c r="S49" s="16"/>
    </row>
    <row r="50" spans="1:19" s="2332" customFormat="1" ht="16.8" thickTop="1" thickBot="1">
      <c r="A50" s="16"/>
      <c r="B50" s="2429" t="s">
        <v>12981</v>
      </c>
      <c r="C50" s="2423"/>
      <c r="D50" s="2423"/>
      <c r="E50" s="242"/>
      <c r="F50" s="242"/>
      <c r="G50" s="436"/>
      <c r="H50" s="242"/>
      <c r="I50" s="242"/>
      <c r="J50" s="242"/>
      <c r="K50" s="238"/>
      <c r="L50" s="219"/>
      <c r="M50" s="238"/>
      <c r="N50" s="219"/>
      <c r="O50" s="238"/>
      <c r="P50" s="219"/>
      <c r="Q50" s="2429" t="s">
        <v>12981</v>
      </c>
      <c r="R50" s="242"/>
      <c r="S50" s="16"/>
    </row>
    <row r="51" spans="1:19" s="2332" customFormat="1" ht="16.2" thickTop="1">
      <c r="A51" s="16"/>
      <c r="B51" s="2417" t="s">
        <v>12950</v>
      </c>
      <c r="C51" s="277" t="s">
        <v>12500</v>
      </c>
      <c r="D51" s="277">
        <v>2</v>
      </c>
      <c r="E51" s="1711"/>
      <c r="F51" s="242"/>
      <c r="G51" s="2426" t="s">
        <v>12982</v>
      </c>
      <c r="H51" s="242"/>
      <c r="I51" s="1040"/>
      <c r="J51" s="242"/>
      <c r="K51" s="238"/>
      <c r="L51" s="1232" t="str">
        <f>IF( SUM( N51:N51 ) = 0, 0, $N$5 )</f>
        <v>Please complete all cells in row</v>
      </c>
      <c r="M51" s="238"/>
      <c r="N51" s="270">
        <f t="shared" ref="N51:N59" si="4" xml:space="preserve"> IF( ISNUMBER(E51 ), 0, 1 )</f>
        <v>1</v>
      </c>
      <c r="O51" s="238"/>
      <c r="P51" s="219"/>
      <c r="Q51" s="451" t="s">
        <v>12952</v>
      </c>
      <c r="R51" s="1711" t="s">
        <v>12983</v>
      </c>
      <c r="S51" s="16"/>
    </row>
    <row r="52" spans="1:19" s="2332" customFormat="1" ht="15.6">
      <c r="A52" s="16"/>
      <c r="B52" s="2377" t="s">
        <v>12954</v>
      </c>
      <c r="C52" s="286" t="s">
        <v>12500</v>
      </c>
      <c r="D52" s="286">
        <v>2</v>
      </c>
      <c r="E52" s="1269"/>
      <c r="F52" s="16"/>
      <c r="G52" s="2431" t="s">
        <v>12984</v>
      </c>
      <c r="H52" s="16"/>
      <c r="I52" s="1233"/>
      <c r="J52" s="16"/>
      <c r="K52" s="238"/>
      <c r="L52" s="1232" t="str">
        <f t="shared" ref="L52:L59" si="5">IF( SUM( N52:N52 ) = 0, 0, $N$5 )</f>
        <v>Please complete all cells in row</v>
      </c>
      <c r="M52" s="238"/>
      <c r="N52" s="270">
        <f t="shared" si="4"/>
        <v>1</v>
      </c>
      <c r="O52" s="238"/>
      <c r="P52" s="16"/>
      <c r="Q52" s="460" t="s">
        <v>12956</v>
      </c>
      <c r="R52" s="1269" t="s">
        <v>12985</v>
      </c>
      <c r="S52" s="16"/>
    </row>
    <row r="53" spans="1:19" s="2332" customFormat="1" ht="15.6">
      <c r="A53" s="16"/>
      <c r="B53" s="2377" t="s">
        <v>12958</v>
      </c>
      <c r="C53" s="286" t="s">
        <v>12500</v>
      </c>
      <c r="D53" s="286">
        <v>2</v>
      </c>
      <c r="E53" s="1269"/>
      <c r="F53" s="16"/>
      <c r="G53" s="2431" t="s">
        <v>12986</v>
      </c>
      <c r="H53" s="16"/>
      <c r="I53" s="1233"/>
      <c r="J53" s="16"/>
      <c r="K53" s="238"/>
      <c r="L53" s="1232" t="str">
        <f t="shared" si="5"/>
        <v>Please complete all cells in row</v>
      </c>
      <c r="M53" s="238"/>
      <c r="N53" s="270">
        <f t="shared" si="4"/>
        <v>1</v>
      </c>
      <c r="O53" s="238"/>
      <c r="P53" s="16"/>
      <c r="Q53" s="460" t="s">
        <v>12960</v>
      </c>
      <c r="R53" s="1269" t="s">
        <v>12987</v>
      </c>
      <c r="S53" s="16"/>
    </row>
    <row r="54" spans="1:19" s="2332" customFormat="1" ht="15.6">
      <c r="A54" s="16"/>
      <c r="B54" s="2377" t="s">
        <v>12962</v>
      </c>
      <c r="C54" s="286" t="s">
        <v>12500</v>
      </c>
      <c r="D54" s="286">
        <v>2</v>
      </c>
      <c r="E54" s="1234"/>
      <c r="F54" s="16"/>
      <c r="G54" s="2431" t="s">
        <v>12988</v>
      </c>
      <c r="H54" s="16"/>
      <c r="I54" s="842"/>
      <c r="J54" s="16"/>
      <c r="K54" s="238"/>
      <c r="L54" s="1232" t="str">
        <f t="shared" si="5"/>
        <v>Please complete all cells in row</v>
      </c>
      <c r="M54" s="238"/>
      <c r="N54" s="270">
        <f t="shared" si="4"/>
        <v>1</v>
      </c>
      <c r="O54" s="238"/>
      <c r="P54" s="16"/>
      <c r="Q54" s="460" t="s">
        <v>12964</v>
      </c>
      <c r="R54" s="1234" t="s">
        <v>12989</v>
      </c>
      <c r="S54" s="16"/>
    </row>
    <row r="55" spans="1:19" s="2332" customFormat="1" ht="15.6">
      <c r="A55" s="16"/>
      <c r="B55" s="460" t="s">
        <v>12966</v>
      </c>
      <c r="C55" s="286" t="s">
        <v>12500</v>
      </c>
      <c r="D55" s="286">
        <v>2</v>
      </c>
      <c r="E55" s="1234"/>
      <c r="F55" s="106"/>
      <c r="G55" s="2431" t="s">
        <v>12990</v>
      </c>
      <c r="H55" s="242"/>
      <c r="I55" s="1233"/>
      <c r="J55" s="242"/>
      <c r="K55" s="238"/>
      <c r="L55" s="1232" t="str">
        <f t="shared" si="5"/>
        <v>Please complete all cells in row</v>
      </c>
      <c r="M55" s="238"/>
      <c r="N55" s="270">
        <f t="shared" si="4"/>
        <v>1</v>
      </c>
      <c r="O55" s="238"/>
      <c r="P55" s="219"/>
      <c r="Q55" s="460" t="s">
        <v>12966</v>
      </c>
      <c r="R55" s="1234" t="s">
        <v>12991</v>
      </c>
      <c r="S55" s="16"/>
    </row>
    <row r="56" spans="1:19" s="2332" customFormat="1" ht="15.6">
      <c r="A56" s="16"/>
      <c r="B56" s="460" t="s">
        <v>12969</v>
      </c>
      <c r="C56" s="286" t="s">
        <v>12500</v>
      </c>
      <c r="D56" s="286">
        <v>2</v>
      </c>
      <c r="E56" s="1234"/>
      <c r="F56" s="16"/>
      <c r="G56" s="2431" t="s">
        <v>12992</v>
      </c>
      <c r="H56" s="16"/>
      <c r="I56" s="1233"/>
      <c r="J56" s="16"/>
      <c r="K56" s="238"/>
      <c r="L56" s="1232" t="str">
        <f t="shared" si="5"/>
        <v>Please complete all cells in row</v>
      </c>
      <c r="M56" s="238"/>
      <c r="N56" s="270">
        <f t="shared" si="4"/>
        <v>1</v>
      </c>
      <c r="O56" s="238"/>
      <c r="P56" s="16"/>
      <c r="Q56" s="460" t="s">
        <v>12969</v>
      </c>
      <c r="R56" s="1234" t="s">
        <v>12993</v>
      </c>
      <c r="S56" s="16"/>
    </row>
    <row r="57" spans="1:19" s="2332" customFormat="1" ht="15.6">
      <c r="A57" s="16"/>
      <c r="B57" s="460" t="s">
        <v>12972</v>
      </c>
      <c r="C57" s="286" t="s">
        <v>12500</v>
      </c>
      <c r="D57" s="286">
        <v>2</v>
      </c>
      <c r="E57" s="1234"/>
      <c r="F57" s="106"/>
      <c r="G57" s="2431" t="s">
        <v>12994</v>
      </c>
      <c r="H57" s="242"/>
      <c r="I57" s="1233"/>
      <c r="J57" s="242"/>
      <c r="K57" s="238"/>
      <c r="L57" s="1232" t="str">
        <f t="shared" si="5"/>
        <v>Please complete all cells in row</v>
      </c>
      <c r="M57" s="238"/>
      <c r="N57" s="270">
        <f t="shared" si="4"/>
        <v>1</v>
      </c>
      <c r="O57" s="238"/>
      <c r="P57" s="219"/>
      <c r="Q57" s="460" t="s">
        <v>12972</v>
      </c>
      <c r="R57" s="1234" t="s">
        <v>12995</v>
      </c>
      <c r="S57" s="16"/>
    </row>
    <row r="58" spans="1:19" s="2332" customFormat="1" ht="15.6">
      <c r="A58" s="16"/>
      <c r="B58" s="460" t="s">
        <v>12975</v>
      </c>
      <c r="C58" s="286" t="s">
        <v>12500</v>
      </c>
      <c r="D58" s="286">
        <v>2</v>
      </c>
      <c r="E58" s="1266"/>
      <c r="F58" s="106"/>
      <c r="G58" s="2431" t="s">
        <v>12996</v>
      </c>
      <c r="H58" s="242"/>
      <c r="I58" s="1233"/>
      <c r="J58" s="242"/>
      <c r="K58" s="238"/>
      <c r="L58" s="1232" t="str">
        <f t="shared" si="5"/>
        <v>Please complete all cells in row</v>
      </c>
      <c r="M58" s="238"/>
      <c r="N58" s="270">
        <f t="shared" si="4"/>
        <v>1</v>
      </c>
      <c r="O58" s="238"/>
      <c r="P58" s="219"/>
      <c r="Q58" s="460" t="s">
        <v>12975</v>
      </c>
      <c r="R58" s="1266" t="s">
        <v>12997</v>
      </c>
      <c r="S58" s="16"/>
    </row>
    <row r="59" spans="1:19" s="2332" customFormat="1" ht="16.2" thickBot="1">
      <c r="A59" s="16"/>
      <c r="B59" s="463" t="s">
        <v>12978</v>
      </c>
      <c r="C59" s="355" t="s">
        <v>12500</v>
      </c>
      <c r="D59" s="355">
        <v>2</v>
      </c>
      <c r="E59" s="2428"/>
      <c r="F59" s="16"/>
      <c r="G59" s="2430" t="s">
        <v>12998</v>
      </c>
      <c r="H59" s="16"/>
      <c r="I59" s="1237"/>
      <c r="J59" s="16"/>
      <c r="K59" s="238"/>
      <c r="L59" s="1232" t="str">
        <f t="shared" si="5"/>
        <v>Please complete all cells in row</v>
      </c>
      <c r="M59" s="238"/>
      <c r="N59" s="270">
        <f t="shared" si="4"/>
        <v>1</v>
      </c>
      <c r="O59" s="238"/>
      <c r="P59" s="16"/>
      <c r="Q59" s="463" t="s">
        <v>12978</v>
      </c>
      <c r="R59" s="2428" t="s">
        <v>12999</v>
      </c>
      <c r="S59" s="16"/>
    </row>
    <row r="60" spans="1:19" s="2332" customFormat="1" ht="15.6" thickTop="1" thickBot="1">
      <c r="A60" s="16"/>
      <c r="B60" s="2425"/>
      <c r="C60" s="2425"/>
      <c r="D60" s="2425"/>
      <c r="E60" s="16"/>
      <c r="F60" s="16"/>
      <c r="G60" s="2432"/>
      <c r="H60" s="16"/>
      <c r="I60" s="16"/>
      <c r="J60" s="16"/>
      <c r="K60" s="238"/>
      <c r="L60" s="16"/>
      <c r="M60" s="238"/>
      <c r="N60" s="16"/>
      <c r="O60" s="238"/>
      <c r="P60" s="16"/>
      <c r="Q60" s="2425"/>
      <c r="R60" s="16"/>
      <c r="S60" s="16"/>
    </row>
    <row r="61" spans="1:19" s="2332" customFormat="1" ht="16.8" thickTop="1" thickBot="1">
      <c r="A61" s="16"/>
      <c r="B61" s="2429" t="s">
        <v>13000</v>
      </c>
      <c r="C61" s="2423"/>
      <c r="D61" s="2423"/>
      <c r="E61" s="242"/>
      <c r="F61" s="242"/>
      <c r="G61" s="436"/>
      <c r="H61" s="242"/>
      <c r="I61" s="242"/>
      <c r="J61" s="242"/>
      <c r="K61" s="238"/>
      <c r="L61" s="16"/>
      <c r="M61" s="238"/>
      <c r="N61" s="219"/>
      <c r="O61" s="238"/>
      <c r="P61" s="219"/>
      <c r="Q61" s="2429" t="s">
        <v>13000</v>
      </c>
      <c r="R61" s="242"/>
      <c r="S61" s="16"/>
    </row>
    <row r="62" spans="1:19" s="2332" customFormat="1" ht="16.2" thickTop="1">
      <c r="A62" s="16"/>
      <c r="B62" s="2417" t="s">
        <v>12950</v>
      </c>
      <c r="C62" s="277" t="s">
        <v>12500</v>
      </c>
      <c r="D62" s="277">
        <v>2</v>
      </c>
      <c r="E62" s="1711"/>
      <c r="F62" s="242"/>
      <c r="G62" s="2426" t="s">
        <v>13001</v>
      </c>
      <c r="H62" s="242"/>
      <c r="I62" s="1040"/>
      <c r="J62" s="242"/>
      <c r="K62" s="238"/>
      <c r="L62" s="1232" t="str">
        <f>IF( SUM( N62:N62 ) = 0, 0, $N$5 )</f>
        <v>Please complete all cells in row</v>
      </c>
      <c r="M62" s="238"/>
      <c r="N62" s="270">
        <f t="shared" ref="N62:N70" si="6" xml:space="preserve"> IF( ISNUMBER(E62 ), 0, 1 )</f>
        <v>1</v>
      </c>
      <c r="O62" s="238"/>
      <c r="P62" s="219"/>
      <c r="Q62" s="451" t="s">
        <v>12952</v>
      </c>
      <c r="R62" s="1711" t="s">
        <v>13002</v>
      </c>
      <c r="S62" s="16"/>
    </row>
    <row r="63" spans="1:19" s="2332" customFormat="1" ht="15.6">
      <c r="A63" s="16"/>
      <c r="B63" s="2377" t="s">
        <v>12954</v>
      </c>
      <c r="C63" s="286" t="s">
        <v>12500</v>
      </c>
      <c r="D63" s="286">
        <v>2</v>
      </c>
      <c r="E63" s="1269"/>
      <c r="F63" s="16"/>
      <c r="G63" s="2431" t="s">
        <v>13003</v>
      </c>
      <c r="H63" s="16"/>
      <c r="I63" s="1233"/>
      <c r="J63" s="16"/>
      <c r="K63" s="238"/>
      <c r="L63" s="1232" t="str">
        <f t="shared" ref="L63:L70" si="7">IF( SUM( N63:N63 ) = 0, 0, $N$5 )</f>
        <v>Please complete all cells in row</v>
      </c>
      <c r="M63" s="238"/>
      <c r="N63" s="270">
        <f t="shared" si="6"/>
        <v>1</v>
      </c>
      <c r="O63" s="238"/>
      <c r="P63" s="16"/>
      <c r="Q63" s="460" t="s">
        <v>12956</v>
      </c>
      <c r="R63" s="1269" t="s">
        <v>13004</v>
      </c>
      <c r="S63" s="16"/>
    </row>
    <row r="64" spans="1:19" s="2332" customFormat="1" ht="15.6">
      <c r="A64" s="16"/>
      <c r="B64" s="2377" t="s">
        <v>12958</v>
      </c>
      <c r="C64" s="286" t="s">
        <v>12500</v>
      </c>
      <c r="D64" s="286">
        <v>2</v>
      </c>
      <c r="E64" s="1269"/>
      <c r="F64" s="16"/>
      <c r="G64" s="2431" t="s">
        <v>13005</v>
      </c>
      <c r="H64" s="16"/>
      <c r="I64" s="1233"/>
      <c r="J64" s="16"/>
      <c r="K64" s="238"/>
      <c r="L64" s="1232" t="str">
        <f t="shared" si="7"/>
        <v>Please complete all cells in row</v>
      </c>
      <c r="M64" s="238"/>
      <c r="N64" s="270">
        <f t="shared" si="6"/>
        <v>1</v>
      </c>
      <c r="O64" s="238"/>
      <c r="P64" s="16"/>
      <c r="Q64" s="460" t="s">
        <v>12960</v>
      </c>
      <c r="R64" s="1269" t="s">
        <v>13006</v>
      </c>
      <c r="S64" s="16"/>
    </row>
    <row r="65" spans="1:19" s="2332" customFormat="1" ht="15.6">
      <c r="A65" s="16"/>
      <c r="B65" s="2377" t="s">
        <v>12962</v>
      </c>
      <c r="C65" s="286" t="s">
        <v>12500</v>
      </c>
      <c r="D65" s="286">
        <v>2</v>
      </c>
      <c r="E65" s="1234"/>
      <c r="F65" s="16"/>
      <c r="G65" s="2431" t="s">
        <v>13007</v>
      </c>
      <c r="H65" s="16"/>
      <c r="I65" s="842"/>
      <c r="J65" s="16"/>
      <c r="K65" s="238"/>
      <c r="L65" s="1232" t="str">
        <f t="shared" si="7"/>
        <v>Please complete all cells in row</v>
      </c>
      <c r="M65" s="238"/>
      <c r="N65" s="270">
        <f t="shared" si="6"/>
        <v>1</v>
      </c>
      <c r="O65" s="238"/>
      <c r="P65" s="16"/>
      <c r="Q65" s="460" t="s">
        <v>12964</v>
      </c>
      <c r="R65" s="1234" t="s">
        <v>13008</v>
      </c>
      <c r="S65" s="16"/>
    </row>
    <row r="66" spans="1:19" s="2332" customFormat="1" ht="15.6">
      <c r="A66" s="16"/>
      <c r="B66" s="460" t="s">
        <v>12966</v>
      </c>
      <c r="C66" s="286" t="s">
        <v>12500</v>
      </c>
      <c r="D66" s="286">
        <v>2</v>
      </c>
      <c r="E66" s="1234"/>
      <c r="F66" s="106"/>
      <c r="G66" s="2431" t="s">
        <v>13009</v>
      </c>
      <c r="H66" s="242"/>
      <c r="I66" s="1233"/>
      <c r="J66" s="242"/>
      <c r="K66" s="238"/>
      <c r="L66" s="1232" t="str">
        <f t="shared" si="7"/>
        <v>Please complete all cells in row</v>
      </c>
      <c r="M66" s="238"/>
      <c r="N66" s="270">
        <f t="shared" si="6"/>
        <v>1</v>
      </c>
      <c r="O66" s="238"/>
      <c r="P66" s="219"/>
      <c r="Q66" s="460" t="s">
        <v>12966</v>
      </c>
      <c r="R66" s="1234" t="s">
        <v>13010</v>
      </c>
      <c r="S66" s="16"/>
    </row>
    <row r="67" spans="1:19" s="2332" customFormat="1" ht="15.6">
      <c r="A67" s="16"/>
      <c r="B67" s="460" t="s">
        <v>12969</v>
      </c>
      <c r="C67" s="286" t="s">
        <v>12500</v>
      </c>
      <c r="D67" s="286">
        <v>2</v>
      </c>
      <c r="E67" s="1234"/>
      <c r="F67" s="16"/>
      <c r="G67" s="2431" t="s">
        <v>13011</v>
      </c>
      <c r="H67" s="16"/>
      <c r="I67" s="1233"/>
      <c r="J67" s="16"/>
      <c r="K67" s="238"/>
      <c r="L67" s="1232" t="str">
        <f t="shared" si="7"/>
        <v>Please complete all cells in row</v>
      </c>
      <c r="M67" s="238"/>
      <c r="N67" s="270">
        <f t="shared" si="6"/>
        <v>1</v>
      </c>
      <c r="O67" s="238"/>
      <c r="P67" s="16"/>
      <c r="Q67" s="460" t="s">
        <v>12969</v>
      </c>
      <c r="R67" s="1234" t="s">
        <v>13012</v>
      </c>
      <c r="S67" s="16"/>
    </row>
    <row r="68" spans="1:19" s="2332" customFormat="1" ht="15.6">
      <c r="A68" s="16"/>
      <c r="B68" s="460" t="s">
        <v>12972</v>
      </c>
      <c r="C68" s="286" t="s">
        <v>12500</v>
      </c>
      <c r="D68" s="286">
        <v>2</v>
      </c>
      <c r="E68" s="1234"/>
      <c r="F68" s="106"/>
      <c r="G68" s="2431" t="s">
        <v>13013</v>
      </c>
      <c r="H68" s="242"/>
      <c r="I68" s="1233"/>
      <c r="J68" s="242"/>
      <c r="K68" s="238"/>
      <c r="L68" s="1232" t="str">
        <f t="shared" si="7"/>
        <v>Please complete all cells in row</v>
      </c>
      <c r="M68" s="238"/>
      <c r="N68" s="270">
        <f t="shared" si="6"/>
        <v>1</v>
      </c>
      <c r="O68" s="238"/>
      <c r="P68" s="219"/>
      <c r="Q68" s="460" t="s">
        <v>12972</v>
      </c>
      <c r="R68" s="1234" t="s">
        <v>13014</v>
      </c>
      <c r="S68" s="16"/>
    </row>
    <row r="69" spans="1:19" s="2332" customFormat="1" ht="15.6">
      <c r="A69" s="16"/>
      <c r="B69" s="460" t="s">
        <v>12975</v>
      </c>
      <c r="C69" s="286" t="s">
        <v>12500</v>
      </c>
      <c r="D69" s="286">
        <v>2</v>
      </c>
      <c r="E69" s="1266"/>
      <c r="F69" s="106"/>
      <c r="G69" s="2431" t="s">
        <v>13015</v>
      </c>
      <c r="H69" s="242"/>
      <c r="I69" s="1233"/>
      <c r="J69" s="242"/>
      <c r="K69" s="238"/>
      <c r="L69" s="1232" t="str">
        <f t="shared" si="7"/>
        <v>Please complete all cells in row</v>
      </c>
      <c r="M69" s="238"/>
      <c r="N69" s="270">
        <f t="shared" si="6"/>
        <v>1</v>
      </c>
      <c r="O69" s="238"/>
      <c r="P69" s="219"/>
      <c r="Q69" s="460" t="s">
        <v>12975</v>
      </c>
      <c r="R69" s="1266" t="s">
        <v>13016</v>
      </c>
      <c r="S69" s="16"/>
    </row>
    <row r="70" spans="1:19" s="2332" customFormat="1" ht="16.2" thickBot="1">
      <c r="A70" s="16"/>
      <c r="B70" s="463" t="s">
        <v>12978</v>
      </c>
      <c r="C70" s="355" t="s">
        <v>12500</v>
      </c>
      <c r="D70" s="355">
        <v>2</v>
      </c>
      <c r="E70" s="2428"/>
      <c r="F70" s="16"/>
      <c r="G70" s="2430" t="s">
        <v>13017</v>
      </c>
      <c r="H70" s="16"/>
      <c r="I70" s="1237"/>
      <c r="J70" s="16"/>
      <c r="K70" s="238"/>
      <c r="L70" s="1232" t="str">
        <f t="shared" si="7"/>
        <v>Please complete all cells in row</v>
      </c>
      <c r="M70" s="238"/>
      <c r="N70" s="270">
        <f t="shared" si="6"/>
        <v>1</v>
      </c>
      <c r="O70" s="238"/>
      <c r="P70" s="16"/>
      <c r="Q70" s="463" t="s">
        <v>12978</v>
      </c>
      <c r="R70" s="2428" t="s">
        <v>13018</v>
      </c>
      <c r="S70" s="16"/>
    </row>
    <row r="71" spans="1:19" s="2332" customFormat="1" ht="15.6" thickTop="1" thickBot="1">
      <c r="A71" s="16"/>
      <c r="B71" s="2425"/>
      <c r="C71" s="2425"/>
      <c r="D71" s="2425"/>
      <c r="E71" s="16"/>
      <c r="F71" s="16"/>
      <c r="G71" s="2432"/>
      <c r="H71" s="16"/>
      <c r="I71" s="16"/>
      <c r="J71" s="16"/>
      <c r="K71" s="238"/>
      <c r="L71" s="16"/>
      <c r="M71" s="238"/>
      <c r="N71" s="16"/>
      <c r="O71" s="238"/>
      <c r="P71" s="16"/>
      <c r="Q71" s="2425"/>
      <c r="R71" s="16"/>
      <c r="S71" s="16"/>
    </row>
    <row r="72" spans="1:19" s="2332" customFormat="1" ht="16.2" thickTop="1" thickBot="1">
      <c r="A72" s="16"/>
      <c r="B72" s="2429" t="s">
        <v>13019</v>
      </c>
      <c r="C72" s="2427"/>
      <c r="D72" s="2427"/>
      <c r="E72" s="16"/>
      <c r="F72" s="16"/>
      <c r="G72" s="2432"/>
      <c r="H72" s="16"/>
      <c r="I72" s="16"/>
      <c r="J72" s="16"/>
      <c r="K72" s="238"/>
      <c r="L72" s="16"/>
      <c r="M72" s="238"/>
      <c r="N72" s="16"/>
      <c r="O72" s="238"/>
      <c r="P72" s="16"/>
      <c r="Q72" s="2429" t="s">
        <v>13019</v>
      </c>
      <c r="R72" s="16"/>
      <c r="S72" s="16"/>
    </row>
    <row r="73" spans="1:19" s="2332" customFormat="1" ht="15.6" thickTop="1">
      <c r="A73" s="16"/>
      <c r="B73" s="451" t="s">
        <v>13020</v>
      </c>
      <c r="C73" s="277" t="s">
        <v>13021</v>
      </c>
      <c r="D73" s="277">
        <v>2</v>
      </c>
      <c r="E73" s="1296">
        <v>91.84966272841281</v>
      </c>
      <c r="F73" s="16"/>
      <c r="G73" s="2426" t="s">
        <v>13022</v>
      </c>
      <c r="H73" s="16"/>
      <c r="I73" s="1040"/>
      <c r="J73" s="16"/>
      <c r="K73" s="238"/>
      <c r="L73" s="1232">
        <f>IF( SUM( N73:N73 ) = 0, 0, $N$5 )</f>
        <v>0</v>
      </c>
      <c r="M73" s="238"/>
      <c r="N73" s="270">
        <f t="shared" ref="N73:N82" si="8" xml:space="preserve"> IF( ISNUMBER(E73 ), 0, 1 )</f>
        <v>0</v>
      </c>
      <c r="O73" s="238"/>
      <c r="P73" s="16"/>
      <c r="Q73" s="451" t="s">
        <v>13020</v>
      </c>
      <c r="R73" s="1711" t="s">
        <v>13023</v>
      </c>
      <c r="S73" s="16"/>
    </row>
    <row r="74" spans="1:19" s="2332" customFormat="1" ht="15.6">
      <c r="A74" s="16"/>
      <c r="B74" s="460" t="s">
        <v>13024</v>
      </c>
      <c r="C74" s="286" t="s">
        <v>13021</v>
      </c>
      <c r="D74" s="286">
        <v>2</v>
      </c>
      <c r="E74" s="1234">
        <v>99.380456526851447</v>
      </c>
      <c r="F74" s="16"/>
      <c r="G74" s="2431" t="s">
        <v>4183</v>
      </c>
      <c r="H74" s="16"/>
      <c r="I74" s="1233"/>
      <c r="J74" s="16"/>
      <c r="K74" s="238"/>
      <c r="L74" s="1232">
        <f t="shared" ref="L74:L82" si="9">IF( SUM( N74:N74 ) = 0, 0, $N$5 )</f>
        <v>0</v>
      </c>
      <c r="M74" s="238"/>
      <c r="N74" s="270">
        <f t="shared" si="8"/>
        <v>0</v>
      </c>
      <c r="O74" s="238"/>
      <c r="P74" s="16"/>
      <c r="Q74" s="460">
        <v>87</v>
      </c>
      <c r="R74" s="1269" t="s">
        <v>13025</v>
      </c>
      <c r="S74" s="16"/>
    </row>
    <row r="75" spans="1:19" s="2332" customFormat="1" ht="15.6">
      <c r="A75" s="16"/>
      <c r="B75" s="2377" t="s">
        <v>13026</v>
      </c>
      <c r="C75" s="286" t="s">
        <v>13021</v>
      </c>
      <c r="D75" s="286">
        <v>2</v>
      </c>
      <c r="E75" s="1234">
        <v>14.413264833401792</v>
      </c>
      <c r="F75" s="16"/>
      <c r="G75" s="2431" t="s">
        <v>13027</v>
      </c>
      <c r="H75" s="16"/>
      <c r="I75" s="1233"/>
      <c r="J75" s="16"/>
      <c r="K75" s="238"/>
      <c r="L75" s="1232">
        <f t="shared" si="9"/>
        <v>0</v>
      </c>
      <c r="M75" s="238"/>
      <c r="N75" s="270">
        <f t="shared" si="8"/>
        <v>0</v>
      </c>
      <c r="O75" s="238"/>
      <c r="P75" s="16"/>
      <c r="Q75" s="460" t="s">
        <v>13028</v>
      </c>
      <c r="R75" s="1269" t="s">
        <v>13029</v>
      </c>
      <c r="S75" s="16"/>
    </row>
    <row r="76" spans="1:19" s="2332" customFormat="1" ht="15.6">
      <c r="A76" s="16"/>
      <c r="B76" s="2377" t="s">
        <v>13030</v>
      </c>
      <c r="C76" s="286" t="s">
        <v>13021</v>
      </c>
      <c r="D76" s="286">
        <v>2</v>
      </c>
      <c r="E76" s="1234">
        <v>41.235536620382405</v>
      </c>
      <c r="F76" s="16"/>
      <c r="G76" s="2431" t="s">
        <v>13031</v>
      </c>
      <c r="H76" s="16"/>
      <c r="I76" s="1233"/>
      <c r="J76" s="16"/>
      <c r="K76" s="238"/>
      <c r="L76" s="1232">
        <f t="shared" si="9"/>
        <v>0</v>
      </c>
      <c r="M76" s="238"/>
      <c r="N76" s="270">
        <f t="shared" si="8"/>
        <v>0</v>
      </c>
      <c r="O76" s="238"/>
      <c r="P76" s="16"/>
      <c r="Q76" s="460" t="s">
        <v>13032</v>
      </c>
      <c r="R76" s="1234" t="s">
        <v>13033</v>
      </c>
      <c r="S76" s="16"/>
    </row>
    <row r="77" spans="1:19" s="2332" customFormat="1" ht="15.6">
      <c r="A77" s="16"/>
      <c r="B77" s="2377" t="s">
        <v>13034</v>
      </c>
      <c r="C77" s="286" t="s">
        <v>13021</v>
      </c>
      <c r="D77" s="286">
        <v>2</v>
      </c>
      <c r="E77" s="1234">
        <v>2.3184764142446506</v>
      </c>
      <c r="F77" s="16"/>
      <c r="G77" s="2431" t="s">
        <v>13035</v>
      </c>
      <c r="H77" s="16"/>
      <c r="I77" s="1233"/>
      <c r="J77" s="16"/>
      <c r="K77" s="238"/>
      <c r="L77" s="1232">
        <f t="shared" si="9"/>
        <v>0</v>
      </c>
      <c r="M77" s="238"/>
      <c r="N77" s="270">
        <f t="shared" si="8"/>
        <v>0</v>
      </c>
      <c r="O77" s="238"/>
      <c r="P77" s="16"/>
      <c r="Q77" s="460" t="s">
        <v>13036</v>
      </c>
      <c r="R77" s="1234" t="s">
        <v>13037</v>
      </c>
      <c r="S77" s="16"/>
    </row>
    <row r="78" spans="1:19" s="2332" customFormat="1" ht="15.6">
      <c r="A78" s="16"/>
      <c r="B78" s="2377" t="s">
        <v>13038</v>
      </c>
      <c r="C78" s="286" t="s">
        <v>13021</v>
      </c>
      <c r="D78" s="286">
        <v>2</v>
      </c>
      <c r="E78" s="1234">
        <v>0.45387285505676134</v>
      </c>
      <c r="F78" s="16"/>
      <c r="G78" s="2431" t="s">
        <v>13039</v>
      </c>
      <c r="H78" s="16"/>
      <c r="I78" s="2321"/>
      <c r="J78" s="16"/>
      <c r="K78" s="238"/>
      <c r="L78" s="1232">
        <f t="shared" si="9"/>
        <v>0</v>
      </c>
      <c r="M78" s="238"/>
      <c r="N78" s="270">
        <f t="shared" si="8"/>
        <v>0</v>
      </c>
      <c r="O78" s="238"/>
      <c r="P78" s="16"/>
      <c r="Q78" s="460" t="s">
        <v>13040</v>
      </c>
      <c r="R78" s="1234" t="s">
        <v>13041</v>
      </c>
      <c r="S78" s="16"/>
    </row>
    <row r="79" spans="1:19" s="2332" customFormat="1" ht="15.6">
      <c r="A79" s="16"/>
      <c r="B79" s="2377" t="s">
        <v>13042</v>
      </c>
      <c r="C79" s="286" t="s">
        <v>13021</v>
      </c>
      <c r="D79" s="286">
        <v>2</v>
      </c>
      <c r="E79" s="1234">
        <v>1.1418445538148694</v>
      </c>
      <c r="F79" s="16"/>
      <c r="G79" s="2431" t="s">
        <v>13043</v>
      </c>
      <c r="H79" s="16"/>
      <c r="I79" s="2321"/>
      <c r="J79" s="16"/>
      <c r="K79" s="238"/>
      <c r="L79" s="1232">
        <f t="shared" si="9"/>
        <v>0</v>
      </c>
      <c r="M79" s="238"/>
      <c r="N79" s="270">
        <f t="shared" si="8"/>
        <v>0</v>
      </c>
      <c r="O79" s="238"/>
      <c r="P79" s="16"/>
      <c r="Q79" s="460" t="s">
        <v>13042</v>
      </c>
      <c r="R79" s="1234" t="s">
        <v>13044</v>
      </c>
      <c r="S79" s="16"/>
    </row>
    <row r="80" spans="1:19" s="2332" customFormat="1" ht="15.6">
      <c r="A80" s="16"/>
      <c r="B80" s="2377" t="s">
        <v>13045</v>
      </c>
      <c r="C80" s="286" t="s">
        <v>13021</v>
      </c>
      <c r="D80" s="286">
        <v>2</v>
      </c>
      <c r="E80" s="1234">
        <v>1.6309022690668129</v>
      </c>
      <c r="F80" s="16"/>
      <c r="G80" s="2431" t="s">
        <v>13046</v>
      </c>
      <c r="H80" s="16"/>
      <c r="I80" s="2321"/>
      <c r="J80" s="16"/>
      <c r="K80" s="238"/>
      <c r="L80" s="1232">
        <f t="shared" si="9"/>
        <v>0</v>
      </c>
      <c r="M80" s="238"/>
      <c r="N80" s="270">
        <f t="shared" si="8"/>
        <v>0</v>
      </c>
      <c r="O80" s="238"/>
      <c r="P80" s="16"/>
      <c r="Q80" s="460" t="s">
        <v>13045</v>
      </c>
      <c r="R80" s="1266" t="s">
        <v>13047</v>
      </c>
      <c r="S80" s="16"/>
    </row>
    <row r="81" spans="1:19" s="2332" customFormat="1" ht="15.6">
      <c r="A81" s="16"/>
      <c r="B81" s="2377" t="s">
        <v>13048</v>
      </c>
      <c r="C81" s="286" t="s">
        <v>13021</v>
      </c>
      <c r="D81" s="286">
        <v>2</v>
      </c>
      <c r="E81" s="1234">
        <v>0.66308546716955674</v>
      </c>
      <c r="F81" s="16"/>
      <c r="G81" s="2431" t="s">
        <v>13049</v>
      </c>
      <c r="H81" s="16"/>
      <c r="I81" s="2321"/>
      <c r="J81" s="16"/>
      <c r="K81" s="238"/>
      <c r="L81" s="1232">
        <f t="shared" si="9"/>
        <v>0</v>
      </c>
      <c r="M81" s="238"/>
      <c r="N81" s="270">
        <f t="shared" si="8"/>
        <v>0</v>
      </c>
      <c r="O81" s="238"/>
      <c r="P81" s="16"/>
      <c r="Q81" s="460" t="s">
        <v>13048</v>
      </c>
      <c r="R81" s="1266" t="s">
        <v>13050</v>
      </c>
      <c r="S81" s="16"/>
    </row>
    <row r="82" spans="1:19" s="2332" customFormat="1" ht="16.2" thickBot="1">
      <c r="A82" s="16"/>
      <c r="B82" s="2422" t="s">
        <v>13051</v>
      </c>
      <c r="C82" s="355" t="s">
        <v>13021</v>
      </c>
      <c r="D82" s="355">
        <v>2</v>
      </c>
      <c r="E82" s="1236">
        <v>0.12304318313663555</v>
      </c>
      <c r="F82" s="16"/>
      <c r="G82" s="2430" t="s">
        <v>13052</v>
      </c>
      <c r="H82" s="16"/>
      <c r="I82" s="1237"/>
      <c r="J82" s="16"/>
      <c r="K82" s="238"/>
      <c r="L82" s="1232">
        <f t="shared" si="9"/>
        <v>0</v>
      </c>
      <c r="M82" s="238"/>
      <c r="N82" s="270">
        <f t="shared" si="8"/>
        <v>0</v>
      </c>
      <c r="O82" s="238"/>
      <c r="P82" s="16"/>
      <c r="Q82" s="463" t="s">
        <v>13051</v>
      </c>
      <c r="R82" s="1333" t="s">
        <v>13053</v>
      </c>
      <c r="S82" s="16"/>
    </row>
    <row r="83" spans="1:19" ht="15.6" thickTop="1" thickBot="1">
      <c r="G83" s="2432"/>
      <c r="K83" s="238"/>
      <c r="M83" s="238"/>
      <c r="O83" s="238"/>
    </row>
    <row r="84" spans="1:19" s="2332" customFormat="1" ht="16.2" thickTop="1" thickBot="1">
      <c r="A84" s="16"/>
      <c r="B84" s="2429" t="s">
        <v>13054</v>
      </c>
      <c r="C84" s="2427"/>
      <c r="D84" s="2427"/>
      <c r="E84" s="16"/>
      <c r="F84" s="16"/>
      <c r="G84" s="2432"/>
      <c r="H84" s="16"/>
      <c r="I84" s="16"/>
      <c r="J84" s="16"/>
      <c r="K84" s="238"/>
      <c r="L84" s="16"/>
      <c r="M84" s="238"/>
      <c r="N84" s="16"/>
      <c r="O84" s="238"/>
      <c r="P84" s="16"/>
      <c r="Q84" s="2429" t="s">
        <v>13054</v>
      </c>
      <c r="R84" s="16"/>
      <c r="S84" s="16"/>
    </row>
    <row r="85" spans="1:19" s="2332" customFormat="1" ht="15.6" thickTop="1">
      <c r="A85" s="16"/>
      <c r="B85" s="451" t="s">
        <v>13020</v>
      </c>
      <c r="C85" s="277" t="s">
        <v>13021</v>
      </c>
      <c r="D85" s="277">
        <v>2</v>
      </c>
      <c r="E85" s="1711"/>
      <c r="F85" s="16"/>
      <c r="G85" s="2426" t="s">
        <v>13055</v>
      </c>
      <c r="H85" s="16"/>
      <c r="I85" s="1040"/>
      <c r="J85" s="16"/>
      <c r="K85" s="238"/>
      <c r="L85" s="1232" t="str">
        <f>IF( SUM( N85:N85 ) = 0, 0, $N$5 )</f>
        <v>Please complete all cells in row</v>
      </c>
      <c r="M85" s="238"/>
      <c r="N85" s="270">
        <f t="shared" ref="N85:N94" si="10" xml:space="preserve"> IF( ISNUMBER(E85 ), 0, 1 )</f>
        <v>1</v>
      </c>
      <c r="O85" s="238"/>
      <c r="P85" s="16"/>
      <c r="Q85" s="451" t="s">
        <v>13020</v>
      </c>
      <c r="R85" s="1711" t="s">
        <v>13056</v>
      </c>
      <c r="S85" s="16"/>
    </row>
    <row r="86" spans="1:19" s="2332" customFormat="1" ht="15.6">
      <c r="A86" s="16"/>
      <c r="B86" s="460" t="s">
        <v>13057</v>
      </c>
      <c r="C86" s="286" t="s">
        <v>13021</v>
      </c>
      <c r="D86" s="286">
        <v>2</v>
      </c>
      <c r="E86" s="1269"/>
      <c r="F86" s="16"/>
      <c r="G86" s="2431" t="s">
        <v>13058</v>
      </c>
      <c r="H86" s="16"/>
      <c r="I86" s="1233"/>
      <c r="J86" s="16"/>
      <c r="K86" s="238"/>
      <c r="L86" s="1232" t="str">
        <f t="shared" ref="L86:L94" si="11">IF( SUM( N86:N86 ) = 0, 0, $N$5 )</f>
        <v>Please complete all cells in row</v>
      </c>
      <c r="M86" s="238"/>
      <c r="N86" s="270">
        <f t="shared" si="10"/>
        <v>1</v>
      </c>
      <c r="O86" s="238"/>
      <c r="P86" s="16"/>
      <c r="Q86" s="460" t="s">
        <v>13057</v>
      </c>
      <c r="R86" s="1269" t="s">
        <v>13059</v>
      </c>
      <c r="S86" s="16"/>
    </row>
    <row r="87" spans="1:19" s="2332" customFormat="1" ht="15.6">
      <c r="A87" s="16"/>
      <c r="B87" s="2377" t="s">
        <v>13026</v>
      </c>
      <c r="C87" s="286" t="s">
        <v>13021</v>
      </c>
      <c r="D87" s="286">
        <v>2</v>
      </c>
      <c r="E87" s="1269"/>
      <c r="F87" s="16"/>
      <c r="G87" s="2431" t="s">
        <v>13060</v>
      </c>
      <c r="H87" s="16"/>
      <c r="I87" s="1233"/>
      <c r="J87" s="16"/>
      <c r="K87" s="238"/>
      <c r="L87" s="1232" t="str">
        <f t="shared" si="11"/>
        <v>Please complete all cells in row</v>
      </c>
      <c r="M87" s="238"/>
      <c r="N87" s="270">
        <f t="shared" si="10"/>
        <v>1</v>
      </c>
      <c r="O87" s="238"/>
      <c r="P87" s="16"/>
      <c r="Q87" s="460" t="s">
        <v>13028</v>
      </c>
      <c r="R87" s="1269" t="s">
        <v>13061</v>
      </c>
      <c r="S87" s="16"/>
    </row>
    <row r="88" spans="1:19" s="2332" customFormat="1" ht="15.6">
      <c r="A88" s="16"/>
      <c r="B88" s="2377" t="s">
        <v>13030</v>
      </c>
      <c r="C88" s="286" t="s">
        <v>13021</v>
      </c>
      <c r="D88" s="286">
        <v>2</v>
      </c>
      <c r="E88" s="1234"/>
      <c r="F88" s="16"/>
      <c r="G88" s="2431" t="s">
        <v>13062</v>
      </c>
      <c r="H88" s="16"/>
      <c r="I88" s="1233"/>
      <c r="J88" s="16"/>
      <c r="K88" s="238"/>
      <c r="L88" s="1232" t="str">
        <f t="shared" si="11"/>
        <v>Please complete all cells in row</v>
      </c>
      <c r="M88" s="238"/>
      <c r="N88" s="270">
        <f t="shared" si="10"/>
        <v>1</v>
      </c>
      <c r="O88" s="238"/>
      <c r="P88" s="16"/>
      <c r="Q88" s="460" t="s">
        <v>13032</v>
      </c>
      <c r="R88" s="1234" t="s">
        <v>13063</v>
      </c>
      <c r="S88" s="16"/>
    </row>
    <row r="89" spans="1:19" s="2332" customFormat="1" ht="15.6">
      <c r="A89" s="16"/>
      <c r="B89" s="2377" t="s">
        <v>13034</v>
      </c>
      <c r="C89" s="286" t="s">
        <v>13021</v>
      </c>
      <c r="D89" s="286">
        <v>2</v>
      </c>
      <c r="E89" s="1234"/>
      <c r="F89" s="16"/>
      <c r="G89" s="2431" t="s">
        <v>13064</v>
      </c>
      <c r="H89" s="16"/>
      <c r="I89" s="1233"/>
      <c r="J89" s="16"/>
      <c r="K89" s="238"/>
      <c r="L89" s="1232" t="str">
        <f t="shared" si="11"/>
        <v>Please complete all cells in row</v>
      </c>
      <c r="M89" s="238"/>
      <c r="N89" s="270">
        <f t="shared" si="10"/>
        <v>1</v>
      </c>
      <c r="O89" s="238"/>
      <c r="P89" s="16"/>
      <c r="Q89" s="460" t="s">
        <v>13036</v>
      </c>
      <c r="R89" s="1234" t="s">
        <v>13065</v>
      </c>
      <c r="S89" s="16"/>
    </row>
    <row r="90" spans="1:19" s="2332" customFormat="1" ht="15.6">
      <c r="A90" s="16"/>
      <c r="B90" s="2377" t="s">
        <v>13038</v>
      </c>
      <c r="C90" s="286" t="s">
        <v>13021</v>
      </c>
      <c r="D90" s="286">
        <v>2</v>
      </c>
      <c r="E90" s="1234"/>
      <c r="F90" s="16"/>
      <c r="G90" s="2431" t="s">
        <v>13066</v>
      </c>
      <c r="H90" s="16"/>
      <c r="I90" s="2321"/>
      <c r="J90" s="16"/>
      <c r="K90" s="238"/>
      <c r="L90" s="1232" t="str">
        <f t="shared" si="11"/>
        <v>Please complete all cells in row</v>
      </c>
      <c r="M90" s="238"/>
      <c r="N90" s="270">
        <f t="shared" si="10"/>
        <v>1</v>
      </c>
      <c r="O90" s="238"/>
      <c r="P90" s="16"/>
      <c r="Q90" s="460" t="s">
        <v>13040</v>
      </c>
      <c r="R90" s="1234" t="s">
        <v>13067</v>
      </c>
      <c r="S90" s="16"/>
    </row>
    <row r="91" spans="1:19" s="2332" customFormat="1" ht="15.6">
      <c r="A91" s="16"/>
      <c r="B91" s="2377" t="s">
        <v>13042</v>
      </c>
      <c r="C91" s="286" t="s">
        <v>13021</v>
      </c>
      <c r="D91" s="286">
        <v>2</v>
      </c>
      <c r="E91" s="1234"/>
      <c r="F91" s="16"/>
      <c r="G91" s="2431" t="s">
        <v>13068</v>
      </c>
      <c r="H91" s="16"/>
      <c r="I91" s="2321"/>
      <c r="J91" s="16"/>
      <c r="K91" s="238"/>
      <c r="L91" s="1232" t="str">
        <f t="shared" si="11"/>
        <v>Please complete all cells in row</v>
      </c>
      <c r="M91" s="238"/>
      <c r="N91" s="270">
        <f t="shared" si="10"/>
        <v>1</v>
      </c>
      <c r="O91" s="238"/>
      <c r="P91" s="16"/>
      <c r="Q91" s="460" t="s">
        <v>13042</v>
      </c>
      <c r="R91" s="1234" t="s">
        <v>13069</v>
      </c>
      <c r="S91" s="16"/>
    </row>
    <row r="92" spans="1:19" s="2332" customFormat="1" ht="15.6">
      <c r="A92" s="16"/>
      <c r="B92" s="2377" t="s">
        <v>13045</v>
      </c>
      <c r="C92" s="286" t="s">
        <v>13021</v>
      </c>
      <c r="D92" s="286">
        <v>2</v>
      </c>
      <c r="E92" s="1266"/>
      <c r="F92" s="16"/>
      <c r="G92" s="2431" t="s">
        <v>13070</v>
      </c>
      <c r="H92" s="16"/>
      <c r="I92" s="2321"/>
      <c r="J92" s="16"/>
      <c r="K92" s="238"/>
      <c r="L92" s="1232" t="str">
        <f t="shared" si="11"/>
        <v>Please complete all cells in row</v>
      </c>
      <c r="M92" s="238"/>
      <c r="N92" s="270">
        <f t="shared" si="10"/>
        <v>1</v>
      </c>
      <c r="O92" s="238"/>
      <c r="P92" s="16"/>
      <c r="Q92" s="460" t="s">
        <v>13045</v>
      </c>
      <c r="R92" s="1266" t="s">
        <v>13071</v>
      </c>
      <c r="S92" s="16"/>
    </row>
    <row r="93" spans="1:19" s="2332" customFormat="1" ht="15.6">
      <c r="A93" s="16"/>
      <c r="B93" s="2377" t="s">
        <v>13048</v>
      </c>
      <c r="C93" s="286" t="s">
        <v>13021</v>
      </c>
      <c r="D93" s="286">
        <v>2</v>
      </c>
      <c r="E93" s="1266"/>
      <c r="F93" s="16"/>
      <c r="G93" s="2431" t="s">
        <v>13072</v>
      </c>
      <c r="H93" s="16"/>
      <c r="I93" s="2321"/>
      <c r="J93" s="16"/>
      <c r="K93" s="238"/>
      <c r="L93" s="1232" t="str">
        <f t="shared" si="11"/>
        <v>Please complete all cells in row</v>
      </c>
      <c r="M93" s="238"/>
      <c r="N93" s="270">
        <f t="shared" si="10"/>
        <v>1</v>
      </c>
      <c r="O93" s="238"/>
      <c r="P93" s="16"/>
      <c r="Q93" s="460" t="s">
        <v>13048</v>
      </c>
      <c r="R93" s="1266" t="s">
        <v>13073</v>
      </c>
      <c r="S93" s="16"/>
    </row>
    <row r="94" spans="1:19" s="2332" customFormat="1" ht="16.2" thickBot="1">
      <c r="A94" s="16"/>
      <c r="B94" s="2422" t="s">
        <v>13051</v>
      </c>
      <c r="C94" s="355" t="s">
        <v>13021</v>
      </c>
      <c r="D94" s="355">
        <v>2</v>
      </c>
      <c r="E94" s="1333"/>
      <c r="F94" s="16"/>
      <c r="G94" s="2430" t="s">
        <v>13074</v>
      </c>
      <c r="H94" s="16"/>
      <c r="I94" s="1237"/>
      <c r="J94" s="16"/>
      <c r="K94" s="238"/>
      <c r="L94" s="1232" t="str">
        <f t="shared" si="11"/>
        <v>Please complete all cells in row</v>
      </c>
      <c r="M94" s="238"/>
      <c r="N94" s="270">
        <f t="shared" si="10"/>
        <v>1</v>
      </c>
      <c r="O94" s="238"/>
      <c r="P94" s="16"/>
      <c r="Q94" s="463" t="s">
        <v>13051</v>
      </c>
      <c r="R94" s="1333" t="s">
        <v>13075</v>
      </c>
      <c r="S94" s="16"/>
    </row>
    <row r="95" spans="1:19" ht="15.6" thickTop="1" thickBot="1">
      <c r="G95" s="2432"/>
      <c r="K95" s="238"/>
      <c r="M95" s="238"/>
      <c r="O95" s="238"/>
    </row>
    <row r="96" spans="1:19" s="2332" customFormat="1" ht="16.2" thickTop="1" thickBot="1">
      <c r="A96" s="16"/>
      <c r="B96" s="2429" t="s">
        <v>13076</v>
      </c>
      <c r="C96" s="2427"/>
      <c r="D96" s="2427"/>
      <c r="E96" s="16"/>
      <c r="F96" s="16"/>
      <c r="G96" s="2432"/>
      <c r="H96" s="16"/>
      <c r="I96" s="16"/>
      <c r="J96" s="16"/>
      <c r="K96" s="238"/>
      <c r="L96" s="16"/>
      <c r="M96" s="238"/>
      <c r="N96" s="16"/>
      <c r="O96" s="238"/>
      <c r="P96" s="16"/>
      <c r="Q96" s="2429" t="s">
        <v>13076</v>
      </c>
      <c r="R96" s="16"/>
      <c r="S96" s="16"/>
    </row>
    <row r="97" spans="1:19" s="2332" customFormat="1" ht="15.6" thickTop="1">
      <c r="A97" s="16"/>
      <c r="B97" s="451" t="s">
        <v>13020</v>
      </c>
      <c r="C97" s="277" t="s">
        <v>13021</v>
      </c>
      <c r="D97" s="277">
        <v>2</v>
      </c>
      <c r="E97" s="1711"/>
      <c r="F97" s="16"/>
      <c r="G97" s="2426" t="s">
        <v>13077</v>
      </c>
      <c r="H97" s="16"/>
      <c r="I97" s="1040"/>
      <c r="J97" s="16"/>
      <c r="K97" s="238"/>
      <c r="L97" s="1232" t="str">
        <f>IF( SUM( N97:N97 ) = 0, 0, $N$5 )</f>
        <v>Please complete all cells in row</v>
      </c>
      <c r="M97" s="238"/>
      <c r="N97" s="270">
        <f t="shared" ref="N97:N106" si="12" xml:space="preserve"> IF( ISNUMBER(E97 ), 0, 1 )</f>
        <v>1</v>
      </c>
      <c r="O97" s="238"/>
      <c r="P97" s="16"/>
      <c r="Q97" s="451" t="s">
        <v>13020</v>
      </c>
      <c r="R97" s="1711" t="s">
        <v>13078</v>
      </c>
      <c r="S97" s="16"/>
    </row>
    <row r="98" spans="1:19" s="2332" customFormat="1" ht="15.6">
      <c r="A98" s="16"/>
      <c r="B98" s="460" t="s">
        <v>13057</v>
      </c>
      <c r="C98" s="286" t="s">
        <v>13021</v>
      </c>
      <c r="D98" s="286">
        <v>2</v>
      </c>
      <c r="E98" s="1269"/>
      <c r="F98" s="16"/>
      <c r="G98" s="2431" t="s">
        <v>13079</v>
      </c>
      <c r="H98" s="16"/>
      <c r="I98" s="1233"/>
      <c r="J98" s="16"/>
      <c r="K98" s="238"/>
      <c r="L98" s="1232" t="str">
        <f t="shared" ref="L98:L106" si="13">IF( SUM( N98:N98 ) = 0, 0, $N$5 )</f>
        <v>Please complete all cells in row</v>
      </c>
      <c r="M98" s="238"/>
      <c r="N98" s="270">
        <f t="shared" si="12"/>
        <v>1</v>
      </c>
      <c r="O98" s="238"/>
      <c r="P98" s="16"/>
      <c r="Q98" s="460" t="s">
        <v>13057</v>
      </c>
      <c r="R98" s="1269" t="s">
        <v>13080</v>
      </c>
      <c r="S98" s="16"/>
    </row>
    <row r="99" spans="1:19" s="2332" customFormat="1" ht="15.6">
      <c r="A99" s="16"/>
      <c r="B99" s="2377" t="s">
        <v>13026</v>
      </c>
      <c r="C99" s="286" t="s">
        <v>13021</v>
      </c>
      <c r="D99" s="286">
        <v>2</v>
      </c>
      <c r="E99" s="1269"/>
      <c r="F99" s="16"/>
      <c r="G99" s="2431" t="s">
        <v>13081</v>
      </c>
      <c r="H99" s="16"/>
      <c r="I99" s="1233"/>
      <c r="J99" s="16"/>
      <c r="K99" s="238"/>
      <c r="L99" s="1232" t="str">
        <f t="shared" si="13"/>
        <v>Please complete all cells in row</v>
      </c>
      <c r="M99" s="238"/>
      <c r="N99" s="270">
        <f t="shared" si="12"/>
        <v>1</v>
      </c>
      <c r="O99" s="238"/>
      <c r="P99" s="16"/>
      <c r="Q99" s="460" t="s">
        <v>13028</v>
      </c>
      <c r="R99" s="1269" t="s">
        <v>13082</v>
      </c>
      <c r="S99" s="16"/>
    </row>
    <row r="100" spans="1:19" s="2332" customFormat="1" ht="15.6">
      <c r="A100" s="16"/>
      <c r="B100" s="2377" t="s">
        <v>13030</v>
      </c>
      <c r="C100" s="286" t="s">
        <v>13021</v>
      </c>
      <c r="D100" s="286">
        <v>2</v>
      </c>
      <c r="E100" s="1234"/>
      <c r="F100" s="16"/>
      <c r="G100" s="2431" t="s">
        <v>13083</v>
      </c>
      <c r="H100" s="16"/>
      <c r="I100" s="1233"/>
      <c r="J100" s="16"/>
      <c r="K100" s="238"/>
      <c r="L100" s="1232" t="str">
        <f t="shared" si="13"/>
        <v>Please complete all cells in row</v>
      </c>
      <c r="M100" s="238"/>
      <c r="N100" s="270">
        <f t="shared" si="12"/>
        <v>1</v>
      </c>
      <c r="O100" s="238"/>
      <c r="P100" s="16"/>
      <c r="Q100" s="460" t="s">
        <v>13032</v>
      </c>
      <c r="R100" s="1234" t="s">
        <v>13084</v>
      </c>
      <c r="S100" s="16"/>
    </row>
    <row r="101" spans="1:19" s="2332" customFormat="1" ht="15.6">
      <c r="A101" s="16"/>
      <c r="B101" s="2377" t="s">
        <v>13034</v>
      </c>
      <c r="C101" s="286" t="s">
        <v>13021</v>
      </c>
      <c r="D101" s="286">
        <v>2</v>
      </c>
      <c r="E101" s="1234"/>
      <c r="F101" s="16"/>
      <c r="G101" s="2431" t="s">
        <v>13085</v>
      </c>
      <c r="H101" s="16"/>
      <c r="I101" s="1233"/>
      <c r="J101" s="16"/>
      <c r="K101" s="238"/>
      <c r="L101" s="1232" t="str">
        <f t="shared" si="13"/>
        <v>Please complete all cells in row</v>
      </c>
      <c r="M101" s="238"/>
      <c r="N101" s="270">
        <f t="shared" si="12"/>
        <v>1</v>
      </c>
      <c r="O101" s="238"/>
      <c r="P101" s="16"/>
      <c r="Q101" s="460" t="s">
        <v>13036</v>
      </c>
      <c r="R101" s="1234" t="s">
        <v>13086</v>
      </c>
      <c r="S101" s="16"/>
    </row>
    <row r="102" spans="1:19" s="2332" customFormat="1" ht="15.6">
      <c r="A102" s="16"/>
      <c r="B102" s="2377" t="s">
        <v>13038</v>
      </c>
      <c r="C102" s="286" t="s">
        <v>13021</v>
      </c>
      <c r="D102" s="286">
        <v>2</v>
      </c>
      <c r="E102" s="1234"/>
      <c r="F102" s="16"/>
      <c r="G102" s="2431" t="s">
        <v>13087</v>
      </c>
      <c r="H102" s="16"/>
      <c r="I102" s="2321"/>
      <c r="J102" s="16"/>
      <c r="K102" s="238"/>
      <c r="L102" s="1232" t="str">
        <f t="shared" si="13"/>
        <v>Please complete all cells in row</v>
      </c>
      <c r="M102" s="238"/>
      <c r="N102" s="270">
        <f t="shared" si="12"/>
        <v>1</v>
      </c>
      <c r="O102" s="238"/>
      <c r="P102" s="16"/>
      <c r="Q102" s="460" t="s">
        <v>13040</v>
      </c>
      <c r="R102" s="1234" t="s">
        <v>13088</v>
      </c>
      <c r="S102" s="16"/>
    </row>
    <row r="103" spans="1:19" s="2332" customFormat="1" ht="15.6">
      <c r="A103" s="16"/>
      <c r="B103" s="2377" t="s">
        <v>13042</v>
      </c>
      <c r="C103" s="286" t="s">
        <v>13021</v>
      </c>
      <c r="D103" s="286">
        <v>2</v>
      </c>
      <c r="E103" s="1234"/>
      <c r="F103" s="16"/>
      <c r="G103" s="2431" t="s">
        <v>13089</v>
      </c>
      <c r="H103" s="16"/>
      <c r="I103" s="2321"/>
      <c r="J103" s="16"/>
      <c r="K103" s="238"/>
      <c r="L103" s="1232" t="str">
        <f t="shared" si="13"/>
        <v>Please complete all cells in row</v>
      </c>
      <c r="M103" s="238"/>
      <c r="N103" s="270">
        <f t="shared" si="12"/>
        <v>1</v>
      </c>
      <c r="O103" s="238"/>
      <c r="P103" s="16"/>
      <c r="Q103" s="460" t="s">
        <v>13042</v>
      </c>
      <c r="R103" s="1234" t="s">
        <v>13090</v>
      </c>
      <c r="S103" s="16"/>
    </row>
    <row r="104" spans="1:19" s="2332" customFormat="1" ht="15.6">
      <c r="A104" s="16"/>
      <c r="B104" s="2377" t="s">
        <v>13045</v>
      </c>
      <c r="C104" s="286" t="s">
        <v>13021</v>
      </c>
      <c r="D104" s="286">
        <v>2</v>
      </c>
      <c r="E104" s="1266"/>
      <c r="F104" s="16"/>
      <c r="G104" s="2431" t="s">
        <v>13091</v>
      </c>
      <c r="H104" s="16"/>
      <c r="I104" s="2321"/>
      <c r="J104" s="16"/>
      <c r="K104" s="238"/>
      <c r="L104" s="1232" t="str">
        <f t="shared" si="13"/>
        <v>Please complete all cells in row</v>
      </c>
      <c r="M104" s="238"/>
      <c r="N104" s="270">
        <f t="shared" si="12"/>
        <v>1</v>
      </c>
      <c r="O104" s="238"/>
      <c r="P104" s="16"/>
      <c r="Q104" s="460" t="s">
        <v>13045</v>
      </c>
      <c r="R104" s="1266" t="s">
        <v>13092</v>
      </c>
      <c r="S104" s="16"/>
    </row>
    <row r="105" spans="1:19" s="2332" customFormat="1" ht="15.6">
      <c r="A105" s="16"/>
      <c r="B105" s="2377" t="s">
        <v>13048</v>
      </c>
      <c r="C105" s="286" t="s">
        <v>13021</v>
      </c>
      <c r="D105" s="286">
        <v>2</v>
      </c>
      <c r="E105" s="1266"/>
      <c r="F105" s="16"/>
      <c r="G105" s="2431" t="s">
        <v>13093</v>
      </c>
      <c r="H105" s="16"/>
      <c r="I105" s="2321"/>
      <c r="J105" s="16"/>
      <c r="K105" s="238"/>
      <c r="L105" s="1232" t="str">
        <f t="shared" si="13"/>
        <v>Please complete all cells in row</v>
      </c>
      <c r="M105" s="238"/>
      <c r="N105" s="270">
        <f t="shared" si="12"/>
        <v>1</v>
      </c>
      <c r="O105" s="238"/>
      <c r="P105" s="16"/>
      <c r="Q105" s="460" t="s">
        <v>13048</v>
      </c>
      <c r="R105" s="1266" t="s">
        <v>13094</v>
      </c>
      <c r="S105" s="16"/>
    </row>
    <row r="106" spans="1:19" s="2332" customFormat="1" ht="16.2" thickBot="1">
      <c r="A106" s="16"/>
      <c r="B106" s="2422" t="s">
        <v>13051</v>
      </c>
      <c r="C106" s="355" t="s">
        <v>13021</v>
      </c>
      <c r="D106" s="355">
        <v>2</v>
      </c>
      <c r="E106" s="1333"/>
      <c r="F106" s="16"/>
      <c r="G106" s="2430" t="s">
        <v>13095</v>
      </c>
      <c r="H106" s="16"/>
      <c r="I106" s="1237"/>
      <c r="J106" s="16"/>
      <c r="K106" s="238"/>
      <c r="L106" s="1232" t="str">
        <f t="shared" si="13"/>
        <v>Please complete all cells in row</v>
      </c>
      <c r="M106" s="238"/>
      <c r="N106" s="270">
        <f t="shared" si="12"/>
        <v>1</v>
      </c>
      <c r="O106" s="238"/>
      <c r="P106" s="16"/>
      <c r="Q106" s="463" t="s">
        <v>13051</v>
      </c>
      <c r="R106" s="1333" t="s">
        <v>13096</v>
      </c>
      <c r="S106" s="16"/>
    </row>
    <row r="107" spans="1:19" ht="15" thickTop="1"/>
  </sheetData>
  <sheetProtection formatColumns="0" formatRows="0"/>
  <mergeCells count="2">
    <mergeCell ref="B3:I3"/>
    <mergeCell ref="Q3:R3"/>
  </mergeCells>
  <phoneticPr fontId="36" type="noConversion"/>
  <conditionalFormatting sqref="L8:L37">
    <cfRule type="cellIs" dxfId="69" priority="19" operator="equal">
      <formula>0</formula>
    </cfRule>
  </conditionalFormatting>
  <conditionalFormatting sqref="L40:L48">
    <cfRule type="cellIs" dxfId="68" priority="6" operator="equal">
      <formula>0</formula>
    </cfRule>
  </conditionalFormatting>
  <conditionalFormatting sqref="L51:L59">
    <cfRule type="cellIs" dxfId="67" priority="5" operator="equal">
      <formula>0</formula>
    </cfRule>
  </conditionalFormatting>
  <conditionalFormatting sqref="L62:L70">
    <cfRule type="cellIs" dxfId="66" priority="4" operator="equal">
      <formula>0</formula>
    </cfRule>
  </conditionalFormatting>
  <conditionalFormatting sqref="L73:L82">
    <cfRule type="cellIs" dxfId="65" priority="3" operator="equal">
      <formula>0</formula>
    </cfRule>
  </conditionalFormatting>
  <conditionalFormatting sqref="L85:L94">
    <cfRule type="cellIs" dxfId="64" priority="2" operator="equal">
      <formula>0</formula>
    </cfRule>
  </conditionalFormatting>
  <conditionalFormatting sqref="L97:L106">
    <cfRule type="cellIs" dxfId="63"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zoomScale="70" zoomScaleNormal="70" zoomScaleSheetLayoutView="100" workbookViewId="0">
      <selection activeCell="I39" sqref="I39"/>
    </sheetView>
  </sheetViews>
  <sheetFormatPr defaultColWidth="9" defaultRowHeight="14.4"/>
  <cols>
    <col min="1" max="1" width="1.59765625" style="16" customWidth="1"/>
    <col min="2" max="2" width="77.6992187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20.59765625" style="16" bestFit="1" customWidth="1"/>
    <col min="19" max="19" width="1.59765625" style="16" customWidth="1"/>
    <col min="20" max="16384" width="9" style="16"/>
  </cols>
  <sheetData>
    <row r="1" spans="1:22" ht="30.75" customHeight="1">
      <c r="A1" s="219"/>
      <c r="B1" s="1229" t="s">
        <v>13097</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Dŵr Cymru</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29" t="s">
        <v>13098</v>
      </c>
      <c r="C3" s="2829"/>
      <c r="D3" s="2829"/>
      <c r="E3" s="2829"/>
      <c r="F3" s="2829"/>
      <c r="G3" s="2829"/>
      <c r="H3" s="2829"/>
      <c r="I3" s="2829"/>
      <c r="J3" s="219"/>
      <c r="K3" s="238"/>
      <c r="L3" s="1240" t="s">
        <v>4200</v>
      </c>
      <c r="M3" s="238"/>
      <c r="N3" s="219"/>
      <c r="O3" s="238"/>
      <c r="P3" s="219"/>
      <c r="Q3" s="2829" t="s">
        <v>13098</v>
      </c>
      <c r="R3" s="2829"/>
      <c r="S3" s="2829"/>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6.2" thickTop="1" thickBot="1">
      <c r="A5" s="242"/>
      <c r="B5" s="445" t="s">
        <v>4202</v>
      </c>
      <c r="C5" s="446" t="s">
        <v>4203</v>
      </c>
      <c r="D5" s="446" t="s">
        <v>4204</v>
      </c>
      <c r="E5" s="447" t="s">
        <v>12497</v>
      </c>
      <c r="F5" s="731"/>
      <c r="G5" s="449" t="s">
        <v>4208</v>
      </c>
      <c r="H5" s="242"/>
      <c r="I5" s="449" t="s">
        <v>4209</v>
      </c>
      <c r="J5" s="242"/>
      <c r="K5" s="238"/>
      <c r="L5" s="1634"/>
      <c r="M5" s="238"/>
      <c r="N5" s="269" t="s">
        <v>4210</v>
      </c>
      <c r="O5" s="238"/>
      <c r="P5" s="219"/>
      <c r="Q5" s="445" t="s">
        <v>4202</v>
      </c>
      <c r="R5" s="447" t="s">
        <v>12497</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13099</v>
      </c>
      <c r="C7" s="482"/>
      <c r="D7" s="482"/>
      <c r="E7" s="482"/>
      <c r="F7" s="1242"/>
      <c r="G7" s="565"/>
      <c r="H7" s="242"/>
      <c r="I7" s="242"/>
      <c r="J7" s="242"/>
      <c r="K7" s="238"/>
      <c r="L7" s="219"/>
      <c r="M7" s="238"/>
      <c r="N7" s="219"/>
      <c r="O7" s="238"/>
      <c r="P7" s="219"/>
      <c r="Q7" s="393" t="s">
        <v>13099</v>
      </c>
      <c r="R7" s="482"/>
      <c r="S7" s="1242"/>
      <c r="T7" s="219"/>
      <c r="U7" s="219"/>
      <c r="V7" s="219"/>
    </row>
    <row r="8" spans="1:22" ht="15.75" customHeight="1" thickTop="1">
      <c r="A8" s="242"/>
      <c r="B8" s="451" t="s">
        <v>13100</v>
      </c>
      <c r="C8" s="277" t="s">
        <v>12566</v>
      </c>
      <c r="D8" s="277">
        <v>1</v>
      </c>
      <c r="E8" s="1268">
        <v>27875.3</v>
      </c>
      <c r="F8" s="1242"/>
      <c r="G8" s="281" t="s">
        <v>13101</v>
      </c>
      <c r="H8" s="242"/>
      <c r="I8" s="1231"/>
      <c r="J8" s="242"/>
      <c r="K8" s="238"/>
      <c r="L8" s="1232">
        <f>IF( SUM( N8:N8 ) = 0, 0, $N$5 )</f>
        <v>0</v>
      </c>
      <c r="M8" s="238"/>
      <c r="N8" s="285">
        <f xml:space="preserve"> IF( ISNUMBER(E8 ), 0, 1 )</f>
        <v>0</v>
      </c>
      <c r="O8" s="238"/>
      <c r="P8" s="219"/>
      <c r="Q8" s="451" t="s">
        <v>13100</v>
      </c>
      <c r="R8" s="1268" t="s">
        <v>13102</v>
      </c>
      <c r="S8" s="1242"/>
      <c r="T8" s="219"/>
      <c r="U8" s="219"/>
      <c r="V8" s="219"/>
    </row>
    <row r="9" spans="1:22" ht="15.75" customHeight="1">
      <c r="A9" s="242"/>
      <c r="B9" s="460" t="s">
        <v>13103</v>
      </c>
      <c r="C9" s="286" t="s">
        <v>12566</v>
      </c>
      <c r="D9" s="286">
        <v>1</v>
      </c>
      <c r="E9" s="1269">
        <v>0</v>
      </c>
      <c r="F9" s="1242"/>
      <c r="G9" s="290" t="s">
        <v>13104</v>
      </c>
      <c r="H9" s="242"/>
      <c r="I9" s="1233"/>
      <c r="J9" s="242"/>
      <c r="K9" s="238"/>
      <c r="L9" s="1232">
        <f t="shared" ref="L9:L15" si="0">IF( SUM( N9:N9 ) = 0, 0, $N$5 )</f>
        <v>0</v>
      </c>
      <c r="M9" s="238"/>
      <c r="N9" s="285">
        <f t="shared" ref="N9:N15" si="1" xml:space="preserve"> IF( ISNUMBER(E9 ), 0, 1 )</f>
        <v>0</v>
      </c>
      <c r="O9" s="238"/>
      <c r="P9" s="219"/>
      <c r="Q9" s="460" t="s">
        <v>13103</v>
      </c>
      <c r="R9" s="1269" t="s">
        <v>13105</v>
      </c>
      <c r="S9" s="1242"/>
      <c r="T9" s="219"/>
      <c r="U9" s="219"/>
      <c r="V9" s="219"/>
    </row>
    <row r="10" spans="1:22" ht="15.75" customHeight="1">
      <c r="A10" s="242"/>
      <c r="B10" s="460" t="s">
        <v>13106</v>
      </c>
      <c r="C10" s="286" t="s">
        <v>12566</v>
      </c>
      <c r="D10" s="286">
        <v>1</v>
      </c>
      <c r="E10" s="1269">
        <v>21</v>
      </c>
      <c r="F10" s="106"/>
      <c r="G10" s="290" t="s">
        <v>13107</v>
      </c>
      <c r="H10" s="242"/>
      <c r="I10" s="1270"/>
      <c r="J10" s="242"/>
      <c r="K10" s="238"/>
      <c r="L10" s="1232">
        <f t="shared" si="0"/>
        <v>0</v>
      </c>
      <c r="M10" s="238"/>
      <c r="N10" s="285">
        <f t="shared" si="1"/>
        <v>0</v>
      </c>
      <c r="O10" s="238"/>
      <c r="P10" s="219"/>
      <c r="Q10" s="460" t="s">
        <v>13106</v>
      </c>
      <c r="R10" s="964" t="s">
        <v>13108</v>
      </c>
      <c r="S10" s="106"/>
      <c r="T10" s="219"/>
      <c r="U10" s="219"/>
      <c r="V10" s="219"/>
    </row>
    <row r="11" spans="1:22" ht="15.75" customHeight="1">
      <c r="A11" s="242"/>
      <c r="B11" s="460" t="s">
        <v>13109</v>
      </c>
      <c r="C11" s="286" t="s">
        <v>12566</v>
      </c>
      <c r="D11" s="286">
        <v>1</v>
      </c>
      <c r="E11" s="1269">
        <v>48.4</v>
      </c>
      <c r="F11" s="106"/>
      <c r="G11" s="290" t="s">
        <v>13110</v>
      </c>
      <c r="H11" s="242"/>
      <c r="I11" s="1270"/>
      <c r="J11" s="242"/>
      <c r="K11" s="238"/>
      <c r="L11" s="1232">
        <f t="shared" si="0"/>
        <v>0</v>
      </c>
      <c r="M11" s="238"/>
      <c r="N11" s="285">
        <f t="shared" si="1"/>
        <v>0</v>
      </c>
      <c r="O11" s="238"/>
      <c r="P11" s="219"/>
      <c r="Q11" s="460" t="s">
        <v>13109</v>
      </c>
      <c r="R11" s="964" t="s">
        <v>13111</v>
      </c>
      <c r="S11" s="106"/>
      <c r="T11" s="219"/>
      <c r="U11" s="219"/>
      <c r="V11" s="219"/>
    </row>
    <row r="12" spans="1:22" ht="15.75" customHeight="1">
      <c r="A12" s="242"/>
      <c r="B12" s="460" t="s">
        <v>13112</v>
      </c>
      <c r="C12" s="286" t="s">
        <v>12566</v>
      </c>
      <c r="D12" s="286">
        <v>1</v>
      </c>
      <c r="E12" s="1269">
        <v>25975</v>
      </c>
      <c r="F12" s="106"/>
      <c r="G12" s="290" t="s">
        <v>13113</v>
      </c>
      <c r="H12" s="242"/>
      <c r="I12" s="1233"/>
      <c r="J12" s="242"/>
      <c r="K12" s="238"/>
      <c r="L12" s="1232">
        <f t="shared" si="0"/>
        <v>0</v>
      </c>
      <c r="M12" s="238"/>
      <c r="N12" s="285">
        <f t="shared" si="1"/>
        <v>0</v>
      </c>
      <c r="O12" s="238"/>
      <c r="P12" s="219"/>
      <c r="Q12" s="460" t="s">
        <v>13112</v>
      </c>
      <c r="R12" s="964" t="s">
        <v>13114</v>
      </c>
      <c r="S12" s="106"/>
      <c r="T12" s="219"/>
      <c r="U12" s="219"/>
      <c r="V12" s="219"/>
    </row>
    <row r="13" spans="1:22" ht="15.75" customHeight="1">
      <c r="A13" s="242"/>
      <c r="B13" s="460" t="s">
        <v>13115</v>
      </c>
      <c r="C13" s="286" t="s">
        <v>12566</v>
      </c>
      <c r="D13" s="286">
        <v>1</v>
      </c>
      <c r="E13" s="1269">
        <v>916.8</v>
      </c>
      <c r="F13" s="106"/>
      <c r="G13" s="290" t="s">
        <v>13116</v>
      </c>
      <c r="H13" s="242"/>
      <c r="I13" s="1233"/>
      <c r="J13" s="242"/>
      <c r="K13" s="238"/>
      <c r="L13" s="1232">
        <f t="shared" si="0"/>
        <v>0</v>
      </c>
      <c r="M13" s="238"/>
      <c r="N13" s="285">
        <f t="shared" si="1"/>
        <v>0</v>
      </c>
      <c r="O13" s="238"/>
      <c r="P13" s="219"/>
      <c r="Q13" s="460" t="s">
        <v>13117</v>
      </c>
      <c r="R13" s="964" t="s">
        <v>13118</v>
      </c>
      <c r="S13" s="106"/>
      <c r="T13" s="219"/>
      <c r="U13" s="219"/>
      <c r="V13" s="219"/>
    </row>
    <row r="14" spans="1:22" ht="15.75" customHeight="1">
      <c r="A14" s="242"/>
      <c r="B14" s="460" t="s">
        <v>13119</v>
      </c>
      <c r="C14" s="286" t="s">
        <v>12566</v>
      </c>
      <c r="D14" s="286">
        <v>1</v>
      </c>
      <c r="E14" s="1269">
        <v>541.6</v>
      </c>
      <c r="F14" s="106"/>
      <c r="G14" s="290" t="s">
        <v>13120</v>
      </c>
      <c r="H14" s="242"/>
      <c r="I14" s="1233"/>
      <c r="J14" s="242"/>
      <c r="K14" s="238"/>
      <c r="L14" s="1232">
        <f t="shared" si="0"/>
        <v>0</v>
      </c>
      <c r="M14" s="238"/>
      <c r="N14" s="285">
        <f t="shared" si="1"/>
        <v>0</v>
      </c>
      <c r="O14" s="238"/>
      <c r="P14" s="219"/>
      <c r="Q14" s="460" t="s">
        <v>13121</v>
      </c>
      <c r="R14" s="964" t="s">
        <v>13122</v>
      </c>
      <c r="S14" s="106"/>
      <c r="T14" s="219"/>
      <c r="U14" s="219"/>
      <c r="V14" s="219"/>
    </row>
    <row r="15" spans="1:22" ht="15.75" customHeight="1" thickBot="1">
      <c r="A15" s="242"/>
      <c r="B15" s="463" t="s">
        <v>13123</v>
      </c>
      <c r="C15" s="355" t="s">
        <v>12566</v>
      </c>
      <c r="D15" s="355">
        <v>1</v>
      </c>
      <c r="E15" s="1271">
        <v>441.8</v>
      </c>
      <c r="F15" s="106"/>
      <c r="G15" s="290" t="s">
        <v>13124</v>
      </c>
      <c r="H15" s="242"/>
      <c r="I15" s="1237"/>
      <c r="J15" s="242"/>
      <c r="K15" s="238"/>
      <c r="L15" s="1232">
        <f t="shared" si="0"/>
        <v>0</v>
      </c>
      <c r="M15" s="238"/>
      <c r="N15" s="285">
        <f t="shared" si="1"/>
        <v>0</v>
      </c>
      <c r="O15" s="238"/>
      <c r="P15" s="219"/>
      <c r="Q15" s="463" t="s">
        <v>13125</v>
      </c>
      <c r="R15" s="1267" t="s">
        <v>13126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13127</v>
      </c>
      <c r="C17" s="482"/>
      <c r="D17" s="482"/>
      <c r="E17" s="482"/>
      <c r="F17" s="1242"/>
      <c r="G17" s="565"/>
      <c r="H17" s="242"/>
      <c r="I17" s="242"/>
      <c r="J17" s="242"/>
      <c r="K17" s="238"/>
      <c r="L17" s="219"/>
      <c r="M17" s="238"/>
      <c r="N17" s="219"/>
      <c r="O17" s="238"/>
      <c r="P17" s="219"/>
      <c r="Q17" s="393" t="s">
        <v>13127</v>
      </c>
      <c r="R17" s="482"/>
      <c r="S17" s="1242"/>
      <c r="T17" s="219"/>
      <c r="U17" s="219"/>
      <c r="V17" s="219"/>
    </row>
    <row r="18" spans="1:22" ht="15.75" customHeight="1" thickTop="1">
      <c r="A18" s="242"/>
      <c r="B18" s="451" t="s">
        <v>13128</v>
      </c>
      <c r="C18" s="277" t="s">
        <v>12566</v>
      </c>
      <c r="D18" s="277">
        <v>1</v>
      </c>
      <c r="E18" s="1268">
        <v>128</v>
      </c>
      <c r="F18" s="106"/>
      <c r="G18" s="281" t="s">
        <v>13129</v>
      </c>
      <c r="H18" s="242"/>
      <c r="I18" s="1231" t="s">
        <v>18548</v>
      </c>
      <c r="J18" s="242"/>
      <c r="K18" s="238"/>
      <c r="L18" s="1232">
        <f t="shared" ref="L18:L24" si="2">IF( SUM( N18:N18 ) = 0, 0, $N$5 )</f>
        <v>0</v>
      </c>
      <c r="M18" s="238"/>
      <c r="N18" s="285">
        <f t="shared" ref="N18:N26" si="3" xml:space="preserve"> IF( ISNUMBER(E18 ), 0, 1 )</f>
        <v>0</v>
      </c>
      <c r="O18" s="238"/>
      <c r="P18" s="219"/>
      <c r="Q18" s="451" t="s">
        <v>13128</v>
      </c>
      <c r="R18" s="1268" t="s">
        <v>13130</v>
      </c>
      <c r="S18" s="106"/>
      <c r="T18" s="219"/>
      <c r="U18" s="219"/>
      <c r="V18" s="219"/>
    </row>
    <row r="19" spans="1:22" ht="15.75" customHeight="1">
      <c r="A19" s="242"/>
      <c r="B19" s="460" t="s">
        <v>13131</v>
      </c>
      <c r="C19" s="286" t="s">
        <v>12566</v>
      </c>
      <c r="D19" s="286">
        <v>1</v>
      </c>
      <c r="E19" s="1269">
        <v>738.1</v>
      </c>
      <c r="F19" s="106"/>
      <c r="G19" s="290" t="s">
        <v>13132</v>
      </c>
      <c r="H19" s="242"/>
      <c r="I19" s="1233" t="s">
        <v>18549</v>
      </c>
      <c r="J19" s="242"/>
      <c r="K19" s="238"/>
      <c r="L19" s="1232">
        <f t="shared" si="2"/>
        <v>0</v>
      </c>
      <c r="M19" s="238"/>
      <c r="N19" s="285">
        <f t="shared" si="3"/>
        <v>0</v>
      </c>
      <c r="O19" s="238"/>
      <c r="P19" s="219"/>
      <c r="Q19" s="460" t="s">
        <v>13131</v>
      </c>
      <c r="R19" s="964" t="s">
        <v>13133</v>
      </c>
      <c r="S19" s="106"/>
      <c r="T19" s="219"/>
      <c r="U19" s="219"/>
      <c r="V19" s="219"/>
    </row>
    <row r="20" spans="1:22" ht="15.75" customHeight="1">
      <c r="A20" s="242"/>
      <c r="B20" s="460" t="s">
        <v>13134</v>
      </c>
      <c r="C20" s="286" t="s">
        <v>12566</v>
      </c>
      <c r="D20" s="286">
        <v>1</v>
      </c>
      <c r="E20" s="1269">
        <v>2479.1999999999998</v>
      </c>
      <c r="F20" s="106"/>
      <c r="G20" s="290" t="s">
        <v>13135</v>
      </c>
      <c r="H20" s="242"/>
      <c r="I20" s="1233" t="s">
        <v>18549</v>
      </c>
      <c r="J20" s="242"/>
      <c r="K20" s="238"/>
      <c r="L20" s="1232">
        <f t="shared" si="2"/>
        <v>0</v>
      </c>
      <c r="M20" s="238"/>
      <c r="N20" s="285">
        <f t="shared" si="3"/>
        <v>0</v>
      </c>
      <c r="O20" s="238"/>
      <c r="P20" s="219"/>
      <c r="Q20" s="460" t="s">
        <v>13134</v>
      </c>
      <c r="R20" s="964" t="s">
        <v>13136</v>
      </c>
      <c r="S20" s="106"/>
      <c r="T20" s="219"/>
      <c r="U20" s="219"/>
      <c r="V20" s="219"/>
    </row>
    <row r="21" spans="1:22" ht="15.75" customHeight="1">
      <c r="A21" s="242"/>
      <c r="B21" s="460" t="s">
        <v>13137</v>
      </c>
      <c r="C21" s="286" t="s">
        <v>12566</v>
      </c>
      <c r="D21" s="286">
        <v>1</v>
      </c>
      <c r="E21" s="1269">
        <v>1918.3</v>
      </c>
      <c r="F21" s="106"/>
      <c r="G21" s="290" t="s">
        <v>13138</v>
      </c>
      <c r="H21" s="242"/>
      <c r="I21" s="1233" t="s">
        <v>18549</v>
      </c>
      <c r="J21" s="242"/>
      <c r="K21" s="238"/>
      <c r="L21" s="1232">
        <f t="shared" si="2"/>
        <v>0</v>
      </c>
      <c r="M21" s="238"/>
      <c r="N21" s="285">
        <f t="shared" si="3"/>
        <v>0</v>
      </c>
      <c r="O21" s="238"/>
      <c r="P21" s="219"/>
      <c r="Q21" s="460" t="s">
        <v>13137</v>
      </c>
      <c r="R21" s="964" t="s">
        <v>13139</v>
      </c>
      <c r="S21" s="106"/>
      <c r="T21" s="219"/>
      <c r="U21" s="219"/>
      <c r="V21" s="219"/>
    </row>
    <row r="22" spans="1:22" ht="15.75" customHeight="1">
      <c r="A22" s="242"/>
      <c r="B22" s="460" t="s">
        <v>13140</v>
      </c>
      <c r="C22" s="286" t="s">
        <v>12566</v>
      </c>
      <c r="D22" s="286">
        <v>1</v>
      </c>
      <c r="E22" s="1269">
        <v>4490.8</v>
      </c>
      <c r="F22" s="106"/>
      <c r="G22" s="290" t="s">
        <v>13141</v>
      </c>
      <c r="H22" s="242"/>
      <c r="I22" s="1233" t="s">
        <v>18549</v>
      </c>
      <c r="J22" s="242"/>
      <c r="K22" s="238"/>
      <c r="L22" s="1232">
        <f t="shared" si="2"/>
        <v>0</v>
      </c>
      <c r="M22" s="238"/>
      <c r="N22" s="285">
        <f t="shared" si="3"/>
        <v>0</v>
      </c>
      <c r="O22" s="238"/>
      <c r="P22" s="219"/>
      <c r="Q22" s="460" t="s">
        <v>13140</v>
      </c>
      <c r="R22" s="964" t="s">
        <v>13142</v>
      </c>
      <c r="S22" s="106"/>
      <c r="T22" s="219"/>
      <c r="U22" s="219"/>
      <c r="V22" s="219"/>
    </row>
    <row r="23" spans="1:22" ht="15.75" customHeight="1">
      <c r="A23" s="242"/>
      <c r="B23" s="460" t="s">
        <v>13143</v>
      </c>
      <c r="C23" s="286" t="s">
        <v>12566</v>
      </c>
      <c r="D23" s="286">
        <v>1</v>
      </c>
      <c r="E23" s="1269">
        <v>6100.3</v>
      </c>
      <c r="F23" s="106"/>
      <c r="G23" s="290" t="s">
        <v>13144</v>
      </c>
      <c r="H23" s="242"/>
      <c r="I23" s="1233" t="s">
        <v>18549</v>
      </c>
      <c r="J23" s="242"/>
      <c r="K23" s="238"/>
      <c r="L23" s="1232">
        <f t="shared" si="2"/>
        <v>0</v>
      </c>
      <c r="M23" s="238"/>
      <c r="N23" s="285">
        <f t="shared" si="3"/>
        <v>0</v>
      </c>
      <c r="O23" s="238"/>
      <c r="P23" s="219"/>
      <c r="Q23" s="460" t="s">
        <v>13143</v>
      </c>
      <c r="R23" s="964" t="s">
        <v>13145</v>
      </c>
      <c r="S23" s="106"/>
      <c r="T23" s="219"/>
      <c r="U23" s="219"/>
      <c r="V23" s="219"/>
    </row>
    <row r="24" spans="1:22" ht="19.5" customHeight="1">
      <c r="A24" s="242"/>
      <c r="B24" s="460" t="s">
        <v>13146</v>
      </c>
      <c r="C24" s="286" t="s">
        <v>12566</v>
      </c>
      <c r="D24" s="286">
        <v>1</v>
      </c>
      <c r="E24" s="1269">
        <v>6684.8</v>
      </c>
      <c r="F24" s="106"/>
      <c r="G24" s="290" t="s">
        <v>13147</v>
      </c>
      <c r="H24" s="242"/>
      <c r="I24" s="1233" t="s">
        <v>18549</v>
      </c>
      <c r="J24" s="242"/>
      <c r="K24" s="238"/>
      <c r="L24" s="1232">
        <f t="shared" si="2"/>
        <v>0</v>
      </c>
      <c r="M24" s="238"/>
      <c r="N24" s="285">
        <f t="shared" si="3"/>
        <v>0</v>
      </c>
      <c r="O24" s="238"/>
      <c r="P24" s="219"/>
      <c r="Q24" s="460" t="s">
        <v>13146</v>
      </c>
      <c r="R24" s="964" t="s">
        <v>13148</v>
      </c>
      <c r="S24" s="106"/>
      <c r="T24" s="219"/>
      <c r="U24" s="219"/>
      <c r="V24" s="219"/>
    </row>
    <row r="25" spans="1:22" ht="25.5" customHeight="1">
      <c r="A25" s="242"/>
      <c r="B25" s="2377" t="s">
        <v>13149</v>
      </c>
      <c r="C25" s="2323" t="s">
        <v>12566</v>
      </c>
      <c r="D25" s="2323">
        <v>1</v>
      </c>
      <c r="E25" s="2324">
        <v>5192.8</v>
      </c>
      <c r="F25" s="106"/>
      <c r="G25" s="290" t="s">
        <v>13150</v>
      </c>
      <c r="H25" s="242"/>
      <c r="I25" s="2321" t="s">
        <v>18550</v>
      </c>
      <c r="J25" s="242"/>
      <c r="K25" s="238"/>
      <c r="L25" s="1232">
        <f>IF( SUM( N26:N26 ) = 0, 0, $N$5 )</f>
        <v>0</v>
      </c>
      <c r="M25" s="238"/>
      <c r="N25" s="285"/>
      <c r="O25" s="238"/>
      <c r="P25" s="219"/>
      <c r="Q25" s="2377" t="s">
        <v>13149</v>
      </c>
      <c r="R25" s="1269" t="s">
        <v>13151</v>
      </c>
      <c r="S25" s="106"/>
      <c r="T25" s="219"/>
      <c r="U25" s="219"/>
      <c r="V25" s="219"/>
    </row>
    <row r="26" spans="1:22" ht="23.25" customHeight="1" thickBot="1">
      <c r="A26" s="242"/>
      <c r="B26" s="453" t="s">
        <v>13152</v>
      </c>
      <c r="C26" s="355" t="s">
        <v>12566</v>
      </c>
      <c r="D26" s="355">
        <v>1</v>
      </c>
      <c r="E26" s="1271">
        <v>143</v>
      </c>
      <c r="F26" s="106"/>
      <c r="G26" s="1043" t="s">
        <v>4185</v>
      </c>
      <c r="H26" s="242"/>
      <c r="I26" s="1237" t="s">
        <v>18549</v>
      </c>
      <c r="J26" s="242"/>
      <c r="K26" s="238"/>
      <c r="M26" s="238"/>
      <c r="N26" s="285">
        <f t="shared" si="3"/>
        <v>0</v>
      </c>
      <c r="O26" s="238"/>
      <c r="P26" s="219"/>
      <c r="Q26" s="463" t="s">
        <v>13153</v>
      </c>
      <c r="R26" s="1271" t="s">
        <v>17702</v>
      </c>
      <c r="S26" s="106"/>
      <c r="T26" s="219"/>
      <c r="U26" s="219"/>
      <c r="V26" s="219"/>
    </row>
    <row r="27" spans="1:22" ht="15.6" thickTop="1" thickBot="1"/>
    <row r="28" spans="1:22" ht="16.8" thickTop="1" thickBot="1">
      <c r="A28" s="242"/>
      <c r="B28" s="393" t="s">
        <v>13154</v>
      </c>
      <c r="C28" s="482"/>
      <c r="D28" s="482"/>
      <c r="E28" s="482"/>
      <c r="F28" s="1242"/>
      <c r="G28" s="565"/>
      <c r="H28" s="242"/>
      <c r="I28" s="242"/>
      <c r="J28" s="242"/>
      <c r="K28" s="238"/>
      <c r="L28" s="219"/>
      <c r="M28" s="238"/>
      <c r="N28" s="219"/>
      <c r="O28" s="238"/>
      <c r="P28" s="219"/>
      <c r="Q28" s="393" t="s">
        <v>13154</v>
      </c>
      <c r="R28" s="482"/>
      <c r="S28" s="1242"/>
      <c r="T28" s="219"/>
      <c r="U28" s="219"/>
      <c r="V28" s="219"/>
    </row>
    <row r="29" spans="1:22" ht="15.75" customHeight="1" thickTop="1">
      <c r="A29" s="242"/>
      <c r="B29" s="451" t="s">
        <v>13155</v>
      </c>
      <c r="C29" s="277" t="s">
        <v>4843</v>
      </c>
      <c r="D29" s="277">
        <v>0</v>
      </c>
      <c r="E29" s="1711">
        <v>151355</v>
      </c>
      <c r="F29" s="106"/>
      <c r="G29" s="1040" t="s">
        <v>13156</v>
      </c>
      <c r="H29" s="242"/>
      <c r="I29" s="1231" t="s">
        <v>18551</v>
      </c>
      <c r="J29" s="242"/>
      <c r="K29" s="238"/>
      <c r="L29" s="2325" t="s">
        <v>4210</v>
      </c>
      <c r="M29" s="238"/>
      <c r="N29" s="285">
        <v>1</v>
      </c>
      <c r="O29" s="238"/>
      <c r="P29" s="219"/>
      <c r="Q29" s="451" t="s">
        <v>13155</v>
      </c>
      <c r="R29" s="960" t="s">
        <v>13157</v>
      </c>
      <c r="S29" s="106"/>
      <c r="T29" s="219"/>
      <c r="U29" s="219"/>
      <c r="V29" s="219"/>
    </row>
    <row r="30" spans="1:22" ht="15.6">
      <c r="A30" s="242"/>
      <c r="B30" s="460" t="s">
        <v>13158</v>
      </c>
      <c r="C30" s="286" t="s">
        <v>4843</v>
      </c>
      <c r="D30" s="286">
        <v>0</v>
      </c>
      <c r="E30" s="1330">
        <v>48548</v>
      </c>
      <c r="F30" s="106"/>
      <c r="G30" s="1041" t="s">
        <v>13159</v>
      </c>
      <c r="H30" s="242"/>
      <c r="I30" s="1233" t="s">
        <v>18552</v>
      </c>
      <c r="J30" s="242"/>
      <c r="K30" s="238"/>
      <c r="L30" s="2325" t="s">
        <v>4210</v>
      </c>
      <c r="M30" s="238"/>
      <c r="N30" s="285">
        <v>1</v>
      </c>
      <c r="O30" s="238"/>
      <c r="P30" s="219"/>
      <c r="Q30" s="460" t="s">
        <v>13158</v>
      </c>
      <c r="R30" s="964" t="s">
        <v>13160</v>
      </c>
      <c r="S30" s="106"/>
      <c r="T30" s="219"/>
      <c r="U30" s="219"/>
      <c r="V30" s="219"/>
    </row>
    <row r="31" spans="1:22" ht="15.6">
      <c r="A31" s="242"/>
      <c r="B31" s="2326" t="s">
        <v>13161</v>
      </c>
      <c r="C31" s="2327" t="s">
        <v>4843</v>
      </c>
      <c r="D31" s="2327">
        <v>0</v>
      </c>
      <c r="E31" s="2570">
        <v>842990</v>
      </c>
      <c r="F31" s="106"/>
      <c r="G31" s="2571" t="s">
        <v>13162</v>
      </c>
      <c r="H31" s="242"/>
      <c r="I31" s="2330"/>
      <c r="J31" s="242"/>
      <c r="K31" s="238"/>
      <c r="L31" s="2325" t="s">
        <v>4210</v>
      </c>
      <c r="M31" s="238"/>
      <c r="N31" s="285">
        <v>1</v>
      </c>
      <c r="O31" s="238"/>
      <c r="P31" s="219"/>
      <c r="Q31" s="460" t="s">
        <v>13161</v>
      </c>
      <c r="R31" s="964" t="s">
        <v>13163</v>
      </c>
      <c r="S31" s="106"/>
      <c r="T31" s="219"/>
      <c r="U31" s="219"/>
      <c r="V31" s="219"/>
    </row>
    <row r="32" spans="1:22" ht="30.6" thickBot="1">
      <c r="A32" s="242"/>
      <c r="B32" s="2377" t="s">
        <v>13164</v>
      </c>
      <c r="C32" s="2370" t="s">
        <v>4843</v>
      </c>
      <c r="D32" s="2370">
        <v>0</v>
      </c>
      <c r="E32" s="2572">
        <v>3</v>
      </c>
      <c r="F32" s="106"/>
      <c r="G32" s="1043" t="s">
        <v>13165</v>
      </c>
      <c r="H32" s="242"/>
      <c r="I32" s="2573" t="s">
        <v>18553</v>
      </c>
      <c r="J32" s="242"/>
      <c r="K32" s="238"/>
      <c r="L32" s="2325"/>
      <c r="M32" s="238"/>
      <c r="N32" s="285"/>
      <c r="O32" s="238"/>
      <c r="P32" s="219"/>
      <c r="Q32" s="2422" t="s">
        <v>13164</v>
      </c>
      <c r="R32" s="1256" t="s">
        <v>13166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6.05" customHeight="1" thickTop="1">
      <c r="A35" s="242"/>
      <c r="B35" s="829" t="s">
        <v>13167</v>
      </c>
      <c r="C35" s="788" t="s">
        <v>13168</v>
      </c>
      <c r="D35" s="788">
        <v>0</v>
      </c>
      <c r="E35" s="1708">
        <v>20084</v>
      </c>
      <c r="F35" s="197"/>
      <c r="G35" s="2574" t="s">
        <v>13169</v>
      </c>
      <c r="H35" s="242"/>
      <c r="I35" s="1231" t="s">
        <v>18554</v>
      </c>
      <c r="J35" s="242"/>
      <c r="K35" s="238"/>
      <c r="L35" s="2325" t="s">
        <v>4210</v>
      </c>
      <c r="M35" s="238"/>
      <c r="N35" s="285">
        <v>1</v>
      </c>
      <c r="O35" s="238"/>
      <c r="P35" s="219"/>
      <c r="Q35" s="829" t="s">
        <v>13167</v>
      </c>
      <c r="R35" s="1253" t="s">
        <v>13170</v>
      </c>
      <c r="S35" s="197"/>
      <c r="T35" s="219"/>
      <c r="U35" s="219"/>
      <c r="V35" s="219"/>
    </row>
    <row r="36" spans="1:22" ht="16.05" customHeight="1">
      <c r="A36" s="242"/>
      <c r="B36" s="833" t="s">
        <v>13171</v>
      </c>
      <c r="C36" s="834" t="s">
        <v>4843</v>
      </c>
      <c r="D36" s="834">
        <v>2</v>
      </c>
      <c r="E36" s="2575">
        <v>5.4</v>
      </c>
      <c r="F36" s="389"/>
      <c r="G36" s="2576" t="s">
        <v>13172</v>
      </c>
      <c r="H36" s="242"/>
      <c r="I36" s="1233" t="s">
        <v>18555</v>
      </c>
      <c r="J36" s="242"/>
      <c r="K36" s="238"/>
      <c r="L36" s="2325" t="s">
        <v>4210</v>
      </c>
      <c r="M36" s="238"/>
      <c r="N36" s="285">
        <v>1</v>
      </c>
      <c r="O36" s="238"/>
      <c r="P36" s="219"/>
      <c r="Q36" s="833" t="s">
        <v>13171</v>
      </c>
      <c r="R36" s="2575" t="s">
        <v>13173</v>
      </c>
      <c r="S36" s="389"/>
      <c r="T36" s="219"/>
      <c r="U36" s="219"/>
      <c r="V36" s="219"/>
    </row>
    <row r="37" spans="1:22" ht="16.05" customHeight="1">
      <c r="A37" s="242"/>
      <c r="B37" s="833" t="s">
        <v>13174</v>
      </c>
      <c r="C37" s="834" t="s">
        <v>4843</v>
      </c>
      <c r="D37" s="834">
        <v>0</v>
      </c>
      <c r="E37" s="1709">
        <v>1313</v>
      </c>
      <c r="F37" s="197"/>
      <c r="G37" s="2576" t="s">
        <v>13175</v>
      </c>
      <c r="H37" s="242"/>
      <c r="I37" s="1233" t="s">
        <v>18556</v>
      </c>
      <c r="J37" s="242"/>
      <c r="K37" s="238"/>
      <c r="L37" s="2325" t="s">
        <v>4210</v>
      </c>
      <c r="M37" s="238"/>
      <c r="N37" s="285">
        <v>1</v>
      </c>
      <c r="O37" s="238"/>
      <c r="P37" s="219"/>
      <c r="Q37" s="833" t="s">
        <v>13174</v>
      </c>
      <c r="R37" s="1254" t="s">
        <v>13176</v>
      </c>
      <c r="S37" s="197"/>
      <c r="T37" s="219"/>
      <c r="U37" s="219"/>
      <c r="V37" s="219"/>
    </row>
    <row r="38" spans="1:22" ht="16.05" customHeight="1">
      <c r="A38" s="242"/>
      <c r="B38" s="833" t="s">
        <v>13177</v>
      </c>
      <c r="C38" s="834" t="s">
        <v>4843</v>
      </c>
      <c r="D38" s="834">
        <v>0</v>
      </c>
      <c r="E38" s="2575">
        <v>597</v>
      </c>
      <c r="F38" s="389"/>
      <c r="G38" s="2576" t="s">
        <v>13178</v>
      </c>
      <c r="H38" s="242"/>
      <c r="I38" s="1233" t="s">
        <v>18557</v>
      </c>
      <c r="J38" s="242"/>
      <c r="K38" s="238"/>
      <c r="L38" s="2325" t="s">
        <v>4210</v>
      </c>
      <c r="M38" s="238"/>
      <c r="N38" s="285"/>
      <c r="O38" s="238"/>
      <c r="P38" s="219"/>
      <c r="Q38" s="833" t="s">
        <v>13177</v>
      </c>
      <c r="R38" s="2575" t="s">
        <v>13179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6">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62" priority="8" operator="equal">
      <formula>0</formula>
    </cfRule>
  </conditionalFormatting>
  <conditionalFormatting sqref="L29:L32">
    <cfRule type="cellIs" dxfId="61"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2" zoomScale="70" zoomScaleNormal="70" zoomScaleSheetLayoutView="100" workbookViewId="0">
      <selection activeCell="J40" sqref="J40"/>
    </sheetView>
  </sheetViews>
  <sheetFormatPr defaultColWidth="9" defaultRowHeight="13.8"/>
  <cols>
    <col min="1" max="1" width="1.59765625" style="219" customWidth="1"/>
    <col min="2" max="2" width="91.69921875" style="219" customWidth="1"/>
    <col min="3" max="3" width="7" style="219" customWidth="1"/>
    <col min="4" max="4" width="5.09765625" style="219" customWidth="1"/>
    <col min="5" max="5" width="20.59765625" style="219" customWidth="1"/>
    <col min="6" max="6" width="19.09765625" style="219" customWidth="1"/>
    <col min="7" max="8" width="12.5" style="219" customWidth="1"/>
    <col min="9" max="9" width="1.59765625" style="219" customWidth="1"/>
    <col min="10" max="10" width="12.5" style="219" customWidth="1"/>
    <col min="11" max="11" width="1.59765625" style="219" customWidth="1"/>
    <col min="12" max="12" width="33.59765625" style="218" customWidth="1"/>
    <col min="13" max="14" width="1.59765625" style="219" customWidth="1"/>
    <col min="15" max="15" width="25" style="219" customWidth="1"/>
    <col min="16" max="16" width="1.59765625" style="219" customWidth="1"/>
    <col min="17" max="19" width="12.5" style="219" hidden="1" customWidth="1"/>
    <col min="20" max="20" width="1.59765625" style="219" hidden="1" customWidth="1"/>
    <col min="21" max="21" width="1.59765625" style="219" customWidth="1"/>
    <col min="22" max="22" width="49.09765625" style="219" bestFit="1" customWidth="1"/>
    <col min="23" max="26" width="17.5" style="219" customWidth="1"/>
    <col min="27" max="27" width="1.59765625" style="219" customWidth="1"/>
    <col min="28" max="16384" width="9" style="219"/>
  </cols>
  <sheetData>
    <row r="1" spans="1:27" ht="30.75" customHeight="1">
      <c r="B1" s="1229" t="s">
        <v>13180</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Dŵr Cymru</v>
      </c>
      <c r="C2" s="529"/>
      <c r="D2" s="529"/>
      <c r="E2" s="529"/>
      <c r="F2" s="529"/>
      <c r="G2" s="529"/>
      <c r="H2" s="529"/>
      <c r="N2" s="238"/>
      <c r="P2" s="238"/>
      <c r="T2" s="238"/>
      <c r="V2" s="1229"/>
      <c r="W2" s="529"/>
      <c r="X2" s="529"/>
      <c r="Y2" s="529"/>
      <c r="Z2" s="529"/>
    </row>
    <row r="3" spans="1:27" ht="45" customHeight="1">
      <c r="B3" s="2829" t="s">
        <v>13181</v>
      </c>
      <c r="C3" s="2829"/>
      <c r="D3" s="2829"/>
      <c r="E3" s="2829"/>
      <c r="F3" s="2829"/>
      <c r="G3" s="2829"/>
      <c r="H3" s="2829"/>
      <c r="I3" s="2829"/>
      <c r="J3" s="2829"/>
      <c r="K3" s="2829"/>
      <c r="L3" s="2829"/>
      <c r="M3" s="261"/>
      <c r="N3" s="238"/>
      <c r="O3" s="1240" t="s">
        <v>4200</v>
      </c>
      <c r="P3" s="238"/>
      <c r="T3" s="238"/>
      <c r="V3" s="2829" t="s">
        <v>13181</v>
      </c>
      <c r="W3" s="2829"/>
      <c r="X3" s="2829"/>
      <c r="Y3" s="2829"/>
      <c r="Z3" s="2829"/>
      <c r="AA3" s="2829"/>
    </row>
    <row r="4" spans="1:27" ht="14.25" customHeight="1" thickBot="1">
      <c r="B4" s="1274"/>
      <c r="C4" s="1274"/>
      <c r="D4" s="1274"/>
      <c r="E4" s="1274"/>
      <c r="F4" s="1274"/>
      <c r="G4" s="1274"/>
      <c r="H4" s="1274"/>
      <c r="I4" s="1274"/>
      <c r="J4" s="1274"/>
      <c r="K4" s="1274"/>
      <c r="L4" s="1275"/>
      <c r="M4" s="242"/>
      <c r="N4" s="238"/>
      <c r="P4" s="238"/>
      <c r="Q4" s="2917" t="s">
        <v>4201</v>
      </c>
      <c r="R4" s="2917"/>
      <c r="S4" s="2917"/>
      <c r="T4" s="238"/>
      <c r="V4" s="1274"/>
      <c r="W4" s="1274"/>
      <c r="X4" s="1274"/>
      <c r="Y4" s="1274"/>
      <c r="Z4" s="1274"/>
      <c r="AA4" s="1274"/>
    </row>
    <row r="5" spans="1:27" ht="46.2" thickTop="1" thickBot="1">
      <c r="A5" s="242"/>
      <c r="B5" s="445" t="s">
        <v>4202</v>
      </c>
      <c r="C5" s="446" t="s">
        <v>4203</v>
      </c>
      <c r="D5" s="446" t="s">
        <v>4204</v>
      </c>
      <c r="E5" s="446" t="s">
        <v>11624</v>
      </c>
      <c r="F5" s="446" t="s">
        <v>11625</v>
      </c>
      <c r="G5" s="447" t="s">
        <v>13182</v>
      </c>
      <c r="H5" s="242"/>
      <c r="I5" s="261"/>
      <c r="J5" s="449" t="s">
        <v>4208</v>
      </c>
      <c r="K5" s="261"/>
      <c r="L5" s="449" t="s">
        <v>4209</v>
      </c>
      <c r="M5" s="261"/>
      <c r="N5" s="238"/>
      <c r="P5" s="238"/>
      <c r="Q5" s="269" t="s">
        <v>4210</v>
      </c>
      <c r="R5" s="269"/>
      <c r="T5" s="238"/>
      <c r="V5" s="445" t="s">
        <v>4202</v>
      </c>
      <c r="W5" s="446" t="s">
        <v>11624</v>
      </c>
      <c r="X5" s="446" t="s">
        <v>11625</v>
      </c>
      <c r="Y5" s="447" t="s">
        <v>13182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13183</v>
      </c>
      <c r="C7" s="482"/>
      <c r="D7" s="482"/>
      <c r="E7" s="455"/>
      <c r="F7" s="455"/>
      <c r="G7" s="455"/>
      <c r="H7" s="455"/>
      <c r="I7" s="261"/>
      <c r="J7" s="242"/>
      <c r="K7" s="261"/>
      <c r="L7" s="727"/>
      <c r="M7" s="261"/>
      <c r="N7" s="238"/>
      <c r="P7" s="238"/>
      <c r="T7" s="238"/>
      <c r="V7" s="784" t="s">
        <v>13183</v>
      </c>
      <c r="W7" s="455"/>
      <c r="X7" s="455"/>
      <c r="Y7" s="455"/>
      <c r="Z7" s="455"/>
      <c r="AA7" s="261"/>
    </row>
    <row r="8" spans="1:27" ht="15.75" customHeight="1" thickTop="1">
      <c r="A8" s="242"/>
      <c r="B8" s="451" t="s">
        <v>13184</v>
      </c>
      <c r="C8" s="277" t="s">
        <v>4215</v>
      </c>
      <c r="D8" s="277">
        <v>3</v>
      </c>
      <c r="E8" s="891">
        <v>4.8998431779559564</v>
      </c>
      <c r="F8" s="891">
        <v>0.15157942962890075</v>
      </c>
      <c r="G8" s="1276">
        <v>9.1512415143143753E-5</v>
      </c>
      <c r="H8" s="83"/>
      <c r="I8" s="261"/>
      <c r="J8" s="1040" t="s">
        <v>13185</v>
      </c>
      <c r="K8" s="261"/>
      <c r="L8" s="1277"/>
      <c r="M8" s="261"/>
      <c r="N8" s="238"/>
      <c r="O8" s="1232">
        <f>IF( SUM( Q8:S8 ) = 0, 0, $Q$5 )</f>
        <v>0</v>
      </c>
      <c r="P8" s="238"/>
      <c r="Q8" s="285">
        <f t="shared" ref="Q8:S12" si="0" xml:space="preserve"> IF( ISNUMBER(E8 ), 0, 1 )</f>
        <v>0</v>
      </c>
      <c r="R8" s="285">
        <f t="shared" si="0"/>
        <v>0</v>
      </c>
      <c r="S8" s="285">
        <f t="shared" si="0"/>
        <v>0</v>
      </c>
      <c r="T8" s="238"/>
      <c r="V8" s="451" t="s">
        <v>13184</v>
      </c>
      <c r="W8" s="891" t="s">
        <v>13186</v>
      </c>
      <c r="X8" s="891" t="s">
        <v>13187</v>
      </c>
      <c r="Y8" s="1276" t="s">
        <v>13188</v>
      </c>
      <c r="Z8" s="383"/>
      <c r="AA8" s="261"/>
    </row>
    <row r="9" spans="1:27" ht="15.75" customHeight="1">
      <c r="A9" s="242"/>
      <c r="B9" s="460" t="s">
        <v>13189</v>
      </c>
      <c r="C9" s="286" t="s">
        <v>4215</v>
      </c>
      <c r="D9" s="286">
        <v>3</v>
      </c>
      <c r="E9" s="892">
        <v>0</v>
      </c>
      <c r="F9" s="892">
        <v>0</v>
      </c>
      <c r="G9" s="1266">
        <v>0</v>
      </c>
      <c r="H9" s="83"/>
      <c r="I9" s="261"/>
      <c r="J9" s="1041" t="s">
        <v>13190</v>
      </c>
      <c r="K9" s="261"/>
      <c r="L9" s="1278"/>
      <c r="M9" s="261"/>
      <c r="N9" s="238"/>
      <c r="O9" s="1232">
        <f t="shared" ref="O9:O11" si="1">IF( SUM( Q9:S9 ) = 0, 0, $Q$5 )</f>
        <v>0</v>
      </c>
      <c r="P9" s="238"/>
      <c r="Q9" s="285">
        <f t="shared" si="0"/>
        <v>0</v>
      </c>
      <c r="R9" s="285">
        <f t="shared" si="0"/>
        <v>0</v>
      </c>
      <c r="S9" s="285">
        <f t="shared" si="0"/>
        <v>0</v>
      </c>
      <c r="T9" s="238"/>
      <c r="V9" s="460" t="s">
        <v>13189</v>
      </c>
      <c r="W9" s="892" t="s">
        <v>13191</v>
      </c>
      <c r="X9" s="892" t="s">
        <v>13192</v>
      </c>
      <c r="Y9" s="1266" t="s">
        <v>13193</v>
      </c>
      <c r="Z9" s="383"/>
      <c r="AA9" s="261"/>
    </row>
    <row r="10" spans="1:27" ht="15.75" customHeight="1">
      <c r="A10" s="242"/>
      <c r="B10" s="460" t="s">
        <v>13194</v>
      </c>
      <c r="C10" s="286" t="s">
        <v>4215</v>
      </c>
      <c r="D10" s="286">
        <v>3</v>
      </c>
      <c r="E10" s="892">
        <v>1.6864169650522835E-2</v>
      </c>
      <c r="F10" s="892">
        <v>4.5303103494771643E-3</v>
      </c>
      <c r="G10" s="1266">
        <v>0</v>
      </c>
      <c r="H10" s="83"/>
      <c r="I10" s="261"/>
      <c r="J10" s="1041" t="s">
        <v>13195</v>
      </c>
      <c r="K10" s="261"/>
      <c r="L10" s="1278"/>
      <c r="M10" s="261"/>
      <c r="N10" s="238"/>
      <c r="O10" s="1232">
        <f t="shared" si="1"/>
        <v>0</v>
      </c>
      <c r="P10" s="238"/>
      <c r="Q10" s="285">
        <f t="shared" si="0"/>
        <v>0</v>
      </c>
      <c r="R10" s="285">
        <f t="shared" si="0"/>
        <v>0</v>
      </c>
      <c r="S10" s="285">
        <f t="shared" si="0"/>
        <v>0</v>
      </c>
      <c r="T10" s="238"/>
      <c r="V10" s="460" t="s">
        <v>13194</v>
      </c>
      <c r="W10" s="892" t="s">
        <v>13196</v>
      </c>
      <c r="X10" s="892" t="s">
        <v>13197</v>
      </c>
      <c r="Y10" s="1266" t="s">
        <v>13198</v>
      </c>
      <c r="Z10" s="383"/>
      <c r="AA10" s="261"/>
    </row>
    <row r="11" spans="1:27" ht="15.75" customHeight="1">
      <c r="A11" s="242"/>
      <c r="B11" s="460" t="s">
        <v>13199</v>
      </c>
      <c r="C11" s="286" t="s">
        <v>4215</v>
      </c>
      <c r="D11" s="286">
        <v>3</v>
      </c>
      <c r="E11" s="892">
        <v>2.2700433723540123</v>
      </c>
      <c r="F11" s="892">
        <v>0.17791389721225004</v>
      </c>
      <c r="G11" s="1266">
        <v>0.10006610958991166</v>
      </c>
      <c r="H11" s="83"/>
      <c r="I11" s="261"/>
      <c r="J11" s="1041" t="s">
        <v>13200</v>
      </c>
      <c r="K11" s="261"/>
      <c r="L11" s="1278"/>
      <c r="M11" s="261"/>
      <c r="N11" s="238"/>
      <c r="O11" s="1232">
        <f t="shared" si="1"/>
        <v>0</v>
      </c>
      <c r="P11" s="238"/>
      <c r="Q11" s="285">
        <f t="shared" si="0"/>
        <v>0</v>
      </c>
      <c r="R11" s="285">
        <f t="shared" si="0"/>
        <v>0</v>
      </c>
      <c r="S11" s="285">
        <f t="shared" si="0"/>
        <v>0</v>
      </c>
      <c r="T11" s="238"/>
      <c r="V11" s="460" t="s">
        <v>13199</v>
      </c>
      <c r="W11" s="892" t="s">
        <v>13201</v>
      </c>
      <c r="X11" s="892" t="s">
        <v>13202</v>
      </c>
      <c r="Y11" s="1266" t="s">
        <v>13203</v>
      </c>
      <c r="Z11" s="383"/>
      <c r="AA11" s="261"/>
    </row>
    <row r="12" spans="1:27" ht="15.75" customHeight="1" thickBot="1">
      <c r="A12" s="242"/>
      <c r="B12" s="463" t="s">
        <v>13204</v>
      </c>
      <c r="C12" s="355" t="s">
        <v>4215</v>
      </c>
      <c r="D12" s="355">
        <v>3</v>
      </c>
      <c r="E12" s="2647">
        <v>1.7172632782848638</v>
      </c>
      <c r="F12" s="2647">
        <v>8.1999827265465855E-2</v>
      </c>
      <c r="G12" s="2428">
        <v>1.5834652934957605E-3</v>
      </c>
      <c r="H12" s="83"/>
      <c r="I12" s="261"/>
      <c r="J12" s="1043" t="s">
        <v>13205</v>
      </c>
      <c r="K12" s="261"/>
      <c r="L12" s="1278"/>
      <c r="M12" s="261"/>
      <c r="N12" s="238"/>
      <c r="O12" s="1232">
        <f t="shared" ref="O12" si="2">IF( SUM( Q12:S12 ) = 0, 0, $Q$5 )</f>
        <v>0</v>
      </c>
      <c r="P12" s="238"/>
      <c r="Q12" s="285">
        <f t="shared" si="0"/>
        <v>0</v>
      </c>
      <c r="R12" s="285">
        <f t="shared" si="0"/>
        <v>0</v>
      </c>
      <c r="S12" s="285">
        <f t="shared" si="0"/>
        <v>0</v>
      </c>
      <c r="T12" s="238"/>
      <c r="V12" s="460" t="s">
        <v>13204</v>
      </c>
      <c r="W12" s="892" t="s">
        <v>13206</v>
      </c>
      <c r="X12" s="892" t="s">
        <v>13207</v>
      </c>
      <c r="Y12" s="1266" t="s">
        <v>13208</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13209</v>
      </c>
      <c r="C15" s="277" t="s">
        <v>5981</v>
      </c>
      <c r="D15" s="277">
        <v>3</v>
      </c>
      <c r="E15" s="891">
        <v>13.413</v>
      </c>
      <c r="F15" s="891">
        <v>0.501</v>
      </c>
      <c r="G15" s="1276">
        <v>1E-3</v>
      </c>
      <c r="H15" s="83"/>
      <c r="I15" s="242"/>
      <c r="J15" s="1040" t="s">
        <v>13210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13209</v>
      </c>
      <c r="W15" s="891" t="s">
        <v>13211</v>
      </c>
      <c r="X15" s="891" t="s">
        <v>13212</v>
      </c>
      <c r="Y15" s="1276" t="s">
        <v>13213</v>
      </c>
      <c r="Z15" s="383"/>
    </row>
    <row r="16" spans="1:27" ht="15.75" customHeight="1">
      <c r="A16" s="242"/>
      <c r="B16" s="460" t="s">
        <v>13214</v>
      </c>
      <c r="C16" s="286" t="s">
        <v>5981</v>
      </c>
      <c r="D16" s="286">
        <v>3</v>
      </c>
      <c r="E16" s="892">
        <v>0</v>
      </c>
      <c r="F16" s="892">
        <v>0</v>
      </c>
      <c r="G16" s="1266">
        <v>0</v>
      </c>
      <c r="H16" s="83"/>
      <c r="I16" s="242"/>
      <c r="J16" s="1041" t="s">
        <v>13215</v>
      </c>
      <c r="K16" s="1281"/>
      <c r="L16" s="1283"/>
      <c r="M16" s="1281"/>
      <c r="N16" s="238"/>
      <c r="O16" s="1232">
        <f t="shared" si="3"/>
        <v>0</v>
      </c>
      <c r="P16" s="238"/>
      <c r="Q16" s="285">
        <f t="shared" si="4"/>
        <v>0</v>
      </c>
      <c r="R16" s="285">
        <f t="shared" si="4"/>
        <v>0</v>
      </c>
      <c r="S16" s="285">
        <f t="shared" si="4"/>
        <v>0</v>
      </c>
      <c r="T16" s="238"/>
      <c r="V16" s="460" t="s">
        <v>13214</v>
      </c>
      <c r="W16" s="892" t="s">
        <v>13216</v>
      </c>
      <c r="X16" s="892" t="s">
        <v>13217</v>
      </c>
      <c r="Y16" s="1266" t="s">
        <v>13218</v>
      </c>
      <c r="Z16" s="383"/>
    </row>
    <row r="17" spans="1:26" ht="15.75" customHeight="1">
      <c r="A17" s="242"/>
      <c r="B17" s="460" t="s">
        <v>13219</v>
      </c>
      <c r="C17" s="286" t="s">
        <v>5981</v>
      </c>
      <c r="D17" s="286">
        <v>3</v>
      </c>
      <c r="E17" s="892">
        <v>6.5000000000000002E-2</v>
      </c>
      <c r="F17" s="892">
        <v>2.5000000000000001E-2</v>
      </c>
      <c r="G17" s="1266">
        <v>0</v>
      </c>
      <c r="H17" s="83"/>
      <c r="I17" s="242"/>
      <c r="J17" s="1041" t="s">
        <v>13220</v>
      </c>
      <c r="K17" s="1281"/>
      <c r="L17" s="1283"/>
      <c r="M17" s="1281"/>
      <c r="N17" s="238"/>
      <c r="O17" s="1232">
        <f t="shared" si="3"/>
        <v>0</v>
      </c>
      <c r="P17" s="238"/>
      <c r="Q17" s="285">
        <f t="shared" si="4"/>
        <v>0</v>
      </c>
      <c r="R17" s="285">
        <f t="shared" si="4"/>
        <v>0</v>
      </c>
      <c r="S17" s="285">
        <f t="shared" si="4"/>
        <v>0</v>
      </c>
      <c r="T17" s="238"/>
      <c r="V17" s="460" t="s">
        <v>13219</v>
      </c>
      <c r="W17" s="892" t="s">
        <v>13221</v>
      </c>
      <c r="X17" s="892" t="s">
        <v>13222</v>
      </c>
      <c r="Y17" s="1266" t="s">
        <v>13223</v>
      </c>
      <c r="Z17" s="383"/>
    </row>
    <row r="18" spans="1:26" ht="15.75" customHeight="1">
      <c r="A18" s="242"/>
      <c r="B18" s="460" t="s">
        <v>13224</v>
      </c>
      <c r="C18" s="286" t="s">
        <v>5981</v>
      </c>
      <c r="D18" s="286">
        <v>3</v>
      </c>
      <c r="E18" s="892">
        <v>4.5919999999999996</v>
      </c>
      <c r="F18" s="892">
        <v>0.36199999999999999</v>
      </c>
      <c r="G18" s="1266">
        <v>9.0999999999999998E-2</v>
      </c>
      <c r="H18" s="83"/>
      <c r="I18" s="242"/>
      <c r="J18" s="1041" t="s">
        <v>13225</v>
      </c>
      <c r="K18" s="1281"/>
      <c r="L18" s="1283"/>
      <c r="M18" s="1281"/>
      <c r="N18" s="238"/>
      <c r="O18" s="1232">
        <f t="shared" si="3"/>
        <v>0</v>
      </c>
      <c r="P18" s="238"/>
      <c r="Q18" s="285">
        <f t="shared" si="4"/>
        <v>0</v>
      </c>
      <c r="R18" s="285">
        <f t="shared" si="4"/>
        <v>0</v>
      </c>
      <c r="S18" s="285">
        <f t="shared" si="4"/>
        <v>0</v>
      </c>
      <c r="T18" s="238"/>
      <c r="V18" s="460" t="s">
        <v>13224</v>
      </c>
      <c r="W18" s="892" t="s">
        <v>13226</v>
      </c>
      <c r="X18" s="892" t="s">
        <v>13227</v>
      </c>
      <c r="Y18" s="1266" t="s">
        <v>13228</v>
      </c>
      <c r="Z18" s="383"/>
    </row>
    <row r="19" spans="1:26" ht="15.75" customHeight="1">
      <c r="A19" s="242"/>
      <c r="B19" s="460" t="s">
        <v>13229</v>
      </c>
      <c r="C19" s="286" t="s">
        <v>5981</v>
      </c>
      <c r="D19" s="286">
        <v>3</v>
      </c>
      <c r="E19" s="892">
        <v>1.2669999999999999</v>
      </c>
      <c r="F19" s="892">
        <v>0.12</v>
      </c>
      <c r="G19" s="1266">
        <v>1E-3</v>
      </c>
      <c r="H19" s="83"/>
      <c r="I19" s="242"/>
      <c r="J19" s="1041" t="s">
        <v>13230</v>
      </c>
      <c r="K19" s="1281"/>
      <c r="L19" s="1283"/>
      <c r="M19" s="1281"/>
      <c r="N19" s="238"/>
      <c r="O19" s="1232">
        <f t="shared" si="3"/>
        <v>0</v>
      </c>
      <c r="P19" s="238"/>
      <c r="Q19" s="285">
        <f t="shared" si="4"/>
        <v>0</v>
      </c>
      <c r="R19" s="285">
        <f t="shared" si="4"/>
        <v>0</v>
      </c>
      <c r="S19" s="285">
        <f t="shared" si="4"/>
        <v>0</v>
      </c>
      <c r="T19" s="238"/>
      <c r="V19" s="460" t="s">
        <v>13229</v>
      </c>
      <c r="W19" s="892" t="s">
        <v>13231</v>
      </c>
      <c r="X19" s="892" t="s">
        <v>13232</v>
      </c>
      <c r="Y19" s="1266" t="s">
        <v>13233</v>
      </c>
      <c r="Z19" s="383"/>
    </row>
    <row r="20" spans="1:26" ht="15.75" customHeight="1">
      <c r="A20" s="242"/>
      <c r="B20" s="2606" t="s">
        <v>13234</v>
      </c>
      <c r="C20" s="286" t="s">
        <v>5981</v>
      </c>
      <c r="D20" s="286">
        <v>3</v>
      </c>
      <c r="E20" s="1285"/>
      <c r="F20" s="892">
        <v>0.33300000000000002</v>
      </c>
      <c r="G20" s="1266">
        <v>4.7E-2</v>
      </c>
      <c r="H20" s="83"/>
      <c r="I20" s="242"/>
      <c r="J20" s="1041" t="s">
        <v>13235</v>
      </c>
      <c r="K20" s="1281"/>
      <c r="L20" s="1283"/>
      <c r="M20" s="1281"/>
      <c r="N20" s="238"/>
      <c r="O20" s="1232">
        <f>IF( SUM( Q20:S20 ) = 0, 0, $Q$5 )</f>
        <v>0</v>
      </c>
      <c r="P20" s="238"/>
      <c r="Q20" s="285"/>
      <c r="R20" s="285">
        <f xml:space="preserve"> IF( ISNUMBER(F20 ), 0, 1 )</f>
        <v>0</v>
      </c>
      <c r="S20" s="285">
        <f xml:space="preserve"> IF( ISNUMBER(G20 ), 0, 1 )</f>
        <v>0</v>
      </c>
      <c r="T20" s="238"/>
      <c r="V20" s="460" t="s">
        <v>13236</v>
      </c>
      <c r="W20" s="1285"/>
      <c r="X20" s="892" t="s">
        <v>17704</v>
      </c>
      <c r="Y20" s="1266" t="s">
        <v>17705</v>
      </c>
      <c r="Z20" s="383"/>
    </row>
    <row r="21" spans="1:26" ht="15.75" customHeight="1">
      <c r="A21" s="242"/>
      <c r="B21" s="2434" t="s">
        <v>13237</v>
      </c>
      <c r="C21" s="286" t="s">
        <v>5981</v>
      </c>
      <c r="D21" s="286">
        <v>3</v>
      </c>
      <c r="E21" s="1285"/>
      <c r="F21" s="1285"/>
      <c r="G21" s="1266">
        <v>0</v>
      </c>
      <c r="H21" s="83"/>
      <c r="I21" s="242"/>
      <c r="J21" s="1041" t="s">
        <v>13238</v>
      </c>
      <c r="K21" s="1281"/>
      <c r="L21" s="1283"/>
      <c r="M21" s="1281"/>
      <c r="N21" s="238"/>
      <c r="O21" s="1232">
        <f>IF( SUM( Q21:S21 ) = 0, 0, $Q$5 )</f>
        <v>0</v>
      </c>
      <c r="P21" s="238"/>
      <c r="Q21" s="285"/>
      <c r="R21" s="285"/>
      <c r="S21" s="285">
        <f xml:space="preserve"> IF( ISNUMBER(G21 ), 0, 1 )</f>
        <v>0</v>
      </c>
      <c r="T21" s="238"/>
      <c r="V21" s="460" t="s">
        <v>13239</v>
      </c>
      <c r="W21" s="1285"/>
      <c r="X21" s="1285"/>
      <c r="Y21" s="1266" t="s">
        <v>17706</v>
      </c>
      <c r="Z21" s="383"/>
    </row>
    <row r="22" spans="1:26" ht="15.75" customHeight="1">
      <c r="A22" s="242"/>
      <c r="B22" s="2434" t="s">
        <v>13240</v>
      </c>
      <c r="C22" s="286" t="s">
        <v>5981</v>
      </c>
      <c r="D22" s="286">
        <v>3</v>
      </c>
      <c r="E22" s="1285"/>
      <c r="F22" s="892">
        <v>0.109</v>
      </c>
      <c r="G22" s="1266">
        <v>1E-3</v>
      </c>
      <c r="H22" s="83"/>
      <c r="I22" s="242"/>
      <c r="J22" s="1041" t="s">
        <v>13241</v>
      </c>
      <c r="K22" s="1281"/>
      <c r="L22" s="1283"/>
      <c r="M22" s="1281"/>
      <c r="N22" s="238"/>
      <c r="O22" s="1232">
        <f>IF( SUM( Q22:S22 ) = 0, 0, $Q$5 )</f>
        <v>0</v>
      </c>
      <c r="P22" s="238"/>
      <c r="Q22" s="285"/>
      <c r="R22" s="285">
        <f xml:space="preserve"> IF( ISNUMBER(F22 ), 0, 1 )</f>
        <v>0</v>
      </c>
      <c r="S22" s="285">
        <f xml:space="preserve"> IF( ISNUMBER(G22 ), 0, 1 )</f>
        <v>0</v>
      </c>
      <c r="T22" s="238"/>
      <c r="V22" s="460" t="s">
        <v>13240</v>
      </c>
      <c r="W22" s="1285"/>
      <c r="X22" s="892" t="s">
        <v>17707</v>
      </c>
      <c r="Y22" s="1266" t="s">
        <v>17708</v>
      </c>
      <c r="Z22" s="383"/>
    </row>
    <row r="23" spans="1:26" ht="15.75" customHeight="1">
      <c r="A23" s="242"/>
      <c r="B23" s="2434" t="s">
        <v>13242</v>
      </c>
      <c r="C23" s="286" t="s">
        <v>5981</v>
      </c>
      <c r="D23" s="286">
        <v>3</v>
      </c>
      <c r="E23" s="1285"/>
      <c r="F23" s="1285"/>
      <c r="G23" s="1266">
        <v>0</v>
      </c>
      <c r="H23" s="83"/>
      <c r="I23" s="242"/>
      <c r="J23" s="1041" t="s">
        <v>13243</v>
      </c>
      <c r="K23" s="1281"/>
      <c r="L23" s="1283"/>
      <c r="M23" s="1281"/>
      <c r="N23" s="238"/>
      <c r="O23" s="1232">
        <f>IF( SUM( Q23:S23 ) = 0, 0, $Q$5 )</f>
        <v>0</v>
      </c>
      <c r="P23" s="238"/>
      <c r="Q23" s="285"/>
      <c r="R23" s="285"/>
      <c r="S23" s="285">
        <f xml:space="preserve"> IF( ISNUMBER(G23 ), 0, 1 )</f>
        <v>0</v>
      </c>
      <c r="T23" s="238"/>
      <c r="V23" s="460" t="s">
        <v>13242</v>
      </c>
      <c r="W23" s="1285"/>
      <c r="X23" s="1285"/>
      <c r="Y23" s="1266" t="s">
        <v>17709</v>
      </c>
      <c r="Z23" s="383"/>
    </row>
    <row r="24" spans="1:26" ht="15.75" customHeight="1">
      <c r="A24" s="242"/>
      <c r="B24" s="460" t="s">
        <v>13244</v>
      </c>
      <c r="C24" s="286" t="s">
        <v>12500</v>
      </c>
      <c r="D24" s="286">
        <v>2</v>
      </c>
      <c r="E24" s="1284">
        <v>0.58215522154316324</v>
      </c>
      <c r="F24" s="1284">
        <v>2.1744558711185028E-2</v>
      </c>
      <c r="G24" s="1234">
        <v>4.3402312796776506E-5</v>
      </c>
      <c r="H24" s="83"/>
      <c r="I24" s="242"/>
      <c r="J24" s="1041" t="s">
        <v>13245</v>
      </c>
      <c r="K24" s="1281"/>
      <c r="L24" s="1283"/>
      <c r="M24" s="1281"/>
      <c r="N24" s="238"/>
      <c r="O24" s="1232">
        <f t="shared" si="3"/>
        <v>0</v>
      </c>
      <c r="P24" s="238"/>
      <c r="Q24" s="285">
        <f t="shared" ref="Q24:S25" si="5" xml:space="preserve"> IF( ISNUMBER(E24 ), 0, 1 )</f>
        <v>0</v>
      </c>
      <c r="R24" s="285">
        <f t="shared" si="5"/>
        <v>0</v>
      </c>
      <c r="S24" s="285">
        <f t="shared" si="5"/>
        <v>0</v>
      </c>
      <c r="T24" s="238"/>
      <c r="V24" s="460" t="s">
        <v>13244</v>
      </c>
      <c r="W24" s="1284" t="s">
        <v>13246</v>
      </c>
      <c r="X24" s="1284" t="s">
        <v>13247</v>
      </c>
      <c r="Y24" s="1234" t="s">
        <v>13248</v>
      </c>
      <c r="Z24" s="383"/>
    </row>
    <row r="25" spans="1:26" ht="15.75" customHeight="1">
      <c r="A25" s="242"/>
      <c r="B25" s="460" t="s">
        <v>13249</v>
      </c>
      <c r="C25" s="286" t="s">
        <v>12500</v>
      </c>
      <c r="D25" s="286">
        <v>2</v>
      </c>
      <c r="E25" s="1284">
        <v>2.1477368421052617E-3</v>
      </c>
      <c r="F25" s="1284">
        <v>8.2605263157894688E-4</v>
      </c>
      <c r="G25" s="1234">
        <v>0</v>
      </c>
      <c r="H25" s="83"/>
      <c r="I25" s="242"/>
      <c r="J25" s="1041" t="s">
        <v>13250</v>
      </c>
      <c r="K25" s="1281"/>
      <c r="L25" s="1283"/>
      <c r="M25" s="1281"/>
      <c r="N25" s="238"/>
      <c r="O25" s="1232">
        <f t="shared" si="3"/>
        <v>0</v>
      </c>
      <c r="P25" s="238"/>
      <c r="Q25" s="285">
        <f t="shared" si="5"/>
        <v>0</v>
      </c>
      <c r="R25" s="285">
        <f t="shared" si="5"/>
        <v>0</v>
      </c>
      <c r="S25" s="285">
        <f t="shared" si="5"/>
        <v>0</v>
      </c>
      <c r="T25" s="238"/>
      <c r="V25" s="460" t="s">
        <v>13249</v>
      </c>
      <c r="W25" s="1284" t="s">
        <v>13251</v>
      </c>
      <c r="X25" s="1284" t="s">
        <v>13252</v>
      </c>
      <c r="Y25" s="1234" t="s">
        <v>13253</v>
      </c>
      <c r="Z25" s="383"/>
    </row>
    <row r="26" spans="1:26" ht="26.25" customHeight="1">
      <c r="A26" s="242"/>
      <c r="B26" s="2434" t="s">
        <v>13254</v>
      </c>
      <c r="C26" s="286" t="s">
        <v>12500</v>
      </c>
      <c r="D26" s="286">
        <v>2</v>
      </c>
      <c r="E26" s="1285"/>
      <c r="F26" s="892">
        <v>0</v>
      </c>
      <c r="G26" s="1234">
        <v>0</v>
      </c>
      <c r="H26" s="83"/>
      <c r="I26" s="242"/>
      <c r="J26" s="1041" t="s">
        <v>13255</v>
      </c>
      <c r="K26" s="1281"/>
      <c r="L26" s="1283"/>
      <c r="M26" s="1281"/>
      <c r="N26" s="238"/>
      <c r="O26" s="1232">
        <f>IF( SUM( Q26:S26 ) = 0, 0, $Q$5 )</f>
        <v>0</v>
      </c>
      <c r="P26" s="238"/>
      <c r="Q26" s="285"/>
      <c r="R26" s="285">
        <f xml:space="preserve"> IF( ISNUMBER(F26 ), 0, 1 )</f>
        <v>0</v>
      </c>
      <c r="S26" s="285">
        <f xml:space="preserve"> IF( ISNUMBER(G26 ), 0, 1 )</f>
        <v>0</v>
      </c>
      <c r="T26" s="238"/>
      <c r="V26" s="460" t="s">
        <v>13256</v>
      </c>
      <c r="W26" s="1285"/>
      <c r="X26" s="892" t="s">
        <v>17710</v>
      </c>
      <c r="Y26" s="1234" t="s">
        <v>17711</v>
      </c>
      <c r="Z26" s="383"/>
    </row>
    <row r="27" spans="1:26" ht="31.5" customHeight="1">
      <c r="A27" s="242"/>
      <c r="B27" s="2434" t="s">
        <v>13257</v>
      </c>
      <c r="C27" s="286" t="s">
        <v>12500</v>
      </c>
      <c r="D27" s="286">
        <v>2</v>
      </c>
      <c r="E27" s="1285"/>
      <c r="F27" s="1285"/>
      <c r="G27" s="1234">
        <v>0</v>
      </c>
      <c r="H27" s="83"/>
      <c r="I27" s="242"/>
      <c r="J27" s="1041" t="s">
        <v>13258</v>
      </c>
      <c r="K27" s="1281"/>
      <c r="L27" s="1283"/>
      <c r="M27" s="1281"/>
      <c r="N27" s="238"/>
      <c r="O27" s="1232">
        <f>IF( SUM( Q27:S27 ) = 0, 0, $Q$5 )</f>
        <v>0</v>
      </c>
      <c r="P27" s="238"/>
      <c r="Q27" s="285"/>
      <c r="R27" s="285"/>
      <c r="S27" s="285">
        <f xml:space="preserve"> IF( ISNUMBER(G27 ), 0, 1 )</f>
        <v>0</v>
      </c>
      <c r="T27" s="238"/>
      <c r="V27" s="460" t="s">
        <v>13259</v>
      </c>
      <c r="W27" s="1285"/>
      <c r="X27" s="1285"/>
      <c r="Y27" s="1234" t="s">
        <v>17712</v>
      </c>
      <c r="Z27" s="383"/>
    </row>
    <row r="28" spans="1:26" ht="25.5" customHeight="1">
      <c r="A28" s="242"/>
      <c r="B28" s="2434" t="s">
        <v>13260</v>
      </c>
      <c r="C28" s="286" t="s">
        <v>12500</v>
      </c>
      <c r="D28" s="286">
        <v>2</v>
      </c>
      <c r="E28" s="1285"/>
      <c r="F28" s="892">
        <v>0</v>
      </c>
      <c r="G28" s="1234">
        <v>0</v>
      </c>
      <c r="H28" s="83"/>
      <c r="I28" s="242"/>
      <c r="J28" s="1041" t="s">
        <v>13261</v>
      </c>
      <c r="K28" s="1281"/>
      <c r="L28" s="1283"/>
      <c r="M28" s="1281"/>
      <c r="N28" s="238"/>
      <c r="O28" s="1232">
        <f>IF( SUM( Q28:S28 ) = 0, 0, $Q$5 )</f>
        <v>0</v>
      </c>
      <c r="P28" s="238"/>
      <c r="Q28" s="285"/>
      <c r="R28" s="285">
        <f xml:space="preserve"> IF( ISNUMBER(F28 ), 0, 1 )</f>
        <v>0</v>
      </c>
      <c r="S28" s="285">
        <f xml:space="preserve"> IF( ISNUMBER(G28 ), 0, 1 )</f>
        <v>0</v>
      </c>
      <c r="T28" s="238"/>
      <c r="V28" s="460" t="s">
        <v>13260</v>
      </c>
      <c r="W28" s="1285"/>
      <c r="X28" s="892" t="s">
        <v>17713</v>
      </c>
      <c r="Y28" s="1234" t="s">
        <v>17714</v>
      </c>
      <c r="Z28" s="383"/>
    </row>
    <row r="29" spans="1:26" ht="33" customHeight="1">
      <c r="A29" s="242"/>
      <c r="B29" s="2434" t="s">
        <v>13262</v>
      </c>
      <c r="C29" s="286" t="s">
        <v>12500</v>
      </c>
      <c r="D29" s="286">
        <v>2</v>
      </c>
      <c r="E29" s="1285"/>
      <c r="F29" s="1285"/>
      <c r="G29" s="1234">
        <v>0</v>
      </c>
      <c r="H29" s="83"/>
      <c r="I29" s="242"/>
      <c r="J29" s="1041" t="s">
        <v>13263</v>
      </c>
      <c r="K29" s="1281"/>
      <c r="L29" s="1283"/>
      <c r="M29" s="1281"/>
      <c r="N29" s="238"/>
      <c r="O29" s="1232">
        <f>IF( SUM( Q29:S29 ) = 0, 0, $Q$5 )</f>
        <v>0</v>
      </c>
      <c r="P29" s="238"/>
      <c r="Q29" s="285"/>
      <c r="R29" s="285"/>
      <c r="S29" s="285">
        <f xml:space="preserve"> IF( ISNUMBER(G29 ), 0, 1 )</f>
        <v>0</v>
      </c>
      <c r="T29" s="238"/>
      <c r="V29" s="460" t="s">
        <v>13262</v>
      </c>
      <c r="W29" s="1285"/>
      <c r="X29" s="1285"/>
      <c r="Y29" s="1234" t="s">
        <v>17715</v>
      </c>
      <c r="Z29" s="383"/>
    </row>
    <row r="30" spans="1:26" ht="15.75" customHeight="1" thickBot="1">
      <c r="A30" s="242"/>
      <c r="B30" s="463" t="s">
        <v>13264</v>
      </c>
      <c r="C30" s="355" t="s">
        <v>4805</v>
      </c>
      <c r="D30" s="355">
        <v>1</v>
      </c>
      <c r="E30" s="1286">
        <v>47.445999999999998</v>
      </c>
      <c r="F30" s="1286">
        <v>0.187</v>
      </c>
      <c r="G30" s="1271">
        <v>0.81399999999999995</v>
      </c>
      <c r="H30" s="83"/>
      <c r="I30" s="242"/>
      <c r="J30" s="1043" t="s">
        <v>13265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13264</v>
      </c>
      <c r="W30" s="1286" t="s">
        <v>13266</v>
      </c>
      <c r="X30" s="1286" t="s">
        <v>13267</v>
      </c>
      <c r="Y30" s="1271" t="s">
        <v>13268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13269</v>
      </c>
      <c r="C32" s="446" t="s">
        <v>4203</v>
      </c>
      <c r="D32" s="446" t="s">
        <v>4204</v>
      </c>
      <c r="E32" s="446" t="s">
        <v>13270</v>
      </c>
      <c r="F32" s="446" t="s">
        <v>13271</v>
      </c>
      <c r="G32" s="447" t="s">
        <v>4425</v>
      </c>
      <c r="H32" s="242"/>
      <c r="I32" s="242"/>
      <c r="J32" s="242"/>
      <c r="K32" s="242"/>
      <c r="L32" s="1280"/>
      <c r="M32" s="242"/>
      <c r="N32" s="238"/>
      <c r="P32" s="238"/>
      <c r="T32" s="238"/>
      <c r="V32" s="1289" t="s">
        <v>13272</v>
      </c>
      <c r="W32" s="446" t="s">
        <v>13270</v>
      </c>
      <c r="X32" s="446" t="s">
        <v>13271</v>
      </c>
      <c r="Y32" s="447" t="s">
        <v>4425</v>
      </c>
    </row>
    <row r="33" spans="1:27" ht="15.75" customHeight="1" thickTop="1">
      <c r="A33" s="242"/>
      <c r="B33" s="451" t="s">
        <v>13273</v>
      </c>
      <c r="C33" s="277" t="s">
        <v>4215</v>
      </c>
      <c r="D33" s="277">
        <v>3</v>
      </c>
      <c r="E33" s="891">
        <v>42.302</v>
      </c>
      <c r="F33" s="891">
        <v>4.7</v>
      </c>
      <c r="G33" s="416">
        <f>SUM(E33:F33)</f>
        <v>47.002000000000002</v>
      </c>
      <c r="H33" s="242"/>
      <c r="I33" s="242"/>
      <c r="J33" s="1040" t="s">
        <v>13274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13275</v>
      </c>
      <c r="W33" s="891" t="s">
        <v>13276</v>
      </c>
      <c r="X33" s="891" t="s">
        <v>13277</v>
      </c>
      <c r="Y33" s="416" t="s">
        <v>13278</v>
      </c>
    </row>
    <row r="34" spans="1:27" ht="15.75" customHeight="1" thickBot="1">
      <c r="A34" s="242"/>
      <c r="B34" s="463" t="s">
        <v>13279</v>
      </c>
      <c r="C34" s="355" t="s">
        <v>12500</v>
      </c>
      <c r="D34" s="355">
        <v>2</v>
      </c>
      <c r="E34" s="1291"/>
      <c r="F34" s="1291"/>
      <c r="G34" s="1236">
        <v>2.08</v>
      </c>
      <c r="H34" s="242"/>
      <c r="I34" s="1293"/>
      <c r="J34" s="1043" t="s">
        <v>13280</v>
      </c>
      <c r="K34" s="242"/>
      <c r="L34" s="1294"/>
      <c r="M34" s="242"/>
      <c r="N34" s="238"/>
      <c r="O34" s="1232">
        <f t="shared" si="6"/>
        <v>0</v>
      </c>
      <c r="P34" s="238"/>
      <c r="S34" s="285">
        <f xml:space="preserve"> IF( ISNUMBER(G34 ), 0, 1 )</f>
        <v>0</v>
      </c>
      <c r="T34" s="238"/>
      <c r="V34" s="463" t="s">
        <v>13279</v>
      </c>
      <c r="W34" s="1291"/>
      <c r="X34" s="1291"/>
      <c r="Y34" s="1292" t="s">
        <v>13281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13282</v>
      </c>
      <c r="C36" s="482"/>
      <c r="D36" s="482"/>
      <c r="E36" s="455"/>
      <c r="F36" s="455"/>
      <c r="G36" s="455"/>
      <c r="H36" s="455"/>
      <c r="I36" s="242"/>
      <c r="J36" s="242"/>
      <c r="K36" s="242"/>
      <c r="L36" s="1280"/>
      <c r="M36" s="242"/>
      <c r="N36" s="238"/>
      <c r="P36" s="238"/>
      <c r="T36" s="238"/>
      <c r="V36" s="393" t="s">
        <v>13282</v>
      </c>
      <c r="W36" s="455"/>
      <c r="X36" s="455"/>
      <c r="Y36" s="455"/>
      <c r="Z36" s="455"/>
    </row>
    <row r="37" spans="1:27" ht="15.75" customHeight="1" thickTop="1">
      <c r="A37" s="242"/>
      <c r="B37" s="451" t="s">
        <v>13283</v>
      </c>
      <c r="C37" s="277" t="s">
        <v>13284</v>
      </c>
      <c r="D37" s="277">
        <v>2</v>
      </c>
      <c r="E37" s="2435">
        <v>117.56904167139203</v>
      </c>
      <c r="F37" s="1967"/>
      <c r="G37" s="2436"/>
      <c r="H37" s="83"/>
      <c r="I37" s="242"/>
      <c r="J37" s="1040" t="s">
        <v>13285</v>
      </c>
      <c r="K37" s="242"/>
      <c r="L37" s="1290"/>
      <c r="M37" s="242"/>
      <c r="N37" s="238"/>
      <c r="O37" s="1232">
        <f t="shared" ref="O37:O38" si="7">IF( SUM( Q37:S37 ) = 0, 0, $Q$5 )</f>
        <v>0</v>
      </c>
      <c r="P37" s="238"/>
      <c r="Q37" s="285">
        <f t="shared" ref="Q37:Q38" si="8" xml:space="preserve"> IF( ISNUMBER(E37 ), 0, 1 )</f>
        <v>0</v>
      </c>
      <c r="T37" s="238"/>
      <c r="V37" s="451" t="s">
        <v>13286</v>
      </c>
      <c r="W37" s="2435" t="s">
        <v>13287</v>
      </c>
      <c r="X37" s="2439"/>
      <c r="Y37" s="2440"/>
      <c r="Z37" s="383"/>
    </row>
    <row r="38" spans="1:27" ht="15.75" customHeight="1" thickBot="1">
      <c r="A38" s="242"/>
      <c r="B38" s="463" t="s">
        <v>13288</v>
      </c>
      <c r="C38" s="355" t="s">
        <v>13284</v>
      </c>
      <c r="D38" s="355">
        <v>2</v>
      </c>
      <c r="E38" s="2437">
        <v>175.162980592671</v>
      </c>
      <c r="F38" s="1969"/>
      <c r="G38" s="2438"/>
      <c r="H38" s="83"/>
      <c r="I38" s="242"/>
      <c r="J38" s="1043" t="s">
        <v>13289</v>
      </c>
      <c r="K38" s="242"/>
      <c r="L38" s="1294"/>
      <c r="M38" s="242"/>
      <c r="N38" s="238"/>
      <c r="O38" s="1232">
        <f t="shared" si="7"/>
        <v>0</v>
      </c>
      <c r="P38" s="238"/>
      <c r="Q38" s="285">
        <f t="shared" si="8"/>
        <v>0</v>
      </c>
      <c r="T38" s="238"/>
      <c r="V38" s="463" t="s">
        <v>13290</v>
      </c>
      <c r="W38" s="2437" t="s">
        <v>13291</v>
      </c>
      <c r="X38" s="2441"/>
      <c r="Y38" s="2442"/>
      <c r="Z38" s="383"/>
    </row>
    <row r="39" spans="1:27" ht="15.6"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A18" zoomScale="70" zoomScaleNormal="70" zoomScaleSheetLayoutView="100" workbookViewId="0">
      <selection activeCell="W52" sqref="W52"/>
    </sheetView>
  </sheetViews>
  <sheetFormatPr defaultColWidth="9" defaultRowHeight="13.8"/>
  <cols>
    <col min="1" max="1" width="9" style="1297"/>
    <col min="2" max="2" width="19.59765625" style="1297" bestFit="1" customWidth="1"/>
    <col min="3" max="3" width="31.796875" style="1297" customWidth="1"/>
    <col min="4" max="4" width="12.59765625" style="1297" bestFit="1" customWidth="1"/>
    <col min="5" max="32" width="10.19921875" style="1297" customWidth="1"/>
    <col min="33" max="33" width="14" style="1297" customWidth="1"/>
    <col min="34" max="34" width="10.19921875" style="1297" customWidth="1"/>
    <col min="35" max="35" width="16" style="1297" customWidth="1"/>
    <col min="36" max="36" width="10.19921875" style="1297" customWidth="1"/>
    <col min="37" max="37" width="1.59765625" style="219" customWidth="1"/>
    <col min="38" max="38" width="25" style="219" customWidth="1"/>
    <col min="39" max="39" width="1.59765625" style="219" customWidth="1"/>
    <col min="40" max="67" width="12.5" style="219" hidden="1" customWidth="1"/>
    <col min="68" max="68" width="1.59765625" style="219" hidden="1" customWidth="1"/>
    <col min="69" max="69" width="1.59765625" style="219" customWidth="1"/>
    <col min="70" max="87" width="11.5" style="1297" hidden="1" customWidth="1"/>
    <col min="88" max="88" width="1.19921875" style="1297" customWidth="1"/>
    <col min="89" max="16384" width="9" style="1297"/>
  </cols>
  <sheetData>
    <row r="1" spans="2:88" ht="22.5" customHeight="1">
      <c r="B1" s="989" t="s">
        <v>13292</v>
      </c>
      <c r="C1" s="1229"/>
      <c r="D1" s="1229"/>
      <c r="E1" s="1229"/>
      <c r="F1" s="1229"/>
      <c r="G1" s="1229"/>
      <c r="H1" s="1229"/>
      <c r="I1" s="1229"/>
      <c r="J1" s="307"/>
      <c r="K1" s="307"/>
      <c r="L1" s="307"/>
      <c r="M1" s="307"/>
      <c r="N1" s="307"/>
      <c r="AK1" s="238"/>
      <c r="AM1" s="238"/>
      <c r="BP1" s="238"/>
    </row>
    <row r="2" spans="2:88" ht="22.5" customHeight="1">
      <c r="B2" s="2901" t="str">
        <f>SelectCompany!B4</f>
        <v>Dŵr Cymru</v>
      </c>
      <c r="C2" s="2901"/>
      <c r="D2" s="1229"/>
      <c r="E2" s="1298"/>
      <c r="F2" s="1298"/>
      <c r="G2" s="1298"/>
      <c r="H2" s="307"/>
      <c r="I2" s="307"/>
      <c r="J2" s="307"/>
      <c r="K2" s="307"/>
      <c r="L2" s="307"/>
      <c r="M2" s="307"/>
      <c r="N2" s="307"/>
      <c r="AK2" s="238"/>
      <c r="AM2" s="238"/>
      <c r="BP2" s="238"/>
    </row>
    <row r="3" spans="2:88" ht="19.350000000000001" customHeight="1">
      <c r="B3" s="2829" t="s">
        <v>13293</v>
      </c>
      <c r="C3" s="2829"/>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829"/>
      <c r="AF3" s="2829"/>
      <c r="AG3" s="2829"/>
      <c r="AH3" s="2829"/>
      <c r="AI3" s="2829"/>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4" thickBot="1">
      <c r="AK4" s="238"/>
      <c r="AM4" s="238"/>
      <c r="AN4" s="2917" t="s">
        <v>4201</v>
      </c>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38"/>
    </row>
    <row r="5" spans="2:88" ht="15.6" customHeight="1" thickTop="1">
      <c r="B5" s="2918" t="s">
        <v>13294</v>
      </c>
      <c r="C5" s="2920" t="s">
        <v>13295</v>
      </c>
      <c r="D5" s="2922" t="s">
        <v>13296</v>
      </c>
      <c r="E5" s="74"/>
      <c r="F5" s="2918" t="s">
        <v>4701</v>
      </c>
      <c r="G5" s="2920"/>
      <c r="H5" s="2920"/>
      <c r="I5" s="2920"/>
      <c r="J5" s="2920"/>
      <c r="K5" s="2922"/>
      <c r="L5" s="74"/>
      <c r="M5" s="2918" t="s">
        <v>13297</v>
      </c>
      <c r="N5" s="2920"/>
      <c r="O5" s="2920"/>
      <c r="P5" s="2920"/>
      <c r="Q5" s="2920"/>
      <c r="R5" s="2922"/>
      <c r="S5" s="74"/>
      <c r="T5" s="2918" t="s">
        <v>13298</v>
      </c>
      <c r="U5" s="2920"/>
      <c r="V5" s="2920"/>
      <c r="W5" s="2920"/>
      <c r="X5" s="2920"/>
      <c r="Y5" s="2922"/>
      <c r="Z5" s="74"/>
      <c r="AA5" s="2918" t="s">
        <v>13299</v>
      </c>
      <c r="AB5" s="2920"/>
      <c r="AC5" s="2920"/>
      <c r="AD5" s="2920"/>
      <c r="AE5" s="2922"/>
      <c r="AF5" s="74"/>
      <c r="AG5" s="2924" t="s">
        <v>4208</v>
      </c>
      <c r="AH5" s="74"/>
      <c r="AI5" s="2924" t="s">
        <v>13300</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19"/>
      <c r="C6" s="2921"/>
      <c r="D6" s="2923"/>
      <c r="E6" s="74"/>
      <c r="F6" s="2184" t="s">
        <v>4135</v>
      </c>
      <c r="G6" s="2185" t="s">
        <v>632</v>
      </c>
      <c r="H6" s="2185" t="s">
        <v>13301</v>
      </c>
      <c r="I6" s="2185" t="s">
        <v>13302</v>
      </c>
      <c r="J6" s="2185" t="s">
        <v>13303</v>
      </c>
      <c r="K6" s="2186" t="s">
        <v>13304</v>
      </c>
      <c r="L6" s="74"/>
      <c r="M6" s="2184" t="s">
        <v>4135</v>
      </c>
      <c r="N6" s="2185" t="s">
        <v>632</v>
      </c>
      <c r="O6" s="2185" t="s">
        <v>13301</v>
      </c>
      <c r="P6" s="2185" t="s">
        <v>13302</v>
      </c>
      <c r="Q6" s="2185" t="s">
        <v>13303</v>
      </c>
      <c r="R6" s="2186" t="s">
        <v>13304</v>
      </c>
      <c r="S6" s="74"/>
      <c r="T6" s="2184" t="s">
        <v>4135</v>
      </c>
      <c r="U6" s="2185" t="s">
        <v>632</v>
      </c>
      <c r="V6" s="2185" t="s">
        <v>13301</v>
      </c>
      <c r="W6" s="2185" t="s">
        <v>13302</v>
      </c>
      <c r="X6" s="2185" t="s">
        <v>13303</v>
      </c>
      <c r="Y6" s="2186" t="s">
        <v>13304</v>
      </c>
      <c r="Z6" s="74"/>
      <c r="AA6" s="2187" t="s">
        <v>13305</v>
      </c>
      <c r="AB6" s="2182" t="s">
        <v>13306</v>
      </c>
      <c r="AC6" s="2182" t="s">
        <v>13307</v>
      </c>
      <c r="AD6" s="2182" t="s">
        <v>13308</v>
      </c>
      <c r="AE6" s="2183" t="s">
        <v>13309</v>
      </c>
      <c r="AF6" s="74"/>
      <c r="AG6" s="2925"/>
      <c r="AH6" s="74"/>
      <c r="AI6" s="2925"/>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4203</v>
      </c>
      <c r="C7" s="2182" t="s">
        <v>6861</v>
      </c>
      <c r="D7" s="2183" t="s">
        <v>13310</v>
      </c>
      <c r="E7" s="74"/>
      <c r="F7" s="2187" t="s">
        <v>4215</v>
      </c>
      <c r="G7" s="2182" t="s">
        <v>4215</v>
      </c>
      <c r="H7" s="2182" t="s">
        <v>4215</v>
      </c>
      <c r="I7" s="2182" t="s">
        <v>4215</v>
      </c>
      <c r="J7" s="2182" t="s">
        <v>4215</v>
      </c>
      <c r="K7" s="2183" t="s">
        <v>4215</v>
      </c>
      <c r="L7" s="74"/>
      <c r="M7" s="2187" t="s">
        <v>4215</v>
      </c>
      <c r="N7" s="2182" t="s">
        <v>4215</v>
      </c>
      <c r="O7" s="2182" t="s">
        <v>4215</v>
      </c>
      <c r="P7" s="2182" t="s">
        <v>4215</v>
      </c>
      <c r="Q7" s="2182" t="s">
        <v>4215</v>
      </c>
      <c r="R7" s="2183" t="s">
        <v>4215</v>
      </c>
      <c r="S7" s="74"/>
      <c r="T7" s="2187" t="s">
        <v>12500</v>
      </c>
      <c r="U7" s="2182" t="s">
        <v>12500</v>
      </c>
      <c r="V7" s="2182" t="s">
        <v>12500</v>
      </c>
      <c r="W7" s="2182" t="s">
        <v>12500</v>
      </c>
      <c r="X7" s="2182" t="s">
        <v>12500</v>
      </c>
      <c r="Y7" s="2183" t="s">
        <v>12500</v>
      </c>
      <c r="Z7" s="74"/>
      <c r="AA7" s="2187" t="s">
        <v>12566</v>
      </c>
      <c r="AB7" s="2182" t="s">
        <v>13311</v>
      </c>
      <c r="AC7" s="2182" t="s">
        <v>6861</v>
      </c>
      <c r="AD7" s="2182" t="s">
        <v>12562</v>
      </c>
      <c r="AE7" s="2183" t="s">
        <v>13312</v>
      </c>
      <c r="AF7" s="74"/>
      <c r="AG7" s="2925"/>
      <c r="AH7" s="74"/>
      <c r="AI7" s="2925"/>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6" thickBot="1">
      <c r="B8" s="2167" t="s">
        <v>4204</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26"/>
      <c r="AH8" s="74"/>
      <c r="AI8" s="2926"/>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13313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18786</v>
      </c>
      <c r="C12" s="2173" t="s">
        <v>33</v>
      </c>
      <c r="D12" s="2104" t="s">
        <v>13301</v>
      </c>
      <c r="E12" s="1712"/>
      <c r="F12" s="2102">
        <v>8.9999999999999993E-3</v>
      </c>
      <c r="G12" s="2103">
        <v>-3.0000000000000001E-3</v>
      </c>
      <c r="H12" s="2103">
        <v>0.309</v>
      </c>
      <c r="I12" s="2103">
        <v>-6.3E-2</v>
      </c>
      <c r="J12" s="2103">
        <v>6.6000000000000003E-2</v>
      </c>
      <c r="K12" s="2104">
        <v>0</v>
      </c>
      <c r="L12" s="1712"/>
      <c r="M12" s="2102">
        <v>0</v>
      </c>
      <c r="N12" s="2103">
        <v>0</v>
      </c>
      <c r="O12" s="2103">
        <v>0</v>
      </c>
      <c r="P12" s="2103">
        <v>0</v>
      </c>
      <c r="Q12" s="2103">
        <v>0</v>
      </c>
      <c r="R12" s="2104">
        <v>0</v>
      </c>
      <c r="S12" s="1712"/>
      <c r="T12" s="2188">
        <v>0</v>
      </c>
      <c r="U12" s="2189">
        <v>0</v>
      </c>
      <c r="V12" s="2189">
        <v>0</v>
      </c>
      <c r="W12" s="2189">
        <v>0</v>
      </c>
      <c r="X12" s="2189">
        <v>0</v>
      </c>
      <c r="Y12" s="2190">
        <v>0</v>
      </c>
      <c r="Z12" s="1712"/>
      <c r="AA12" s="2197"/>
      <c r="AB12" s="2198"/>
      <c r="AC12" s="2203"/>
      <c r="AD12" s="2203"/>
      <c r="AE12" s="2104"/>
      <c r="AF12" s="74"/>
      <c r="AG12" s="95" t="s">
        <v>13314</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18787</v>
      </c>
      <c r="C13" s="2174" t="s">
        <v>33</v>
      </c>
      <c r="D13" s="2107" t="s">
        <v>13302</v>
      </c>
      <c r="E13" s="1712"/>
      <c r="F13" s="2105">
        <v>0.754</v>
      </c>
      <c r="G13" s="2106">
        <v>2.4279999999999999</v>
      </c>
      <c r="H13" s="2106">
        <v>2.3580000000000001</v>
      </c>
      <c r="I13" s="2106">
        <v>2.0310000000000001</v>
      </c>
      <c r="J13" s="2106">
        <v>1.2949999999999999</v>
      </c>
      <c r="K13" s="2107">
        <v>0</v>
      </c>
      <c r="L13" s="1712"/>
      <c r="M13" s="2105">
        <v>0</v>
      </c>
      <c r="N13" s="2106">
        <v>0</v>
      </c>
      <c r="O13" s="2106">
        <v>0</v>
      </c>
      <c r="P13" s="2106">
        <v>0</v>
      </c>
      <c r="Q13" s="2106">
        <v>0</v>
      </c>
      <c r="R13" s="2107">
        <v>0</v>
      </c>
      <c r="S13" s="1712"/>
      <c r="T13" s="2191">
        <v>0</v>
      </c>
      <c r="U13" s="2192">
        <v>0</v>
      </c>
      <c r="V13" s="2192">
        <v>0</v>
      </c>
      <c r="W13" s="2192">
        <v>13.6</v>
      </c>
      <c r="X13" s="2192">
        <v>13.6</v>
      </c>
      <c r="Y13" s="2193">
        <v>13.6</v>
      </c>
      <c r="Z13" s="1712"/>
      <c r="AA13" s="2199"/>
      <c r="AB13" s="2200"/>
      <c r="AC13" s="2204"/>
      <c r="AD13" s="2204"/>
      <c r="AE13" s="2107"/>
      <c r="AF13" s="74"/>
      <c r="AG13" s="98" t="s">
        <v>13315</v>
      </c>
      <c r="AH13" s="74"/>
      <c r="AI13" s="79" t="s">
        <v>18794</v>
      </c>
      <c r="AJ13" s="1303"/>
      <c r="AK13" s="238"/>
      <c r="AL13" s="1232"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18788</v>
      </c>
      <c r="C14" s="2174" t="s">
        <v>33</v>
      </c>
      <c r="D14" s="2107" t="s">
        <v>13302</v>
      </c>
      <c r="E14" s="1712"/>
      <c r="F14" s="2105">
        <v>0.224</v>
      </c>
      <c r="G14" s="2106">
        <v>0.20599999999999999</v>
      </c>
      <c r="H14" s="2106">
        <v>2.1629999999999998</v>
      </c>
      <c r="I14" s="2106">
        <v>0.52800000000000002</v>
      </c>
      <c r="J14" s="2106">
        <v>0.54100000000000004</v>
      </c>
      <c r="K14" s="2107">
        <v>0</v>
      </c>
      <c r="L14" s="1712"/>
      <c r="M14" s="2105">
        <v>0</v>
      </c>
      <c r="N14" s="2106">
        <v>0</v>
      </c>
      <c r="O14" s="2106">
        <v>0</v>
      </c>
      <c r="P14" s="2106">
        <v>3.1E-2</v>
      </c>
      <c r="Q14" s="2106">
        <v>3.1E-2</v>
      </c>
      <c r="R14" s="2107">
        <v>3.1E-2</v>
      </c>
      <c r="S14" s="1712"/>
      <c r="T14" s="2191">
        <v>0</v>
      </c>
      <c r="U14" s="2192">
        <v>0</v>
      </c>
      <c r="V14" s="2192">
        <v>0</v>
      </c>
      <c r="W14" s="2192">
        <v>0</v>
      </c>
      <c r="X14" s="2192">
        <v>0</v>
      </c>
      <c r="Y14" s="2193">
        <v>0</v>
      </c>
      <c r="Z14" s="1712"/>
      <c r="AA14" s="2199"/>
      <c r="AB14" s="2200"/>
      <c r="AC14" s="2204"/>
      <c r="AD14" s="2204"/>
      <c r="AE14" s="2107"/>
      <c r="AF14" s="74"/>
      <c r="AG14" s="98" t="s">
        <v>13316</v>
      </c>
      <c r="AH14" s="74"/>
      <c r="AI14" s="79"/>
      <c r="AJ14" s="1303"/>
      <c r="AK14" s="238"/>
      <c r="AL14" s="1232"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18789</v>
      </c>
      <c r="C15" s="2174" t="s">
        <v>64</v>
      </c>
      <c r="D15" s="2107" t="s">
        <v>13302</v>
      </c>
      <c r="E15" s="1712"/>
      <c r="F15" s="2105">
        <v>0</v>
      </c>
      <c r="G15" s="2106">
        <v>0.17799999999999999</v>
      </c>
      <c r="H15" s="2106">
        <v>0.34100000000000003</v>
      </c>
      <c r="I15" s="2106">
        <v>2.0430000000000001</v>
      </c>
      <c r="J15" s="2106">
        <v>2.6880000000000002</v>
      </c>
      <c r="K15" s="2107">
        <v>0</v>
      </c>
      <c r="L15" s="1712"/>
      <c r="M15" s="2105">
        <v>0</v>
      </c>
      <c r="N15" s="2106">
        <v>0</v>
      </c>
      <c r="O15" s="2106">
        <v>0</v>
      </c>
      <c r="P15" s="2106">
        <v>0</v>
      </c>
      <c r="Q15" s="2106">
        <v>0</v>
      </c>
      <c r="R15" s="2107">
        <v>0</v>
      </c>
      <c r="S15" s="1712"/>
      <c r="T15" s="2191">
        <v>0</v>
      </c>
      <c r="U15" s="2192">
        <v>0</v>
      </c>
      <c r="V15" s="2192">
        <v>0</v>
      </c>
      <c r="W15" s="2192">
        <v>3</v>
      </c>
      <c r="X15" s="2192">
        <v>3</v>
      </c>
      <c r="Y15" s="2193">
        <v>3</v>
      </c>
      <c r="Z15" s="1712"/>
      <c r="AA15" s="2199"/>
      <c r="AB15" s="2200"/>
      <c r="AC15" s="2204"/>
      <c r="AD15" s="2204"/>
      <c r="AE15" s="2107"/>
      <c r="AF15" s="74"/>
      <c r="AG15" s="98" t="s">
        <v>13317</v>
      </c>
      <c r="AH15" s="74"/>
      <c r="AI15" s="79" t="s">
        <v>18795</v>
      </c>
      <c r="AJ15" s="1303"/>
      <c r="AK15" s="238"/>
      <c r="AL15" s="1232" t="str">
        <f t="shared" si="22"/>
        <v>Please complete all cells in row</v>
      </c>
      <c r="AM15" s="238"/>
      <c r="AN15" s="285">
        <f t="shared" si="23"/>
        <v>1</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1</v>
      </c>
      <c r="BL15" s="285">
        <f t="shared" si="19"/>
        <v>1</v>
      </c>
      <c r="BN15" s="285">
        <f t="shared" si="20"/>
        <v>1</v>
      </c>
      <c r="BO15" s="285">
        <f t="shared" si="21"/>
        <v>1</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18790</v>
      </c>
      <c r="C16" s="2174" t="s">
        <v>49</v>
      </c>
      <c r="D16" s="2107" t="s">
        <v>4135</v>
      </c>
      <c r="E16" s="1712"/>
      <c r="F16" s="2105">
        <v>1.587</v>
      </c>
      <c r="G16" s="2106">
        <v>1.506</v>
      </c>
      <c r="H16" s="2106">
        <v>1.554</v>
      </c>
      <c r="I16" s="2106">
        <v>1.6</v>
      </c>
      <c r="J16" s="2106">
        <v>2.464</v>
      </c>
      <c r="K16" s="2107">
        <v>0</v>
      </c>
      <c r="L16" s="1712"/>
      <c r="M16" s="2105">
        <v>0</v>
      </c>
      <c r="N16" s="2106">
        <v>0</v>
      </c>
      <c r="O16" s="2106">
        <v>0</v>
      </c>
      <c r="P16" s="2106">
        <v>0</v>
      </c>
      <c r="Q16" s="2106">
        <v>0</v>
      </c>
      <c r="R16" s="2107">
        <v>0</v>
      </c>
      <c r="S16" s="1712"/>
      <c r="T16" s="2191">
        <v>0.01</v>
      </c>
      <c r="U16" s="2192">
        <v>0.44</v>
      </c>
      <c r="V16" s="2192">
        <v>1.22</v>
      </c>
      <c r="W16" s="2192">
        <v>2</v>
      </c>
      <c r="X16" s="2192">
        <v>2.7800000000000002</v>
      </c>
      <c r="Y16" s="2193">
        <v>3.5600000000000005</v>
      </c>
      <c r="Z16" s="1712"/>
      <c r="AA16" s="2199"/>
      <c r="AB16" s="2200"/>
      <c r="AC16" s="2204"/>
      <c r="AD16" s="2204"/>
      <c r="AE16" s="2107"/>
      <c r="AF16" s="74"/>
      <c r="AG16" s="98" t="s">
        <v>13318</v>
      </c>
      <c r="AH16" s="74"/>
      <c r="AI16" s="79"/>
      <c r="AJ16" s="1303"/>
      <c r="AK16" s="238"/>
      <c r="AL16" s="1232" t="str">
        <f t="shared" si="22"/>
        <v>Please complete all cells in row</v>
      </c>
      <c r="AM16" s="238"/>
      <c r="AN16" s="285">
        <f t="shared" si="23"/>
        <v>1</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1</v>
      </c>
      <c r="BL16" s="285">
        <f t="shared" si="19"/>
        <v>1</v>
      </c>
      <c r="BN16" s="285">
        <f t="shared" si="20"/>
        <v>1</v>
      </c>
      <c r="BO16" s="285">
        <f t="shared" si="21"/>
        <v>1</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18791</v>
      </c>
      <c r="C17" s="2174" t="s">
        <v>33</v>
      </c>
      <c r="D17" s="2107" t="s">
        <v>13301</v>
      </c>
      <c r="E17" s="1712"/>
      <c r="F17" s="2105">
        <v>0</v>
      </c>
      <c r="G17" s="2106">
        <v>0</v>
      </c>
      <c r="H17" s="2106">
        <v>0.115</v>
      </c>
      <c r="I17" s="2106">
        <v>2.5000000000000001E-2</v>
      </c>
      <c r="J17" s="2106">
        <v>2.5000000000000001E-2</v>
      </c>
      <c r="K17" s="2107">
        <v>0</v>
      </c>
      <c r="L17" s="1712"/>
      <c r="M17" s="2105">
        <v>0</v>
      </c>
      <c r="N17" s="2106">
        <v>0</v>
      </c>
      <c r="O17" s="2106">
        <v>0</v>
      </c>
      <c r="P17" s="2106">
        <v>0</v>
      </c>
      <c r="Q17" s="2106">
        <v>0</v>
      </c>
      <c r="R17" s="2107">
        <v>0</v>
      </c>
      <c r="S17" s="1712"/>
      <c r="T17" s="2191">
        <v>0</v>
      </c>
      <c r="U17" s="2192">
        <v>0</v>
      </c>
      <c r="V17" s="2192">
        <v>0</v>
      </c>
      <c r="W17" s="2192">
        <v>0</v>
      </c>
      <c r="X17" s="2192">
        <v>0</v>
      </c>
      <c r="Y17" s="2193">
        <v>0</v>
      </c>
      <c r="Z17" s="1712"/>
      <c r="AA17" s="2199"/>
      <c r="AB17" s="2200"/>
      <c r="AC17" s="2204"/>
      <c r="AD17" s="2204"/>
      <c r="AE17" s="2107"/>
      <c r="AF17" s="74"/>
      <c r="AG17" s="98" t="s">
        <v>13319</v>
      </c>
      <c r="AH17" s="74"/>
      <c r="AI17" s="79"/>
      <c r="AJ17" s="1303"/>
      <c r="AK17" s="238"/>
      <c r="AL17" s="1232" t="str">
        <f t="shared" si="22"/>
        <v>Please complete all cells in row</v>
      </c>
      <c r="AM17" s="238"/>
      <c r="AN17" s="285">
        <f t="shared" si="23"/>
        <v>1</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1</v>
      </c>
      <c r="BL17" s="285">
        <f t="shared" si="19"/>
        <v>1</v>
      </c>
      <c r="BN17" s="285">
        <f t="shared" si="20"/>
        <v>1</v>
      </c>
      <c r="BO17" s="285">
        <f t="shared" si="21"/>
        <v>1</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18792</v>
      </c>
      <c r="C18" s="2174" t="s">
        <v>33</v>
      </c>
      <c r="D18" s="2107" t="s">
        <v>13302</v>
      </c>
      <c r="E18" s="1712"/>
      <c r="F18" s="2105">
        <v>0</v>
      </c>
      <c r="G18" s="2106">
        <v>0</v>
      </c>
      <c r="H18" s="2106">
        <v>5.8999999999999997E-2</v>
      </c>
      <c r="I18" s="2106">
        <v>1.2999999999999999E-2</v>
      </c>
      <c r="J18" s="2106">
        <v>1.2999999999999999E-2</v>
      </c>
      <c r="K18" s="2107">
        <v>0</v>
      </c>
      <c r="L18" s="1712"/>
      <c r="M18" s="2105">
        <v>0</v>
      </c>
      <c r="N18" s="2106">
        <v>0</v>
      </c>
      <c r="O18" s="2106">
        <v>0</v>
      </c>
      <c r="P18" s="2106">
        <v>0</v>
      </c>
      <c r="Q18" s="2106">
        <v>0</v>
      </c>
      <c r="R18" s="2107">
        <v>0</v>
      </c>
      <c r="S18" s="1712"/>
      <c r="T18" s="2191">
        <v>0</v>
      </c>
      <c r="U18" s="2192">
        <v>0</v>
      </c>
      <c r="V18" s="2192">
        <v>0</v>
      </c>
      <c r="W18" s="2192">
        <v>1</v>
      </c>
      <c r="X18" s="2192">
        <v>1</v>
      </c>
      <c r="Y18" s="2193">
        <v>1</v>
      </c>
      <c r="Z18" s="1712"/>
      <c r="AA18" s="2199"/>
      <c r="AB18" s="2200"/>
      <c r="AC18" s="2204"/>
      <c r="AD18" s="2204"/>
      <c r="AE18" s="2107"/>
      <c r="AF18" s="74"/>
      <c r="AG18" s="98" t="s">
        <v>13320</v>
      </c>
      <c r="AH18" s="74"/>
      <c r="AI18" s="79"/>
      <c r="AJ18" s="1303"/>
      <c r="AK18" s="238"/>
      <c r="AL18" s="1232" t="str">
        <f t="shared" si="22"/>
        <v>Please complete all cells in row</v>
      </c>
      <c r="AM18" s="238"/>
      <c r="AN18" s="285">
        <f t="shared" si="23"/>
        <v>1</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1</v>
      </c>
      <c r="BL18" s="285">
        <f t="shared" si="19"/>
        <v>1</v>
      </c>
      <c r="BN18" s="285">
        <f t="shared" si="20"/>
        <v>1</v>
      </c>
      <c r="BO18" s="285">
        <f t="shared" si="21"/>
        <v>1</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18793</v>
      </c>
      <c r="C19" s="2174" t="s">
        <v>33</v>
      </c>
      <c r="D19" s="2107" t="s">
        <v>13303</v>
      </c>
      <c r="E19" s="1712"/>
      <c r="F19" s="2105">
        <v>0</v>
      </c>
      <c r="G19" s="2106">
        <v>0</v>
      </c>
      <c r="H19" s="2106">
        <v>0.23699999999999999</v>
      </c>
      <c r="I19" s="2106">
        <v>0.159</v>
      </c>
      <c r="J19" s="2106">
        <v>0.151</v>
      </c>
      <c r="K19" s="2107">
        <v>0</v>
      </c>
      <c r="L19" s="1712"/>
      <c r="M19" s="2105">
        <v>0</v>
      </c>
      <c r="N19" s="2106">
        <v>0</v>
      </c>
      <c r="O19" s="2106">
        <v>0</v>
      </c>
      <c r="P19" s="2106">
        <v>0</v>
      </c>
      <c r="Q19" s="2106">
        <v>0</v>
      </c>
      <c r="R19" s="2107">
        <v>0</v>
      </c>
      <c r="S19" s="1712"/>
      <c r="T19" s="2191">
        <v>0</v>
      </c>
      <c r="U19" s="2192">
        <v>0</v>
      </c>
      <c r="V19" s="2192">
        <v>0</v>
      </c>
      <c r="W19" s="2192">
        <v>0</v>
      </c>
      <c r="X19" s="2192">
        <v>0</v>
      </c>
      <c r="Y19" s="2193">
        <v>0</v>
      </c>
      <c r="Z19" s="1712"/>
      <c r="AA19" s="2199"/>
      <c r="AB19" s="2200"/>
      <c r="AC19" s="2204"/>
      <c r="AD19" s="2204"/>
      <c r="AE19" s="2107"/>
      <c r="AF19" s="74"/>
      <c r="AG19" s="98" t="s">
        <v>13321</v>
      </c>
      <c r="AH19" s="74"/>
      <c r="AI19" s="79" t="s">
        <v>18796</v>
      </c>
      <c r="AJ19" s="1303"/>
      <c r="AK19" s="238"/>
      <c r="AL19" s="1232" t="str">
        <f t="shared" si="22"/>
        <v>Please complete all cells in row</v>
      </c>
      <c r="AM19" s="238"/>
      <c r="AN19" s="285">
        <f t="shared" si="23"/>
        <v>1</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1</v>
      </c>
      <c r="BL19" s="285">
        <f t="shared" si="19"/>
        <v>1</v>
      </c>
      <c r="BN19" s="285">
        <f t="shared" si="20"/>
        <v>1</v>
      </c>
      <c r="BO19" s="285">
        <f t="shared" si="21"/>
        <v>1</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13322</v>
      </c>
      <c r="C20" s="2174"/>
      <c r="D20" s="2107"/>
      <c r="E20" s="1712"/>
      <c r="F20" s="2105">
        <v>0</v>
      </c>
      <c r="G20" s="2106">
        <v>0</v>
      </c>
      <c r="H20" s="2106">
        <v>0</v>
      </c>
      <c r="I20" s="2106">
        <v>0</v>
      </c>
      <c r="J20" s="2106">
        <v>0</v>
      </c>
      <c r="K20" s="2107">
        <v>0</v>
      </c>
      <c r="L20" s="1712"/>
      <c r="M20" s="2105">
        <v>0</v>
      </c>
      <c r="N20" s="2106">
        <v>0</v>
      </c>
      <c r="O20" s="2106">
        <v>0</v>
      </c>
      <c r="P20" s="2106">
        <v>0</v>
      </c>
      <c r="Q20" s="2106">
        <v>0</v>
      </c>
      <c r="R20" s="2107">
        <v>0</v>
      </c>
      <c r="S20" s="1712"/>
      <c r="T20" s="2191">
        <v>0</v>
      </c>
      <c r="U20" s="2192">
        <v>0</v>
      </c>
      <c r="V20" s="2192">
        <v>0</v>
      </c>
      <c r="W20" s="2192">
        <v>0</v>
      </c>
      <c r="X20" s="2192">
        <v>0</v>
      </c>
      <c r="Y20" s="2193">
        <v>0</v>
      </c>
      <c r="Z20" s="1712"/>
      <c r="AA20" s="2199"/>
      <c r="AB20" s="2200"/>
      <c r="AC20" s="2204"/>
      <c r="AD20" s="2204"/>
      <c r="AE20" s="2107"/>
      <c r="AF20" s="74"/>
      <c r="AG20" s="98" t="s">
        <v>13323</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13324</v>
      </c>
      <c r="C21" s="2174"/>
      <c r="D21" s="2107"/>
      <c r="E21" s="1712"/>
      <c r="F21" s="2105">
        <v>0</v>
      </c>
      <c r="G21" s="2106">
        <v>0</v>
      </c>
      <c r="H21" s="2106">
        <v>0</v>
      </c>
      <c r="I21" s="2106">
        <v>0</v>
      </c>
      <c r="J21" s="2106">
        <v>0</v>
      </c>
      <c r="K21" s="2107">
        <v>0</v>
      </c>
      <c r="L21" s="1712"/>
      <c r="M21" s="2105">
        <v>0</v>
      </c>
      <c r="N21" s="2106">
        <v>0</v>
      </c>
      <c r="O21" s="2106">
        <v>0</v>
      </c>
      <c r="P21" s="2106">
        <v>0</v>
      </c>
      <c r="Q21" s="2106">
        <v>0</v>
      </c>
      <c r="R21" s="2107">
        <v>0</v>
      </c>
      <c r="S21" s="1712"/>
      <c r="T21" s="2191">
        <v>0</v>
      </c>
      <c r="U21" s="2192">
        <v>0</v>
      </c>
      <c r="V21" s="2192">
        <v>0</v>
      </c>
      <c r="W21" s="2192">
        <v>0</v>
      </c>
      <c r="X21" s="2192">
        <v>0</v>
      </c>
      <c r="Y21" s="2193">
        <v>0</v>
      </c>
      <c r="Z21" s="1712"/>
      <c r="AA21" s="2199"/>
      <c r="AB21" s="2200"/>
      <c r="AC21" s="2204"/>
      <c r="AD21" s="2204"/>
      <c r="AE21" s="2107"/>
      <c r="AF21" s="74"/>
      <c r="AG21" s="98" t="s">
        <v>13325</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13326</v>
      </c>
      <c r="C22" s="2174"/>
      <c r="D22" s="2107"/>
      <c r="E22" s="1712"/>
      <c r="F22" s="2105">
        <v>0</v>
      </c>
      <c r="G22" s="2106">
        <v>0</v>
      </c>
      <c r="H22" s="2106">
        <v>0</v>
      </c>
      <c r="I22" s="2106">
        <v>0</v>
      </c>
      <c r="J22" s="2106">
        <v>0</v>
      </c>
      <c r="K22" s="2107">
        <v>0</v>
      </c>
      <c r="L22" s="1712"/>
      <c r="M22" s="2105">
        <v>0</v>
      </c>
      <c r="N22" s="2106">
        <v>0</v>
      </c>
      <c r="O22" s="2106">
        <v>0</v>
      </c>
      <c r="P22" s="2106">
        <v>0</v>
      </c>
      <c r="Q22" s="2106">
        <v>0</v>
      </c>
      <c r="R22" s="2107">
        <v>0</v>
      </c>
      <c r="S22" s="1712"/>
      <c r="T22" s="2191">
        <v>0</v>
      </c>
      <c r="U22" s="2192">
        <v>0</v>
      </c>
      <c r="V22" s="2192">
        <v>0</v>
      </c>
      <c r="W22" s="2192">
        <v>0</v>
      </c>
      <c r="X22" s="2192">
        <v>0</v>
      </c>
      <c r="Y22" s="2193">
        <v>0</v>
      </c>
      <c r="Z22" s="1712"/>
      <c r="AA22" s="2199"/>
      <c r="AB22" s="2200"/>
      <c r="AC22" s="2204"/>
      <c r="AD22" s="2204"/>
      <c r="AE22" s="2107"/>
      <c r="AF22" s="74"/>
      <c r="AG22" s="98" t="s">
        <v>13327</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13328</v>
      </c>
      <c r="C23" s="2174"/>
      <c r="D23" s="2107"/>
      <c r="E23" s="1712"/>
      <c r="F23" s="2105">
        <v>0</v>
      </c>
      <c r="G23" s="2106">
        <v>0</v>
      </c>
      <c r="H23" s="2106">
        <v>0</v>
      </c>
      <c r="I23" s="2106">
        <v>0</v>
      </c>
      <c r="J23" s="2106">
        <v>0</v>
      </c>
      <c r="K23" s="2107">
        <v>0</v>
      </c>
      <c r="L23" s="1712"/>
      <c r="M23" s="2105">
        <v>0</v>
      </c>
      <c r="N23" s="2106">
        <v>0</v>
      </c>
      <c r="O23" s="2106">
        <v>0</v>
      </c>
      <c r="P23" s="2106">
        <v>0</v>
      </c>
      <c r="Q23" s="2106">
        <v>0</v>
      </c>
      <c r="R23" s="2107">
        <v>0</v>
      </c>
      <c r="S23" s="1712"/>
      <c r="T23" s="2191">
        <v>0</v>
      </c>
      <c r="U23" s="2192">
        <v>0</v>
      </c>
      <c r="V23" s="2192">
        <v>0</v>
      </c>
      <c r="W23" s="2192">
        <v>0</v>
      </c>
      <c r="X23" s="2192">
        <v>0</v>
      </c>
      <c r="Y23" s="2193">
        <v>0</v>
      </c>
      <c r="Z23" s="1712"/>
      <c r="AA23" s="2199"/>
      <c r="AB23" s="2200"/>
      <c r="AC23" s="2204"/>
      <c r="AD23" s="2204"/>
      <c r="AE23" s="2107"/>
      <c r="AF23" s="74"/>
      <c r="AG23" s="98" t="s">
        <v>13329</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13330</v>
      </c>
      <c r="C24" s="2174"/>
      <c r="D24" s="2107"/>
      <c r="E24" s="1712"/>
      <c r="F24" s="2105">
        <v>0</v>
      </c>
      <c r="G24" s="2106">
        <v>0</v>
      </c>
      <c r="H24" s="2106">
        <v>0</v>
      </c>
      <c r="I24" s="2106">
        <v>0</v>
      </c>
      <c r="J24" s="2106">
        <v>0</v>
      </c>
      <c r="K24" s="2107">
        <v>0</v>
      </c>
      <c r="L24" s="1712"/>
      <c r="M24" s="2105">
        <v>0</v>
      </c>
      <c r="N24" s="2106">
        <v>0</v>
      </c>
      <c r="O24" s="2106">
        <v>0</v>
      </c>
      <c r="P24" s="2106">
        <v>0</v>
      </c>
      <c r="Q24" s="2106">
        <v>0</v>
      </c>
      <c r="R24" s="2107">
        <v>0</v>
      </c>
      <c r="S24" s="1712"/>
      <c r="T24" s="2191">
        <v>0</v>
      </c>
      <c r="U24" s="2192">
        <v>0</v>
      </c>
      <c r="V24" s="2192">
        <v>0</v>
      </c>
      <c r="W24" s="2192">
        <v>0</v>
      </c>
      <c r="X24" s="2192">
        <v>0</v>
      </c>
      <c r="Y24" s="2193">
        <v>0</v>
      </c>
      <c r="Z24" s="1712"/>
      <c r="AA24" s="2199"/>
      <c r="AB24" s="2200"/>
      <c r="AC24" s="2204"/>
      <c r="AD24" s="2204"/>
      <c r="AE24" s="2107"/>
      <c r="AF24" s="74"/>
      <c r="AG24" s="98" t="s">
        <v>13331</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13332</v>
      </c>
      <c r="C25" s="2174"/>
      <c r="D25" s="2107"/>
      <c r="E25" s="1712"/>
      <c r="F25" s="2105">
        <v>0</v>
      </c>
      <c r="G25" s="2106">
        <v>0</v>
      </c>
      <c r="H25" s="2106">
        <v>0</v>
      </c>
      <c r="I25" s="2106">
        <v>0</v>
      </c>
      <c r="J25" s="2106">
        <v>0</v>
      </c>
      <c r="K25" s="2107">
        <v>0</v>
      </c>
      <c r="L25" s="1712"/>
      <c r="M25" s="2105">
        <v>0</v>
      </c>
      <c r="N25" s="2106">
        <v>0</v>
      </c>
      <c r="O25" s="2106">
        <v>0</v>
      </c>
      <c r="P25" s="2106">
        <v>0</v>
      </c>
      <c r="Q25" s="2106">
        <v>0</v>
      </c>
      <c r="R25" s="2107">
        <v>0</v>
      </c>
      <c r="S25" s="1712"/>
      <c r="T25" s="2191">
        <v>0</v>
      </c>
      <c r="U25" s="2192">
        <v>0</v>
      </c>
      <c r="V25" s="2192">
        <v>0</v>
      </c>
      <c r="W25" s="2192">
        <v>0</v>
      </c>
      <c r="X25" s="2192">
        <v>0</v>
      </c>
      <c r="Y25" s="2193">
        <v>0</v>
      </c>
      <c r="Z25" s="1712"/>
      <c r="AA25" s="2199"/>
      <c r="AB25" s="2200"/>
      <c r="AC25" s="2204"/>
      <c r="AD25" s="2204"/>
      <c r="AE25" s="2107"/>
      <c r="AF25" s="74"/>
      <c r="AG25" s="98" t="s">
        <v>13333</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13334</v>
      </c>
      <c r="C26" s="2174"/>
      <c r="D26" s="2107"/>
      <c r="E26" s="1712"/>
      <c r="F26" s="2105">
        <v>0</v>
      </c>
      <c r="G26" s="2106">
        <v>0</v>
      </c>
      <c r="H26" s="2106">
        <v>0</v>
      </c>
      <c r="I26" s="2106">
        <v>0</v>
      </c>
      <c r="J26" s="2106">
        <v>0</v>
      </c>
      <c r="K26" s="2107">
        <v>0</v>
      </c>
      <c r="L26" s="1712"/>
      <c r="M26" s="2105">
        <v>0</v>
      </c>
      <c r="N26" s="2106">
        <v>0</v>
      </c>
      <c r="O26" s="2106">
        <v>0</v>
      </c>
      <c r="P26" s="2106">
        <v>0</v>
      </c>
      <c r="Q26" s="2106">
        <v>0</v>
      </c>
      <c r="R26" s="2107">
        <v>0</v>
      </c>
      <c r="S26" s="1712"/>
      <c r="T26" s="2191">
        <v>0</v>
      </c>
      <c r="U26" s="2192">
        <v>0</v>
      </c>
      <c r="V26" s="2192">
        <v>0</v>
      </c>
      <c r="W26" s="2192">
        <v>0</v>
      </c>
      <c r="X26" s="2192">
        <v>0</v>
      </c>
      <c r="Y26" s="2193">
        <v>0</v>
      </c>
      <c r="Z26" s="1712"/>
      <c r="AA26" s="2199"/>
      <c r="AB26" s="2200"/>
      <c r="AC26" s="2204"/>
      <c r="AD26" s="2204"/>
      <c r="AE26" s="2107"/>
      <c r="AF26" s="74"/>
      <c r="AG26" s="98" t="s">
        <v>13335</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13336</v>
      </c>
      <c r="C27" s="2174"/>
      <c r="D27" s="2107"/>
      <c r="E27" s="1712"/>
      <c r="F27" s="2105">
        <v>0</v>
      </c>
      <c r="G27" s="2106">
        <v>0</v>
      </c>
      <c r="H27" s="2106">
        <v>0</v>
      </c>
      <c r="I27" s="2106">
        <v>0</v>
      </c>
      <c r="J27" s="2106">
        <v>0</v>
      </c>
      <c r="K27" s="2107">
        <v>0</v>
      </c>
      <c r="L27" s="1712"/>
      <c r="M27" s="2105">
        <v>0</v>
      </c>
      <c r="N27" s="2106">
        <v>0</v>
      </c>
      <c r="O27" s="2106">
        <v>0</v>
      </c>
      <c r="P27" s="2106">
        <v>0</v>
      </c>
      <c r="Q27" s="2106">
        <v>0</v>
      </c>
      <c r="R27" s="2107">
        <v>0</v>
      </c>
      <c r="S27" s="1712"/>
      <c r="T27" s="2191">
        <v>0</v>
      </c>
      <c r="U27" s="2192">
        <v>0</v>
      </c>
      <c r="V27" s="2192">
        <v>0</v>
      </c>
      <c r="W27" s="2192">
        <v>0</v>
      </c>
      <c r="X27" s="2192">
        <v>0</v>
      </c>
      <c r="Y27" s="2193">
        <v>0</v>
      </c>
      <c r="Z27" s="1712"/>
      <c r="AA27" s="2199"/>
      <c r="AB27" s="2200"/>
      <c r="AC27" s="2204"/>
      <c r="AD27" s="2204"/>
      <c r="AE27" s="2107"/>
      <c r="AF27" s="74"/>
      <c r="AG27" s="98" t="s">
        <v>13337</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13338</v>
      </c>
      <c r="C28" s="2174"/>
      <c r="D28" s="2107"/>
      <c r="E28" s="1712"/>
      <c r="F28" s="2105">
        <v>0</v>
      </c>
      <c r="G28" s="2106">
        <v>0</v>
      </c>
      <c r="H28" s="2106">
        <v>0</v>
      </c>
      <c r="I28" s="2106">
        <v>0</v>
      </c>
      <c r="J28" s="2106">
        <v>0</v>
      </c>
      <c r="K28" s="2107">
        <v>0</v>
      </c>
      <c r="L28" s="1712"/>
      <c r="M28" s="2105">
        <v>0</v>
      </c>
      <c r="N28" s="2106">
        <v>0</v>
      </c>
      <c r="O28" s="2106">
        <v>0</v>
      </c>
      <c r="P28" s="2106">
        <v>0</v>
      </c>
      <c r="Q28" s="2106">
        <v>0</v>
      </c>
      <c r="R28" s="2107">
        <v>0</v>
      </c>
      <c r="S28" s="1712"/>
      <c r="T28" s="2191">
        <v>0</v>
      </c>
      <c r="U28" s="2192">
        <v>0</v>
      </c>
      <c r="V28" s="2192">
        <v>0</v>
      </c>
      <c r="W28" s="2192">
        <v>0</v>
      </c>
      <c r="X28" s="2192">
        <v>0</v>
      </c>
      <c r="Y28" s="2193">
        <v>0</v>
      </c>
      <c r="Z28" s="1712"/>
      <c r="AA28" s="2199"/>
      <c r="AB28" s="2200"/>
      <c r="AC28" s="2204"/>
      <c r="AD28" s="2204"/>
      <c r="AE28" s="2107"/>
      <c r="AF28" s="74"/>
      <c r="AG28" s="98" t="s">
        <v>13339</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13340</v>
      </c>
      <c r="C29" s="2174"/>
      <c r="D29" s="2107"/>
      <c r="E29" s="1712"/>
      <c r="F29" s="2105">
        <v>0</v>
      </c>
      <c r="G29" s="2106">
        <v>0</v>
      </c>
      <c r="H29" s="2106">
        <v>0</v>
      </c>
      <c r="I29" s="2106">
        <v>0</v>
      </c>
      <c r="J29" s="2106">
        <v>0</v>
      </c>
      <c r="K29" s="2107">
        <v>0</v>
      </c>
      <c r="L29" s="1712"/>
      <c r="M29" s="2105">
        <v>0</v>
      </c>
      <c r="N29" s="2106">
        <v>0</v>
      </c>
      <c r="O29" s="2106">
        <v>0</v>
      </c>
      <c r="P29" s="2106">
        <v>0</v>
      </c>
      <c r="Q29" s="2106">
        <v>0</v>
      </c>
      <c r="R29" s="2107">
        <v>0</v>
      </c>
      <c r="S29" s="1712"/>
      <c r="T29" s="2191">
        <v>0</v>
      </c>
      <c r="U29" s="2192">
        <v>0</v>
      </c>
      <c r="V29" s="2192">
        <v>0</v>
      </c>
      <c r="W29" s="2192">
        <v>0</v>
      </c>
      <c r="X29" s="2192">
        <v>0</v>
      </c>
      <c r="Y29" s="2193">
        <v>0</v>
      </c>
      <c r="Z29" s="1712"/>
      <c r="AA29" s="2199"/>
      <c r="AB29" s="2200"/>
      <c r="AC29" s="2204"/>
      <c r="AD29" s="2204"/>
      <c r="AE29" s="2107"/>
      <c r="AF29" s="74"/>
      <c r="AG29" s="98" t="s">
        <v>13341</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13342</v>
      </c>
      <c r="C30" s="2174"/>
      <c r="D30" s="2107"/>
      <c r="E30" s="1712"/>
      <c r="F30" s="2105">
        <v>0</v>
      </c>
      <c r="G30" s="2106">
        <v>0</v>
      </c>
      <c r="H30" s="2106">
        <v>0</v>
      </c>
      <c r="I30" s="2106">
        <v>0</v>
      </c>
      <c r="J30" s="2106">
        <v>0</v>
      </c>
      <c r="K30" s="2107">
        <v>0</v>
      </c>
      <c r="L30" s="1712"/>
      <c r="M30" s="2105">
        <v>0</v>
      </c>
      <c r="N30" s="2106">
        <v>0</v>
      </c>
      <c r="O30" s="2106">
        <v>0</v>
      </c>
      <c r="P30" s="2106">
        <v>0</v>
      </c>
      <c r="Q30" s="2106">
        <v>0</v>
      </c>
      <c r="R30" s="2107">
        <v>0</v>
      </c>
      <c r="S30" s="1712"/>
      <c r="T30" s="2191">
        <v>0</v>
      </c>
      <c r="U30" s="2192">
        <v>0</v>
      </c>
      <c r="V30" s="2192">
        <v>0</v>
      </c>
      <c r="W30" s="2192">
        <v>0</v>
      </c>
      <c r="X30" s="2192">
        <v>0</v>
      </c>
      <c r="Y30" s="2193">
        <v>0</v>
      </c>
      <c r="Z30" s="1712"/>
      <c r="AA30" s="2199"/>
      <c r="AB30" s="2200"/>
      <c r="AC30" s="2204"/>
      <c r="AD30" s="2204"/>
      <c r="AE30" s="2107"/>
      <c r="AF30" s="74"/>
      <c r="AG30" s="98" t="s">
        <v>13343</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13344</v>
      </c>
      <c r="C31" s="2174"/>
      <c r="D31" s="2107"/>
      <c r="E31" s="1712"/>
      <c r="F31" s="2105">
        <v>0</v>
      </c>
      <c r="G31" s="2106">
        <v>0</v>
      </c>
      <c r="H31" s="2106">
        <v>0</v>
      </c>
      <c r="I31" s="2106">
        <v>0</v>
      </c>
      <c r="J31" s="2106">
        <v>0</v>
      </c>
      <c r="K31" s="2107">
        <v>0</v>
      </c>
      <c r="L31" s="1712"/>
      <c r="M31" s="2105">
        <v>0</v>
      </c>
      <c r="N31" s="2106">
        <v>0</v>
      </c>
      <c r="O31" s="2106">
        <v>0</v>
      </c>
      <c r="P31" s="2106">
        <v>0</v>
      </c>
      <c r="Q31" s="2106">
        <v>0</v>
      </c>
      <c r="R31" s="2107">
        <v>0</v>
      </c>
      <c r="S31" s="1712"/>
      <c r="T31" s="2191">
        <v>0</v>
      </c>
      <c r="U31" s="2192">
        <v>0</v>
      </c>
      <c r="V31" s="2192">
        <v>0</v>
      </c>
      <c r="W31" s="2192">
        <v>0</v>
      </c>
      <c r="X31" s="2192">
        <v>0</v>
      </c>
      <c r="Y31" s="2193">
        <v>0</v>
      </c>
      <c r="Z31" s="1712"/>
      <c r="AA31" s="2199"/>
      <c r="AB31" s="2200"/>
      <c r="AC31" s="2204"/>
      <c r="AD31" s="2204"/>
      <c r="AE31" s="2107"/>
      <c r="AF31" s="74"/>
      <c r="AG31" s="98" t="s">
        <v>13345</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13346</v>
      </c>
      <c r="C32" s="2174"/>
      <c r="D32" s="2107"/>
      <c r="E32" s="1712"/>
      <c r="F32" s="2105">
        <v>0</v>
      </c>
      <c r="G32" s="2106">
        <v>0</v>
      </c>
      <c r="H32" s="2106">
        <v>0</v>
      </c>
      <c r="I32" s="2106">
        <v>0</v>
      </c>
      <c r="J32" s="2106">
        <v>0</v>
      </c>
      <c r="K32" s="2107">
        <v>0</v>
      </c>
      <c r="L32" s="1712"/>
      <c r="M32" s="2105">
        <v>0</v>
      </c>
      <c r="N32" s="2106">
        <v>0</v>
      </c>
      <c r="O32" s="2106">
        <v>0</v>
      </c>
      <c r="P32" s="2106">
        <v>0</v>
      </c>
      <c r="Q32" s="2106">
        <v>0</v>
      </c>
      <c r="R32" s="2107">
        <v>0</v>
      </c>
      <c r="S32" s="1712"/>
      <c r="T32" s="2191">
        <v>0</v>
      </c>
      <c r="U32" s="2192">
        <v>0</v>
      </c>
      <c r="V32" s="2192">
        <v>0</v>
      </c>
      <c r="W32" s="2192">
        <v>0</v>
      </c>
      <c r="X32" s="2192">
        <v>0</v>
      </c>
      <c r="Y32" s="2193">
        <v>0</v>
      </c>
      <c r="Z32" s="1712"/>
      <c r="AA32" s="2199"/>
      <c r="AB32" s="2200"/>
      <c r="AC32" s="2204"/>
      <c r="AD32" s="2204"/>
      <c r="AE32" s="2107"/>
      <c r="AF32" s="74"/>
      <c r="AG32" s="98" t="s">
        <v>13347</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13348</v>
      </c>
      <c r="C33" s="2174"/>
      <c r="D33" s="2107"/>
      <c r="E33" s="1712"/>
      <c r="F33" s="2105">
        <v>0</v>
      </c>
      <c r="G33" s="2106">
        <v>0</v>
      </c>
      <c r="H33" s="2106">
        <v>0</v>
      </c>
      <c r="I33" s="2106">
        <v>0</v>
      </c>
      <c r="J33" s="2106">
        <v>0</v>
      </c>
      <c r="K33" s="2107">
        <v>0</v>
      </c>
      <c r="L33" s="1712"/>
      <c r="M33" s="2105">
        <v>0</v>
      </c>
      <c r="N33" s="2106">
        <v>0</v>
      </c>
      <c r="O33" s="2106">
        <v>0</v>
      </c>
      <c r="P33" s="2106">
        <v>0</v>
      </c>
      <c r="Q33" s="2106">
        <v>0</v>
      </c>
      <c r="R33" s="2107">
        <v>0</v>
      </c>
      <c r="S33" s="1712"/>
      <c r="T33" s="2191">
        <v>0</v>
      </c>
      <c r="U33" s="2192">
        <v>0</v>
      </c>
      <c r="V33" s="2192">
        <v>0</v>
      </c>
      <c r="W33" s="2192">
        <v>0</v>
      </c>
      <c r="X33" s="2192">
        <v>0</v>
      </c>
      <c r="Y33" s="2193">
        <v>0</v>
      </c>
      <c r="Z33" s="1712"/>
      <c r="AA33" s="2199"/>
      <c r="AB33" s="2200"/>
      <c r="AC33" s="2204"/>
      <c r="AD33" s="2204"/>
      <c r="AE33" s="2107"/>
      <c r="AF33" s="74"/>
      <c r="AG33" s="98" t="s">
        <v>13349</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13350</v>
      </c>
      <c r="C34" s="2174"/>
      <c r="D34" s="2107"/>
      <c r="E34" s="1712"/>
      <c r="F34" s="2105">
        <v>0</v>
      </c>
      <c r="G34" s="2106">
        <v>0</v>
      </c>
      <c r="H34" s="2106">
        <v>0</v>
      </c>
      <c r="I34" s="2106">
        <v>0</v>
      </c>
      <c r="J34" s="2106">
        <v>0</v>
      </c>
      <c r="K34" s="2107">
        <v>0</v>
      </c>
      <c r="L34" s="1712"/>
      <c r="M34" s="2105">
        <v>0</v>
      </c>
      <c r="N34" s="2106">
        <v>0</v>
      </c>
      <c r="O34" s="2106">
        <v>0</v>
      </c>
      <c r="P34" s="2106">
        <v>0</v>
      </c>
      <c r="Q34" s="2106">
        <v>0</v>
      </c>
      <c r="R34" s="2107">
        <v>0</v>
      </c>
      <c r="S34" s="1712"/>
      <c r="T34" s="2191">
        <v>0</v>
      </c>
      <c r="U34" s="2192">
        <v>0</v>
      </c>
      <c r="V34" s="2192">
        <v>0</v>
      </c>
      <c r="W34" s="2192">
        <v>0</v>
      </c>
      <c r="X34" s="2192">
        <v>0</v>
      </c>
      <c r="Y34" s="2193">
        <v>0</v>
      </c>
      <c r="Z34" s="1712"/>
      <c r="AA34" s="2199"/>
      <c r="AB34" s="2200"/>
      <c r="AC34" s="2204"/>
      <c r="AD34" s="2204"/>
      <c r="AE34" s="2107"/>
      <c r="AF34" s="74"/>
      <c r="AG34" s="98" t="s">
        <v>13351</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13352</v>
      </c>
      <c r="C35" s="2174"/>
      <c r="D35" s="2107"/>
      <c r="E35" s="1712"/>
      <c r="F35" s="2105">
        <v>0</v>
      </c>
      <c r="G35" s="2106">
        <v>0</v>
      </c>
      <c r="H35" s="2106">
        <v>0</v>
      </c>
      <c r="I35" s="2106">
        <v>0</v>
      </c>
      <c r="J35" s="2106">
        <v>0</v>
      </c>
      <c r="K35" s="2107">
        <v>0</v>
      </c>
      <c r="L35" s="1712"/>
      <c r="M35" s="2105">
        <v>0</v>
      </c>
      <c r="N35" s="2106">
        <v>0</v>
      </c>
      <c r="O35" s="2106">
        <v>0</v>
      </c>
      <c r="P35" s="2106">
        <v>0</v>
      </c>
      <c r="Q35" s="2106">
        <v>0</v>
      </c>
      <c r="R35" s="2107">
        <v>0</v>
      </c>
      <c r="S35" s="1712"/>
      <c r="T35" s="2191">
        <v>0</v>
      </c>
      <c r="U35" s="2192">
        <v>0</v>
      </c>
      <c r="V35" s="2192">
        <v>0</v>
      </c>
      <c r="W35" s="2192">
        <v>0</v>
      </c>
      <c r="X35" s="2192">
        <v>0</v>
      </c>
      <c r="Y35" s="2193">
        <v>0</v>
      </c>
      <c r="Z35" s="1712"/>
      <c r="AA35" s="2199"/>
      <c r="AB35" s="2200"/>
      <c r="AC35" s="2204"/>
      <c r="AD35" s="2204"/>
      <c r="AE35" s="2107"/>
      <c r="AF35" s="74"/>
      <c r="AG35" s="98" t="s">
        <v>13353</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13354</v>
      </c>
      <c r="C36" s="2174"/>
      <c r="D36" s="2107"/>
      <c r="E36" s="1712"/>
      <c r="F36" s="2105">
        <v>0</v>
      </c>
      <c r="G36" s="2106">
        <v>0</v>
      </c>
      <c r="H36" s="2106">
        <v>0</v>
      </c>
      <c r="I36" s="2106">
        <v>0</v>
      </c>
      <c r="J36" s="2106">
        <v>0</v>
      </c>
      <c r="K36" s="2107">
        <v>0</v>
      </c>
      <c r="L36" s="1712"/>
      <c r="M36" s="2105">
        <v>0</v>
      </c>
      <c r="N36" s="2106">
        <v>0</v>
      </c>
      <c r="O36" s="2106">
        <v>0</v>
      </c>
      <c r="P36" s="2106">
        <v>0</v>
      </c>
      <c r="Q36" s="2106">
        <v>0</v>
      </c>
      <c r="R36" s="2107">
        <v>0</v>
      </c>
      <c r="S36" s="1712"/>
      <c r="T36" s="2191">
        <v>0</v>
      </c>
      <c r="U36" s="2192">
        <v>0</v>
      </c>
      <c r="V36" s="2192">
        <v>0</v>
      </c>
      <c r="W36" s="2192">
        <v>0</v>
      </c>
      <c r="X36" s="2192">
        <v>0</v>
      </c>
      <c r="Y36" s="2193">
        <v>0</v>
      </c>
      <c r="Z36" s="1712"/>
      <c r="AA36" s="2199"/>
      <c r="AB36" s="2200"/>
      <c r="AC36" s="2204"/>
      <c r="AD36" s="2204"/>
      <c r="AE36" s="2107"/>
      <c r="AF36" s="74"/>
      <c r="AG36" s="98" t="s">
        <v>13355</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13356</v>
      </c>
      <c r="C37" s="2174"/>
      <c r="D37" s="2107"/>
      <c r="E37" s="1712"/>
      <c r="F37" s="2105">
        <v>0</v>
      </c>
      <c r="G37" s="2106">
        <v>0</v>
      </c>
      <c r="H37" s="2106">
        <v>0</v>
      </c>
      <c r="I37" s="2106">
        <v>0</v>
      </c>
      <c r="J37" s="2106">
        <v>0</v>
      </c>
      <c r="K37" s="2107">
        <v>0</v>
      </c>
      <c r="L37" s="1712"/>
      <c r="M37" s="2105">
        <v>0</v>
      </c>
      <c r="N37" s="2106">
        <v>0</v>
      </c>
      <c r="O37" s="2106">
        <v>0</v>
      </c>
      <c r="P37" s="2106">
        <v>0</v>
      </c>
      <c r="Q37" s="2106">
        <v>0</v>
      </c>
      <c r="R37" s="2107">
        <v>0</v>
      </c>
      <c r="S37" s="1712"/>
      <c r="T37" s="2191">
        <v>0</v>
      </c>
      <c r="U37" s="2192">
        <v>0</v>
      </c>
      <c r="V37" s="2192">
        <v>0</v>
      </c>
      <c r="W37" s="2192">
        <v>0</v>
      </c>
      <c r="X37" s="2192">
        <v>0</v>
      </c>
      <c r="Y37" s="2193">
        <v>0</v>
      </c>
      <c r="Z37" s="1712"/>
      <c r="AA37" s="2199"/>
      <c r="AB37" s="2200"/>
      <c r="AC37" s="2204"/>
      <c r="AD37" s="2204"/>
      <c r="AE37" s="2107"/>
      <c r="AF37" s="74"/>
      <c r="AG37" s="98" t="s">
        <v>13357</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13358</v>
      </c>
      <c r="C38" s="2174"/>
      <c r="D38" s="2107"/>
      <c r="E38" s="1712"/>
      <c r="F38" s="2105">
        <v>0</v>
      </c>
      <c r="G38" s="2106">
        <v>0</v>
      </c>
      <c r="H38" s="2106">
        <v>0</v>
      </c>
      <c r="I38" s="2106">
        <v>0</v>
      </c>
      <c r="J38" s="2106">
        <v>0</v>
      </c>
      <c r="K38" s="2107">
        <v>0</v>
      </c>
      <c r="L38" s="1712"/>
      <c r="M38" s="2105">
        <v>0</v>
      </c>
      <c r="N38" s="2106">
        <v>0</v>
      </c>
      <c r="O38" s="2106">
        <v>0</v>
      </c>
      <c r="P38" s="2106">
        <v>0</v>
      </c>
      <c r="Q38" s="2106">
        <v>0</v>
      </c>
      <c r="R38" s="2107">
        <v>0</v>
      </c>
      <c r="S38" s="1712"/>
      <c r="T38" s="2191">
        <v>0</v>
      </c>
      <c r="U38" s="2192">
        <v>0</v>
      </c>
      <c r="V38" s="2192">
        <v>0</v>
      </c>
      <c r="W38" s="2192">
        <v>0</v>
      </c>
      <c r="X38" s="2192">
        <v>0</v>
      </c>
      <c r="Y38" s="2193">
        <v>0</v>
      </c>
      <c r="Z38" s="1712"/>
      <c r="AA38" s="2199"/>
      <c r="AB38" s="2200"/>
      <c r="AC38" s="2204"/>
      <c r="AD38" s="2204"/>
      <c r="AE38" s="2107"/>
      <c r="AF38" s="74"/>
      <c r="AG38" s="98" t="s">
        <v>13359</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13360</v>
      </c>
      <c r="C39" s="2174"/>
      <c r="D39" s="2107"/>
      <c r="E39" s="1712"/>
      <c r="F39" s="2105">
        <v>0</v>
      </c>
      <c r="G39" s="2106">
        <v>0</v>
      </c>
      <c r="H39" s="2106">
        <v>0</v>
      </c>
      <c r="I39" s="2106">
        <v>0</v>
      </c>
      <c r="J39" s="2106">
        <v>0</v>
      </c>
      <c r="K39" s="2107">
        <v>0</v>
      </c>
      <c r="L39" s="1712"/>
      <c r="M39" s="2105">
        <v>0</v>
      </c>
      <c r="N39" s="2106">
        <v>0</v>
      </c>
      <c r="O39" s="2106">
        <v>0</v>
      </c>
      <c r="P39" s="2106">
        <v>0</v>
      </c>
      <c r="Q39" s="2106">
        <v>0</v>
      </c>
      <c r="R39" s="2107">
        <v>0</v>
      </c>
      <c r="S39" s="1712"/>
      <c r="T39" s="2191">
        <v>0</v>
      </c>
      <c r="U39" s="2192">
        <v>0</v>
      </c>
      <c r="V39" s="2192">
        <v>0</v>
      </c>
      <c r="W39" s="2192">
        <v>0</v>
      </c>
      <c r="X39" s="2192">
        <v>0</v>
      </c>
      <c r="Y39" s="2193">
        <v>0</v>
      </c>
      <c r="Z39" s="1712"/>
      <c r="AA39" s="2199"/>
      <c r="AB39" s="2200"/>
      <c r="AC39" s="2204"/>
      <c r="AD39" s="2204"/>
      <c r="AE39" s="2107"/>
      <c r="AF39" s="74"/>
      <c r="AG39" s="98" t="s">
        <v>13361</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13362</v>
      </c>
      <c r="C40" s="2174"/>
      <c r="D40" s="2107"/>
      <c r="E40" s="1712"/>
      <c r="F40" s="2105">
        <v>0</v>
      </c>
      <c r="G40" s="2106">
        <v>0</v>
      </c>
      <c r="H40" s="2106">
        <v>0</v>
      </c>
      <c r="I40" s="2106">
        <v>0</v>
      </c>
      <c r="J40" s="2106">
        <v>0</v>
      </c>
      <c r="K40" s="2107">
        <v>0</v>
      </c>
      <c r="L40" s="1712"/>
      <c r="M40" s="2105">
        <v>0</v>
      </c>
      <c r="N40" s="2106">
        <v>0</v>
      </c>
      <c r="O40" s="2106">
        <v>0</v>
      </c>
      <c r="P40" s="2106">
        <v>0</v>
      </c>
      <c r="Q40" s="2106">
        <v>0</v>
      </c>
      <c r="R40" s="2107">
        <v>0</v>
      </c>
      <c r="S40" s="1712"/>
      <c r="T40" s="2191">
        <v>0</v>
      </c>
      <c r="U40" s="2192">
        <v>0</v>
      </c>
      <c r="V40" s="2192">
        <v>0</v>
      </c>
      <c r="W40" s="2192">
        <v>0</v>
      </c>
      <c r="X40" s="2192">
        <v>0</v>
      </c>
      <c r="Y40" s="2193">
        <v>0</v>
      </c>
      <c r="Z40" s="1712"/>
      <c r="AA40" s="2199"/>
      <c r="AB40" s="2200"/>
      <c r="AC40" s="2204"/>
      <c r="AD40" s="2204"/>
      <c r="AE40" s="2107"/>
      <c r="AF40" s="74"/>
      <c r="AG40" s="98" t="s">
        <v>13363</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13364</v>
      </c>
      <c r="C41" s="2174"/>
      <c r="D41" s="2107"/>
      <c r="E41" s="1712"/>
      <c r="F41" s="2105">
        <v>0</v>
      </c>
      <c r="G41" s="2106">
        <v>0</v>
      </c>
      <c r="H41" s="2106">
        <v>0</v>
      </c>
      <c r="I41" s="2106">
        <v>0</v>
      </c>
      <c r="J41" s="2106">
        <v>0</v>
      </c>
      <c r="K41" s="2107">
        <v>0</v>
      </c>
      <c r="L41" s="1712"/>
      <c r="M41" s="2105">
        <v>0</v>
      </c>
      <c r="N41" s="2106">
        <v>0</v>
      </c>
      <c r="O41" s="2106">
        <v>0</v>
      </c>
      <c r="P41" s="2106">
        <v>0</v>
      </c>
      <c r="Q41" s="2106">
        <v>0</v>
      </c>
      <c r="R41" s="2107">
        <v>0</v>
      </c>
      <c r="S41" s="1712"/>
      <c r="T41" s="2191">
        <v>0</v>
      </c>
      <c r="U41" s="2192">
        <v>0</v>
      </c>
      <c r="V41" s="2192">
        <v>0</v>
      </c>
      <c r="W41" s="2192">
        <v>0</v>
      </c>
      <c r="X41" s="2192">
        <v>0</v>
      </c>
      <c r="Y41" s="2193">
        <v>0</v>
      </c>
      <c r="Z41" s="1712"/>
      <c r="AA41" s="2199"/>
      <c r="AB41" s="2200"/>
      <c r="AC41" s="2204"/>
      <c r="AD41" s="2204"/>
      <c r="AE41" s="2107"/>
      <c r="AF41" s="74"/>
      <c r="AG41" s="98" t="s">
        <v>13365</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13366</v>
      </c>
      <c r="C42" s="2174"/>
      <c r="D42" s="2107"/>
      <c r="E42" s="1712"/>
      <c r="F42" s="2105">
        <v>0</v>
      </c>
      <c r="G42" s="2106">
        <v>0</v>
      </c>
      <c r="H42" s="2106">
        <v>0</v>
      </c>
      <c r="I42" s="2106">
        <v>0</v>
      </c>
      <c r="J42" s="2106">
        <v>0</v>
      </c>
      <c r="K42" s="2107">
        <v>0</v>
      </c>
      <c r="L42" s="1712"/>
      <c r="M42" s="2105">
        <v>0</v>
      </c>
      <c r="N42" s="2106">
        <v>0</v>
      </c>
      <c r="O42" s="2106">
        <v>0</v>
      </c>
      <c r="P42" s="2106">
        <v>0</v>
      </c>
      <c r="Q42" s="2106">
        <v>0</v>
      </c>
      <c r="R42" s="2107">
        <v>0</v>
      </c>
      <c r="S42" s="1712"/>
      <c r="T42" s="2191">
        <v>0</v>
      </c>
      <c r="U42" s="2192">
        <v>0</v>
      </c>
      <c r="V42" s="2192">
        <v>0</v>
      </c>
      <c r="W42" s="2192">
        <v>0</v>
      </c>
      <c r="X42" s="2192">
        <v>0</v>
      </c>
      <c r="Y42" s="2193">
        <v>0</v>
      </c>
      <c r="Z42" s="1712"/>
      <c r="AA42" s="2199"/>
      <c r="AB42" s="2200"/>
      <c r="AC42" s="2204"/>
      <c r="AD42" s="2204"/>
      <c r="AE42" s="2107"/>
      <c r="AF42" s="74"/>
      <c r="AG42" s="98" t="s">
        <v>13367</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13368</v>
      </c>
      <c r="C43" s="2174"/>
      <c r="D43" s="2107"/>
      <c r="E43" s="1712"/>
      <c r="F43" s="2105">
        <v>0</v>
      </c>
      <c r="G43" s="2106">
        <v>0</v>
      </c>
      <c r="H43" s="2106">
        <v>0</v>
      </c>
      <c r="I43" s="2106">
        <v>0</v>
      </c>
      <c r="J43" s="2106">
        <v>0</v>
      </c>
      <c r="K43" s="2107">
        <v>0</v>
      </c>
      <c r="L43" s="1712"/>
      <c r="M43" s="2105">
        <v>0</v>
      </c>
      <c r="N43" s="2106">
        <v>0</v>
      </c>
      <c r="O43" s="2106">
        <v>0</v>
      </c>
      <c r="P43" s="2106">
        <v>0</v>
      </c>
      <c r="Q43" s="2106">
        <v>0</v>
      </c>
      <c r="R43" s="2107">
        <v>0</v>
      </c>
      <c r="S43" s="1712"/>
      <c r="T43" s="2191">
        <v>0</v>
      </c>
      <c r="U43" s="2192">
        <v>0</v>
      </c>
      <c r="V43" s="2192">
        <v>0</v>
      </c>
      <c r="W43" s="2192">
        <v>0</v>
      </c>
      <c r="X43" s="2192">
        <v>0</v>
      </c>
      <c r="Y43" s="2193">
        <v>0</v>
      </c>
      <c r="Z43" s="1712"/>
      <c r="AA43" s="2199"/>
      <c r="AB43" s="2200"/>
      <c r="AC43" s="2204"/>
      <c r="AD43" s="2204"/>
      <c r="AE43" s="2107"/>
      <c r="AF43" s="74"/>
      <c r="AG43" s="98" t="s">
        <v>13369</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13370</v>
      </c>
      <c r="C44" s="2174"/>
      <c r="D44" s="2107"/>
      <c r="E44" s="1712"/>
      <c r="F44" s="2105">
        <v>0</v>
      </c>
      <c r="G44" s="2106">
        <v>0</v>
      </c>
      <c r="H44" s="2106">
        <v>0</v>
      </c>
      <c r="I44" s="2106">
        <v>0</v>
      </c>
      <c r="J44" s="2106">
        <v>0</v>
      </c>
      <c r="K44" s="2107">
        <v>0</v>
      </c>
      <c r="L44" s="1712"/>
      <c r="M44" s="2105">
        <v>0</v>
      </c>
      <c r="N44" s="2106">
        <v>0</v>
      </c>
      <c r="O44" s="2106">
        <v>0</v>
      </c>
      <c r="P44" s="2106">
        <v>0</v>
      </c>
      <c r="Q44" s="2106">
        <v>0</v>
      </c>
      <c r="R44" s="2107">
        <v>0</v>
      </c>
      <c r="S44" s="1712"/>
      <c r="T44" s="2191">
        <v>0</v>
      </c>
      <c r="U44" s="2192">
        <v>0</v>
      </c>
      <c r="V44" s="2192">
        <v>0</v>
      </c>
      <c r="W44" s="2192">
        <v>0</v>
      </c>
      <c r="X44" s="2192">
        <v>0</v>
      </c>
      <c r="Y44" s="2193">
        <v>0</v>
      </c>
      <c r="Z44" s="1712"/>
      <c r="AA44" s="2199"/>
      <c r="AB44" s="2200"/>
      <c r="AC44" s="2204"/>
      <c r="AD44" s="2204"/>
      <c r="AE44" s="2107"/>
      <c r="AF44" s="74"/>
      <c r="AG44" s="98" t="s">
        <v>13371</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13372</v>
      </c>
      <c r="C45" s="2174"/>
      <c r="D45" s="2107"/>
      <c r="E45" s="1712"/>
      <c r="F45" s="2105">
        <v>0</v>
      </c>
      <c r="G45" s="2106">
        <v>0</v>
      </c>
      <c r="H45" s="2106">
        <v>0</v>
      </c>
      <c r="I45" s="2106">
        <v>0</v>
      </c>
      <c r="J45" s="2106">
        <v>0</v>
      </c>
      <c r="K45" s="2107">
        <v>0</v>
      </c>
      <c r="L45" s="1712"/>
      <c r="M45" s="2105">
        <v>0</v>
      </c>
      <c r="N45" s="2106">
        <v>0</v>
      </c>
      <c r="O45" s="2106">
        <v>0</v>
      </c>
      <c r="P45" s="2106">
        <v>0</v>
      </c>
      <c r="Q45" s="2106">
        <v>0</v>
      </c>
      <c r="R45" s="2107">
        <v>0</v>
      </c>
      <c r="S45" s="1712"/>
      <c r="T45" s="2191">
        <v>0</v>
      </c>
      <c r="U45" s="2192">
        <v>0</v>
      </c>
      <c r="V45" s="2192">
        <v>0</v>
      </c>
      <c r="W45" s="2192">
        <v>0</v>
      </c>
      <c r="X45" s="2192">
        <v>0</v>
      </c>
      <c r="Y45" s="2193">
        <v>0</v>
      </c>
      <c r="Z45" s="1712"/>
      <c r="AA45" s="2199"/>
      <c r="AB45" s="2200"/>
      <c r="AC45" s="2204"/>
      <c r="AD45" s="2204"/>
      <c r="AE45" s="2107"/>
      <c r="AF45" s="74"/>
      <c r="AG45" s="98" t="s">
        <v>13373</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13374</v>
      </c>
      <c r="C46" s="2174"/>
      <c r="D46" s="2107"/>
      <c r="E46" s="1712"/>
      <c r="F46" s="2105">
        <v>0</v>
      </c>
      <c r="G46" s="2106">
        <v>0</v>
      </c>
      <c r="H46" s="2106">
        <v>0</v>
      </c>
      <c r="I46" s="2106">
        <v>0</v>
      </c>
      <c r="J46" s="2106">
        <v>0</v>
      </c>
      <c r="K46" s="2107">
        <v>0</v>
      </c>
      <c r="L46" s="1712"/>
      <c r="M46" s="2105">
        <v>0</v>
      </c>
      <c r="N46" s="2106">
        <v>0</v>
      </c>
      <c r="O46" s="2106">
        <v>0</v>
      </c>
      <c r="P46" s="2106">
        <v>0</v>
      </c>
      <c r="Q46" s="2106">
        <v>0</v>
      </c>
      <c r="R46" s="2107">
        <v>0</v>
      </c>
      <c r="S46" s="1712"/>
      <c r="T46" s="2191">
        <v>0</v>
      </c>
      <c r="U46" s="2192">
        <v>0</v>
      </c>
      <c r="V46" s="2192">
        <v>0</v>
      </c>
      <c r="W46" s="2192">
        <v>0</v>
      </c>
      <c r="X46" s="2192">
        <v>0</v>
      </c>
      <c r="Y46" s="2193">
        <v>0</v>
      </c>
      <c r="Z46" s="1712"/>
      <c r="AA46" s="2199"/>
      <c r="AB46" s="2200"/>
      <c r="AC46" s="2204"/>
      <c r="AD46" s="2204"/>
      <c r="AE46" s="2107"/>
      <c r="AF46" s="74"/>
      <c r="AG46" s="98" t="s">
        <v>13375</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13376</v>
      </c>
      <c r="C47" s="2174"/>
      <c r="D47" s="2107"/>
      <c r="E47" s="1712"/>
      <c r="F47" s="2105">
        <v>0</v>
      </c>
      <c r="G47" s="2106">
        <v>0</v>
      </c>
      <c r="H47" s="2106">
        <v>0</v>
      </c>
      <c r="I47" s="2106">
        <v>0</v>
      </c>
      <c r="J47" s="2106">
        <v>0</v>
      </c>
      <c r="K47" s="2107">
        <v>0</v>
      </c>
      <c r="L47" s="1712"/>
      <c r="M47" s="2105">
        <v>0</v>
      </c>
      <c r="N47" s="2106">
        <v>0</v>
      </c>
      <c r="O47" s="2106">
        <v>0</v>
      </c>
      <c r="P47" s="2106">
        <v>0</v>
      </c>
      <c r="Q47" s="2106">
        <v>0</v>
      </c>
      <c r="R47" s="2107">
        <v>0</v>
      </c>
      <c r="S47" s="1712"/>
      <c r="T47" s="2191">
        <v>0</v>
      </c>
      <c r="U47" s="2192">
        <v>0</v>
      </c>
      <c r="V47" s="2192">
        <v>0</v>
      </c>
      <c r="W47" s="2192">
        <v>0</v>
      </c>
      <c r="X47" s="2192">
        <v>0</v>
      </c>
      <c r="Y47" s="2193">
        <v>0</v>
      </c>
      <c r="Z47" s="1712"/>
      <c r="AA47" s="2199"/>
      <c r="AB47" s="2200"/>
      <c r="AC47" s="2204"/>
      <c r="AD47" s="2204"/>
      <c r="AE47" s="2107"/>
      <c r="AF47" s="74"/>
      <c r="AG47" s="98" t="s">
        <v>13377</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13378</v>
      </c>
      <c r="C48" s="2174"/>
      <c r="D48" s="2107"/>
      <c r="E48" s="1712"/>
      <c r="F48" s="2105">
        <v>0</v>
      </c>
      <c r="G48" s="2106">
        <v>0</v>
      </c>
      <c r="H48" s="2106">
        <v>0</v>
      </c>
      <c r="I48" s="2106">
        <v>0</v>
      </c>
      <c r="J48" s="2106">
        <v>0</v>
      </c>
      <c r="K48" s="2107">
        <v>0</v>
      </c>
      <c r="L48" s="1712"/>
      <c r="M48" s="2105">
        <v>0</v>
      </c>
      <c r="N48" s="2106">
        <v>0</v>
      </c>
      <c r="O48" s="2106">
        <v>0</v>
      </c>
      <c r="P48" s="2106">
        <v>0</v>
      </c>
      <c r="Q48" s="2106">
        <v>0</v>
      </c>
      <c r="R48" s="2107">
        <v>0</v>
      </c>
      <c r="S48" s="1712"/>
      <c r="T48" s="2191">
        <v>0</v>
      </c>
      <c r="U48" s="2192">
        <v>0</v>
      </c>
      <c r="V48" s="2192">
        <v>0</v>
      </c>
      <c r="W48" s="2192">
        <v>0</v>
      </c>
      <c r="X48" s="2192">
        <v>0</v>
      </c>
      <c r="Y48" s="2193">
        <v>0</v>
      </c>
      <c r="Z48" s="1712"/>
      <c r="AA48" s="2199"/>
      <c r="AB48" s="2200"/>
      <c r="AC48" s="2204"/>
      <c r="AD48" s="2204"/>
      <c r="AE48" s="2107"/>
      <c r="AF48" s="74"/>
      <c r="AG48" s="98" t="s">
        <v>13379</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13380</v>
      </c>
      <c r="C49" s="2174"/>
      <c r="D49" s="2107"/>
      <c r="E49" s="1712"/>
      <c r="F49" s="2105">
        <v>0</v>
      </c>
      <c r="G49" s="2106">
        <v>0</v>
      </c>
      <c r="H49" s="2106">
        <v>0</v>
      </c>
      <c r="I49" s="2106">
        <v>0</v>
      </c>
      <c r="J49" s="2106">
        <v>0</v>
      </c>
      <c r="K49" s="2107">
        <v>0</v>
      </c>
      <c r="L49" s="1712"/>
      <c r="M49" s="2105">
        <v>0</v>
      </c>
      <c r="N49" s="2106">
        <v>0</v>
      </c>
      <c r="O49" s="2106">
        <v>0</v>
      </c>
      <c r="P49" s="2106">
        <v>0</v>
      </c>
      <c r="Q49" s="2106">
        <v>0</v>
      </c>
      <c r="R49" s="2107">
        <v>0</v>
      </c>
      <c r="S49" s="1712"/>
      <c r="T49" s="2191">
        <v>0</v>
      </c>
      <c r="U49" s="2192">
        <v>0</v>
      </c>
      <c r="V49" s="2192">
        <v>0</v>
      </c>
      <c r="W49" s="2192">
        <v>0</v>
      </c>
      <c r="X49" s="2192">
        <v>0</v>
      </c>
      <c r="Y49" s="2193">
        <v>0</v>
      </c>
      <c r="Z49" s="1712"/>
      <c r="AA49" s="2199"/>
      <c r="AB49" s="2200"/>
      <c r="AC49" s="2204"/>
      <c r="AD49" s="2204"/>
      <c r="AE49" s="2107"/>
      <c r="AF49" s="74"/>
      <c r="AG49" s="98" t="s">
        <v>13381</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13382</v>
      </c>
      <c r="C50" s="2174"/>
      <c r="D50" s="2107"/>
      <c r="E50" s="1712"/>
      <c r="F50" s="2105">
        <v>0</v>
      </c>
      <c r="G50" s="2106">
        <v>0</v>
      </c>
      <c r="H50" s="2106">
        <v>0</v>
      </c>
      <c r="I50" s="2106">
        <v>0</v>
      </c>
      <c r="J50" s="2106">
        <v>0</v>
      </c>
      <c r="K50" s="2107">
        <v>0</v>
      </c>
      <c r="L50" s="1712"/>
      <c r="M50" s="2105">
        <v>0</v>
      </c>
      <c r="N50" s="2106">
        <v>0</v>
      </c>
      <c r="O50" s="2106">
        <v>0</v>
      </c>
      <c r="P50" s="2106">
        <v>0</v>
      </c>
      <c r="Q50" s="2106">
        <v>0</v>
      </c>
      <c r="R50" s="2107">
        <v>0</v>
      </c>
      <c r="S50" s="1712"/>
      <c r="T50" s="2191">
        <v>0</v>
      </c>
      <c r="U50" s="2192">
        <v>0</v>
      </c>
      <c r="V50" s="2192">
        <v>0</v>
      </c>
      <c r="W50" s="2192">
        <v>0</v>
      </c>
      <c r="X50" s="2192">
        <v>0</v>
      </c>
      <c r="Y50" s="2193">
        <v>0</v>
      </c>
      <c r="Z50" s="1712"/>
      <c r="AA50" s="2199"/>
      <c r="AB50" s="2200"/>
      <c r="AC50" s="2204"/>
      <c r="AD50" s="2204"/>
      <c r="AE50" s="2107"/>
      <c r="AF50" s="74"/>
      <c r="AG50" s="98" t="s">
        <v>13383</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13384</v>
      </c>
      <c r="C51" s="2174"/>
      <c r="D51" s="2107"/>
      <c r="E51" s="1712"/>
      <c r="F51" s="2105">
        <v>0</v>
      </c>
      <c r="G51" s="2106">
        <v>0</v>
      </c>
      <c r="H51" s="2106">
        <v>0</v>
      </c>
      <c r="I51" s="2106">
        <v>0</v>
      </c>
      <c r="J51" s="2106">
        <v>0</v>
      </c>
      <c r="K51" s="2107">
        <v>0</v>
      </c>
      <c r="L51" s="1712"/>
      <c r="M51" s="2105">
        <v>0</v>
      </c>
      <c r="N51" s="2106">
        <v>0</v>
      </c>
      <c r="O51" s="2106">
        <v>0</v>
      </c>
      <c r="P51" s="2106">
        <v>0</v>
      </c>
      <c r="Q51" s="2106">
        <v>0</v>
      </c>
      <c r="R51" s="2107">
        <v>0</v>
      </c>
      <c r="S51" s="1712"/>
      <c r="T51" s="2191">
        <v>0</v>
      </c>
      <c r="U51" s="2192">
        <v>0</v>
      </c>
      <c r="V51" s="2192">
        <v>0</v>
      </c>
      <c r="W51" s="2192">
        <v>0</v>
      </c>
      <c r="X51" s="2192">
        <v>0</v>
      </c>
      <c r="Y51" s="2193">
        <v>0</v>
      </c>
      <c r="Z51" s="1712"/>
      <c r="AA51" s="2199"/>
      <c r="AB51" s="2200"/>
      <c r="AC51" s="2204"/>
      <c r="AD51" s="2204"/>
      <c r="AE51" s="2107"/>
      <c r="AF51" s="74"/>
      <c r="AG51" s="98" t="s">
        <v>13385</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13386</v>
      </c>
      <c r="C52" s="2174"/>
      <c r="D52" s="2107"/>
      <c r="E52" s="1712"/>
      <c r="F52" s="2105">
        <v>0</v>
      </c>
      <c r="G52" s="2106">
        <v>0</v>
      </c>
      <c r="H52" s="2106">
        <v>0</v>
      </c>
      <c r="I52" s="2106">
        <v>0</v>
      </c>
      <c r="J52" s="2106">
        <v>0</v>
      </c>
      <c r="K52" s="2107">
        <v>0</v>
      </c>
      <c r="L52" s="1712"/>
      <c r="M52" s="2105">
        <v>0</v>
      </c>
      <c r="N52" s="2106">
        <v>0</v>
      </c>
      <c r="O52" s="2106">
        <v>0</v>
      </c>
      <c r="P52" s="2106">
        <v>0</v>
      </c>
      <c r="Q52" s="2106">
        <v>0</v>
      </c>
      <c r="R52" s="2107">
        <v>0</v>
      </c>
      <c r="S52" s="1712"/>
      <c r="T52" s="2191">
        <v>0</v>
      </c>
      <c r="U52" s="2192">
        <v>0</v>
      </c>
      <c r="V52" s="2192">
        <v>0</v>
      </c>
      <c r="W52" s="2192">
        <v>0</v>
      </c>
      <c r="X52" s="2192">
        <v>0</v>
      </c>
      <c r="Y52" s="2193">
        <v>0</v>
      </c>
      <c r="Z52" s="1712"/>
      <c r="AA52" s="2199"/>
      <c r="AB52" s="2200"/>
      <c r="AC52" s="2204"/>
      <c r="AD52" s="2204"/>
      <c r="AE52" s="2107"/>
      <c r="AF52" s="74"/>
      <c r="AG52" s="98" t="s">
        <v>13387</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13388</v>
      </c>
      <c r="C53" s="2174"/>
      <c r="D53" s="2107"/>
      <c r="E53" s="1712"/>
      <c r="F53" s="2105">
        <v>0</v>
      </c>
      <c r="G53" s="2106">
        <v>0</v>
      </c>
      <c r="H53" s="2106">
        <v>0</v>
      </c>
      <c r="I53" s="2106">
        <v>0</v>
      </c>
      <c r="J53" s="2106">
        <v>0</v>
      </c>
      <c r="K53" s="2107">
        <v>0</v>
      </c>
      <c r="L53" s="1712"/>
      <c r="M53" s="2105">
        <v>0</v>
      </c>
      <c r="N53" s="2106">
        <v>0</v>
      </c>
      <c r="O53" s="2106">
        <v>0</v>
      </c>
      <c r="P53" s="2106">
        <v>0</v>
      </c>
      <c r="Q53" s="2106">
        <v>0</v>
      </c>
      <c r="R53" s="2107">
        <v>0</v>
      </c>
      <c r="S53" s="1712"/>
      <c r="T53" s="2191">
        <v>0</v>
      </c>
      <c r="U53" s="2192">
        <v>0</v>
      </c>
      <c r="V53" s="2192">
        <v>0</v>
      </c>
      <c r="W53" s="2192">
        <v>0</v>
      </c>
      <c r="X53" s="2192">
        <v>0</v>
      </c>
      <c r="Y53" s="2193">
        <v>0</v>
      </c>
      <c r="Z53" s="1712"/>
      <c r="AA53" s="2199"/>
      <c r="AB53" s="2200"/>
      <c r="AC53" s="2204"/>
      <c r="AD53" s="2204"/>
      <c r="AE53" s="2107"/>
      <c r="AF53" s="74"/>
      <c r="AG53" s="98" t="s">
        <v>13389</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13390</v>
      </c>
      <c r="C54" s="2174"/>
      <c r="D54" s="2107"/>
      <c r="E54" s="1712"/>
      <c r="F54" s="2105">
        <v>0</v>
      </c>
      <c r="G54" s="2106">
        <v>0</v>
      </c>
      <c r="H54" s="2106">
        <v>0</v>
      </c>
      <c r="I54" s="2106">
        <v>0</v>
      </c>
      <c r="J54" s="2106">
        <v>0</v>
      </c>
      <c r="K54" s="2107">
        <v>0</v>
      </c>
      <c r="L54" s="1712"/>
      <c r="M54" s="2105">
        <v>0</v>
      </c>
      <c r="N54" s="2106">
        <v>0</v>
      </c>
      <c r="O54" s="2106">
        <v>0</v>
      </c>
      <c r="P54" s="2106">
        <v>0</v>
      </c>
      <c r="Q54" s="2106">
        <v>0</v>
      </c>
      <c r="R54" s="2107">
        <v>0</v>
      </c>
      <c r="S54" s="1712"/>
      <c r="T54" s="2191">
        <v>0</v>
      </c>
      <c r="U54" s="2192">
        <v>0</v>
      </c>
      <c r="V54" s="2192">
        <v>0</v>
      </c>
      <c r="W54" s="2192">
        <v>0</v>
      </c>
      <c r="X54" s="2192">
        <v>0</v>
      </c>
      <c r="Y54" s="2193">
        <v>0</v>
      </c>
      <c r="Z54" s="1712"/>
      <c r="AA54" s="2199"/>
      <c r="AB54" s="2200"/>
      <c r="AC54" s="2204"/>
      <c r="AD54" s="2204"/>
      <c r="AE54" s="2107"/>
      <c r="AF54" s="74"/>
      <c r="AG54" s="98" t="s">
        <v>13391</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13392</v>
      </c>
      <c r="C55" s="2174"/>
      <c r="D55" s="2107"/>
      <c r="E55" s="1712"/>
      <c r="F55" s="2105">
        <v>0</v>
      </c>
      <c r="G55" s="2106">
        <v>0</v>
      </c>
      <c r="H55" s="2106">
        <v>0</v>
      </c>
      <c r="I55" s="2106">
        <v>0</v>
      </c>
      <c r="J55" s="2106">
        <v>0</v>
      </c>
      <c r="K55" s="2107">
        <v>0</v>
      </c>
      <c r="L55" s="1712"/>
      <c r="M55" s="2105">
        <v>0</v>
      </c>
      <c r="N55" s="2106">
        <v>0</v>
      </c>
      <c r="O55" s="2106">
        <v>0</v>
      </c>
      <c r="P55" s="2106">
        <v>0</v>
      </c>
      <c r="Q55" s="2106">
        <v>0</v>
      </c>
      <c r="R55" s="2107">
        <v>0</v>
      </c>
      <c r="S55" s="1712"/>
      <c r="T55" s="2191">
        <v>0</v>
      </c>
      <c r="U55" s="2192">
        <v>0</v>
      </c>
      <c r="V55" s="2192">
        <v>0</v>
      </c>
      <c r="W55" s="2192">
        <v>0</v>
      </c>
      <c r="X55" s="2192">
        <v>0</v>
      </c>
      <c r="Y55" s="2193">
        <v>0</v>
      </c>
      <c r="Z55" s="1712"/>
      <c r="AA55" s="2199"/>
      <c r="AB55" s="2200"/>
      <c r="AC55" s="2204"/>
      <c r="AD55" s="2204"/>
      <c r="AE55" s="2107"/>
      <c r="AF55" s="74"/>
      <c r="AG55" s="98" t="s">
        <v>13393</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13394</v>
      </c>
      <c r="C56" s="2174"/>
      <c r="D56" s="2107"/>
      <c r="E56" s="1712"/>
      <c r="F56" s="2105">
        <v>0</v>
      </c>
      <c r="G56" s="2106">
        <v>0</v>
      </c>
      <c r="H56" s="2106">
        <v>0</v>
      </c>
      <c r="I56" s="2106">
        <v>0</v>
      </c>
      <c r="J56" s="2106">
        <v>0</v>
      </c>
      <c r="K56" s="2107">
        <v>0</v>
      </c>
      <c r="L56" s="1712"/>
      <c r="M56" s="2105">
        <v>0</v>
      </c>
      <c r="N56" s="2106">
        <v>0</v>
      </c>
      <c r="O56" s="2106">
        <v>0</v>
      </c>
      <c r="P56" s="2106">
        <v>0</v>
      </c>
      <c r="Q56" s="2106">
        <v>0</v>
      </c>
      <c r="R56" s="2107">
        <v>0</v>
      </c>
      <c r="S56" s="1712"/>
      <c r="T56" s="2191">
        <v>0</v>
      </c>
      <c r="U56" s="2192">
        <v>0</v>
      </c>
      <c r="V56" s="2192">
        <v>0</v>
      </c>
      <c r="W56" s="2192">
        <v>0</v>
      </c>
      <c r="X56" s="2192">
        <v>0</v>
      </c>
      <c r="Y56" s="2193">
        <v>0</v>
      </c>
      <c r="Z56" s="1712"/>
      <c r="AA56" s="2199"/>
      <c r="AB56" s="2200"/>
      <c r="AC56" s="2204"/>
      <c r="AD56" s="2204"/>
      <c r="AE56" s="2107"/>
      <c r="AF56" s="74"/>
      <c r="AG56" s="98" t="s">
        <v>13395</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13396</v>
      </c>
      <c r="C57" s="2174"/>
      <c r="D57" s="2107"/>
      <c r="E57" s="1712"/>
      <c r="F57" s="2105">
        <v>0</v>
      </c>
      <c r="G57" s="2106">
        <v>0</v>
      </c>
      <c r="H57" s="2106">
        <v>0</v>
      </c>
      <c r="I57" s="2106">
        <v>0</v>
      </c>
      <c r="J57" s="2106">
        <v>0</v>
      </c>
      <c r="K57" s="2107">
        <v>0</v>
      </c>
      <c r="L57" s="1712"/>
      <c r="M57" s="2105">
        <v>0</v>
      </c>
      <c r="N57" s="2106">
        <v>0</v>
      </c>
      <c r="O57" s="2106">
        <v>0</v>
      </c>
      <c r="P57" s="2106">
        <v>0</v>
      </c>
      <c r="Q57" s="2106">
        <v>0</v>
      </c>
      <c r="R57" s="2107">
        <v>0</v>
      </c>
      <c r="S57" s="1712"/>
      <c r="T57" s="2191">
        <v>0</v>
      </c>
      <c r="U57" s="2192">
        <v>0</v>
      </c>
      <c r="V57" s="2192">
        <v>0</v>
      </c>
      <c r="W57" s="2192">
        <v>0</v>
      </c>
      <c r="X57" s="2192">
        <v>0</v>
      </c>
      <c r="Y57" s="2193">
        <v>0</v>
      </c>
      <c r="Z57" s="1712"/>
      <c r="AA57" s="2199"/>
      <c r="AB57" s="2200"/>
      <c r="AC57" s="2204"/>
      <c r="AD57" s="2204"/>
      <c r="AE57" s="2107"/>
      <c r="AF57" s="74"/>
      <c r="AG57" s="98" t="s">
        <v>13397</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13398</v>
      </c>
      <c r="C58" s="2174"/>
      <c r="D58" s="2107"/>
      <c r="E58" s="1712"/>
      <c r="F58" s="2105">
        <v>0</v>
      </c>
      <c r="G58" s="2106">
        <v>0</v>
      </c>
      <c r="H58" s="2106">
        <v>0</v>
      </c>
      <c r="I58" s="2106">
        <v>0</v>
      </c>
      <c r="J58" s="2106">
        <v>0</v>
      </c>
      <c r="K58" s="2107">
        <v>0</v>
      </c>
      <c r="L58" s="1712"/>
      <c r="M58" s="2105">
        <v>0</v>
      </c>
      <c r="N58" s="2106">
        <v>0</v>
      </c>
      <c r="O58" s="2106">
        <v>0</v>
      </c>
      <c r="P58" s="2106">
        <v>0</v>
      </c>
      <c r="Q58" s="2106">
        <v>0</v>
      </c>
      <c r="R58" s="2107">
        <v>0</v>
      </c>
      <c r="S58" s="1712"/>
      <c r="T58" s="2191">
        <v>0</v>
      </c>
      <c r="U58" s="2192">
        <v>0</v>
      </c>
      <c r="V58" s="2192">
        <v>0</v>
      </c>
      <c r="W58" s="2192">
        <v>0</v>
      </c>
      <c r="X58" s="2192">
        <v>0</v>
      </c>
      <c r="Y58" s="2193">
        <v>0</v>
      </c>
      <c r="Z58" s="1712"/>
      <c r="AA58" s="2199"/>
      <c r="AB58" s="2200"/>
      <c r="AC58" s="2204"/>
      <c r="AD58" s="2204"/>
      <c r="AE58" s="2107"/>
      <c r="AF58" s="74"/>
      <c r="AG58" s="98" t="s">
        <v>13399</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13400</v>
      </c>
      <c r="C59" s="2174"/>
      <c r="D59" s="2107"/>
      <c r="E59" s="1712"/>
      <c r="F59" s="2105">
        <v>0</v>
      </c>
      <c r="G59" s="2106">
        <v>0</v>
      </c>
      <c r="H59" s="2106">
        <v>0</v>
      </c>
      <c r="I59" s="2106">
        <v>0</v>
      </c>
      <c r="J59" s="2106">
        <v>0</v>
      </c>
      <c r="K59" s="2107">
        <v>0</v>
      </c>
      <c r="L59" s="1712"/>
      <c r="M59" s="2105">
        <v>0</v>
      </c>
      <c r="N59" s="2106">
        <v>0</v>
      </c>
      <c r="O59" s="2106">
        <v>0</v>
      </c>
      <c r="P59" s="2106">
        <v>0</v>
      </c>
      <c r="Q59" s="2106">
        <v>0</v>
      </c>
      <c r="R59" s="2107">
        <v>0</v>
      </c>
      <c r="S59" s="1712"/>
      <c r="T59" s="2191">
        <v>0</v>
      </c>
      <c r="U59" s="2192">
        <v>0</v>
      </c>
      <c r="V59" s="2192">
        <v>0</v>
      </c>
      <c r="W59" s="2192">
        <v>0</v>
      </c>
      <c r="X59" s="2192">
        <v>0</v>
      </c>
      <c r="Y59" s="2193">
        <v>0</v>
      </c>
      <c r="Z59" s="1712"/>
      <c r="AA59" s="2199"/>
      <c r="AB59" s="2200"/>
      <c r="AC59" s="2204"/>
      <c r="AD59" s="2204"/>
      <c r="AE59" s="2107"/>
      <c r="AF59" s="74"/>
      <c r="AG59" s="98" t="s">
        <v>13401</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13402</v>
      </c>
      <c r="C60" s="2174"/>
      <c r="D60" s="2107"/>
      <c r="E60" s="1712"/>
      <c r="F60" s="2105">
        <v>0</v>
      </c>
      <c r="G60" s="2106">
        <v>0</v>
      </c>
      <c r="H60" s="2106">
        <v>0</v>
      </c>
      <c r="I60" s="2106">
        <v>0</v>
      </c>
      <c r="J60" s="2106">
        <v>0</v>
      </c>
      <c r="K60" s="2107">
        <v>0</v>
      </c>
      <c r="L60" s="1712"/>
      <c r="M60" s="2105">
        <v>0</v>
      </c>
      <c r="N60" s="2106">
        <v>0</v>
      </c>
      <c r="O60" s="2106">
        <v>0</v>
      </c>
      <c r="P60" s="2106">
        <v>0</v>
      </c>
      <c r="Q60" s="2106">
        <v>0</v>
      </c>
      <c r="R60" s="2107">
        <v>0</v>
      </c>
      <c r="S60" s="1712"/>
      <c r="T60" s="2191">
        <v>0</v>
      </c>
      <c r="U60" s="2192">
        <v>0</v>
      </c>
      <c r="V60" s="2192">
        <v>0</v>
      </c>
      <c r="W60" s="2192">
        <v>0</v>
      </c>
      <c r="X60" s="2192">
        <v>0</v>
      </c>
      <c r="Y60" s="2193">
        <v>0</v>
      </c>
      <c r="Z60" s="1712"/>
      <c r="AA60" s="2199"/>
      <c r="AB60" s="2200"/>
      <c r="AC60" s="2204"/>
      <c r="AD60" s="2204"/>
      <c r="AE60" s="2107"/>
      <c r="AF60" s="74"/>
      <c r="AG60" s="98" t="s">
        <v>13403</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13404</v>
      </c>
      <c r="C61" s="2174"/>
      <c r="D61" s="2107"/>
      <c r="E61" s="1712"/>
      <c r="F61" s="2105">
        <v>0</v>
      </c>
      <c r="G61" s="2106">
        <v>0</v>
      </c>
      <c r="H61" s="2106">
        <v>0</v>
      </c>
      <c r="I61" s="2106">
        <v>0</v>
      </c>
      <c r="J61" s="2106">
        <v>0</v>
      </c>
      <c r="K61" s="2107">
        <v>0</v>
      </c>
      <c r="L61" s="1712"/>
      <c r="M61" s="2105">
        <v>0</v>
      </c>
      <c r="N61" s="2106">
        <v>0</v>
      </c>
      <c r="O61" s="2106">
        <v>0</v>
      </c>
      <c r="P61" s="2106">
        <v>0</v>
      </c>
      <c r="Q61" s="2106">
        <v>0</v>
      </c>
      <c r="R61" s="2107">
        <v>0</v>
      </c>
      <c r="S61" s="1712"/>
      <c r="T61" s="2191">
        <v>0</v>
      </c>
      <c r="U61" s="2192">
        <v>0</v>
      </c>
      <c r="V61" s="2192">
        <v>0</v>
      </c>
      <c r="W61" s="2192">
        <v>0</v>
      </c>
      <c r="X61" s="2192">
        <v>0</v>
      </c>
      <c r="Y61" s="2193">
        <v>0</v>
      </c>
      <c r="Z61" s="1712"/>
      <c r="AA61" s="2199"/>
      <c r="AB61" s="2200"/>
      <c r="AC61" s="2204"/>
      <c r="AD61" s="2204"/>
      <c r="AE61" s="2107"/>
      <c r="AF61" s="74"/>
      <c r="AG61" s="98" t="s">
        <v>13405</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4425</v>
      </c>
      <c r="C62" s="2175"/>
      <c r="D62" s="1713"/>
      <c r="E62" s="1712"/>
      <c r="F62" s="1714">
        <f>IFERROR(SUM(F12:F61),0)</f>
        <v>2.5739999999999998</v>
      </c>
      <c r="G62" s="1715">
        <f t="shared" ref="G62:K62" si="24">IFERROR(SUM(G12:G61),0)</f>
        <v>4.3149999999999995</v>
      </c>
      <c r="H62" s="1715">
        <f t="shared" si="24"/>
        <v>7.136000000000001</v>
      </c>
      <c r="I62" s="1715">
        <f t="shared" si="24"/>
        <v>6.3360000000000012</v>
      </c>
      <c r="J62" s="1715">
        <f t="shared" si="24"/>
        <v>7.2430000000000003</v>
      </c>
      <c r="K62" s="1716">
        <f t="shared" si="24"/>
        <v>0</v>
      </c>
      <c r="L62" s="1712"/>
      <c r="M62" s="1714">
        <f t="shared" ref="M62:R62" si="25">IFERROR(SUM(M12:M61),0)</f>
        <v>0</v>
      </c>
      <c r="N62" s="1715">
        <f t="shared" si="25"/>
        <v>0</v>
      </c>
      <c r="O62" s="1715">
        <f t="shared" si="25"/>
        <v>0</v>
      </c>
      <c r="P62" s="1715">
        <f t="shared" si="25"/>
        <v>3.1E-2</v>
      </c>
      <c r="Q62" s="1715">
        <f t="shared" si="25"/>
        <v>3.1E-2</v>
      </c>
      <c r="R62" s="1716">
        <f t="shared" si="25"/>
        <v>3.1E-2</v>
      </c>
      <c r="S62" s="1712"/>
      <c r="T62" s="2194">
        <f>IFERROR(SUM(T12:T61),0)</f>
        <v>0.01</v>
      </c>
      <c r="U62" s="2195">
        <f t="shared" ref="U62:Y62" si="26">IFERROR(SUM(U12:U61),0)</f>
        <v>0.44</v>
      </c>
      <c r="V62" s="2195">
        <f t="shared" si="26"/>
        <v>1.22</v>
      </c>
      <c r="W62" s="2195">
        <f t="shared" si="26"/>
        <v>19.600000000000001</v>
      </c>
      <c r="X62" s="2195">
        <f t="shared" si="26"/>
        <v>20.380000000000003</v>
      </c>
      <c r="Y62" s="2196">
        <f t="shared" si="26"/>
        <v>21.160000000000004</v>
      </c>
      <c r="Z62" s="1712"/>
      <c r="AA62" s="2201">
        <f>IFERROR(SUM(AA12:AA61),0)</f>
        <v>0</v>
      </c>
      <c r="AB62" s="2202"/>
      <c r="AC62" s="2205"/>
      <c r="AD62" s="2206">
        <f>IFERROR(SUM(AD12:AD61),0)</f>
        <v>0</v>
      </c>
      <c r="AE62" s="1716">
        <f>IFERROR(SUM(AE12:AE61),0)</f>
        <v>0</v>
      </c>
      <c r="AF62" s="74"/>
      <c r="AG62" s="98" t="s">
        <v>13406</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4"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A3" zoomScale="80" zoomScaleNormal="80" zoomScaleSheetLayoutView="100" workbookViewId="0">
      <selection activeCell="I12" sqref="I12"/>
    </sheetView>
  </sheetViews>
  <sheetFormatPr defaultColWidth="9" defaultRowHeight="15.6"/>
  <cols>
    <col min="1" max="1" width="1.59765625" style="224" customWidth="1"/>
    <col min="2" max="2" width="75.69921875" style="224" bestFit="1" customWidth="1"/>
    <col min="3" max="3" width="5.5" style="224" bestFit="1" customWidth="1"/>
    <col min="4" max="4" width="4.5" style="224" customWidth="1"/>
    <col min="5" max="5" width="11.09765625" style="1312" bestFit="1" customWidth="1"/>
    <col min="6" max="6" width="1.59765625" style="224" customWidth="1"/>
    <col min="7" max="7" width="10.19921875" style="224" bestFit="1" customWidth="1"/>
    <col min="8" max="8" width="1.59765625" style="260" customWidth="1"/>
    <col min="9" max="9" width="31.09765625" style="260" bestFit="1" customWidth="1"/>
    <col min="10" max="10" width="1.59765625" style="260" customWidth="1"/>
    <col min="11" max="11" width="1.59765625" style="219" customWidth="1"/>
    <col min="12" max="12" width="20.19921875" style="219" bestFit="1" customWidth="1"/>
    <col min="13" max="13" width="1.59765625" style="219" customWidth="1"/>
    <col min="14" max="14" width="19.69921875" style="219" hidden="1" customWidth="1"/>
    <col min="15" max="15" width="1.59765625" style="219" hidden="1" customWidth="1"/>
    <col min="16" max="16" width="1.59765625" style="224" customWidth="1"/>
    <col min="17" max="17" width="49" style="224" bestFit="1" customWidth="1"/>
    <col min="18" max="18" width="15.59765625" style="224" bestFit="1" customWidth="1"/>
    <col min="19" max="19" width="1.59765625" style="224" customWidth="1"/>
    <col min="20" max="16384" width="9" style="224"/>
  </cols>
  <sheetData>
    <row r="1" spans="2:20" s="389" customFormat="1" ht="30" customHeight="1">
      <c r="B1" s="1229" t="s">
        <v>13407</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Dŵr Cymru</v>
      </c>
      <c r="C2" s="529"/>
      <c r="D2" s="529"/>
      <c r="E2" s="529"/>
      <c r="F2" s="529"/>
      <c r="G2" s="1306"/>
      <c r="H2" s="582"/>
      <c r="I2" s="582"/>
      <c r="J2" s="582"/>
      <c r="K2" s="238"/>
      <c r="L2" s="219"/>
      <c r="M2" s="238"/>
      <c r="N2" s="219"/>
      <c r="O2" s="238"/>
      <c r="Q2" s="1229"/>
      <c r="R2" s="529"/>
      <c r="T2" s="219"/>
    </row>
    <row r="3" spans="2:20" ht="45" customHeight="1">
      <c r="B3" s="2829" t="s">
        <v>13408</v>
      </c>
      <c r="C3" s="2829"/>
      <c r="D3" s="2829"/>
      <c r="E3" s="2829"/>
      <c r="F3" s="2829"/>
      <c r="G3" s="2829"/>
      <c r="H3" s="2829"/>
      <c r="I3" s="2829"/>
      <c r="K3" s="238"/>
      <c r="L3" s="1240" t="s">
        <v>4200</v>
      </c>
      <c r="M3" s="238"/>
      <c r="O3" s="238"/>
      <c r="Q3" s="2829" t="s">
        <v>13408</v>
      </c>
      <c r="R3" s="2829"/>
      <c r="T3" s="219"/>
    </row>
    <row r="4" spans="2:20" ht="15" customHeight="1" thickBot="1">
      <c r="B4" s="690"/>
      <c r="C4" s="690"/>
      <c r="D4" s="690"/>
      <c r="E4" s="690"/>
      <c r="F4" s="908"/>
      <c r="G4" s="1307"/>
      <c r="K4" s="238"/>
      <c r="M4" s="238"/>
      <c r="N4" s="240" t="s">
        <v>4201</v>
      </c>
      <c r="O4" s="238"/>
      <c r="Q4" s="690"/>
      <c r="R4" s="690"/>
      <c r="T4" s="219"/>
    </row>
    <row r="5" spans="2:20" s="197" customFormat="1" ht="46.2" thickTop="1" thickBot="1">
      <c r="B5" s="445" t="s">
        <v>4202</v>
      </c>
      <c r="C5" s="446" t="s">
        <v>4203</v>
      </c>
      <c r="D5" s="446" t="s">
        <v>4204</v>
      </c>
      <c r="E5" s="447" t="s">
        <v>13409</v>
      </c>
      <c r="F5" s="731"/>
      <c r="G5" s="449" t="s">
        <v>4208</v>
      </c>
      <c r="I5" s="449" t="s">
        <v>4209</v>
      </c>
      <c r="K5" s="238"/>
      <c r="L5" s="219"/>
      <c r="M5" s="238"/>
      <c r="N5" s="269" t="s">
        <v>4210</v>
      </c>
      <c r="O5" s="238"/>
      <c r="Q5" s="445" t="s">
        <v>4202</v>
      </c>
      <c r="R5" s="447" t="s">
        <v>13409</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13410</v>
      </c>
      <c r="C7" s="242"/>
      <c r="D7" s="242"/>
      <c r="E7" s="482"/>
      <c r="F7" s="106"/>
      <c r="G7" s="582"/>
      <c r="K7" s="238"/>
      <c r="L7" s="219"/>
      <c r="M7" s="238"/>
      <c r="N7" s="219"/>
      <c r="O7" s="238"/>
      <c r="Q7" s="393" t="s">
        <v>13410</v>
      </c>
      <c r="R7" s="482"/>
      <c r="T7" s="219"/>
    </row>
    <row r="8" spans="2:20" s="197" customFormat="1" ht="15.75" customHeight="1" thickTop="1">
      <c r="B8" s="451" t="s">
        <v>13411</v>
      </c>
      <c r="C8" s="277" t="s">
        <v>5981</v>
      </c>
      <c r="D8" s="277">
        <v>3</v>
      </c>
      <c r="E8" s="717">
        <v>7729.4859999999999</v>
      </c>
      <c r="F8" s="106"/>
      <c r="G8" s="1040" t="s">
        <v>13412</v>
      </c>
      <c r="I8" s="283"/>
      <c r="K8" s="238"/>
      <c r="L8" s="1232">
        <f t="shared" ref="L8:L13" si="0">IF( SUM( N8:N8 ) = 0, 0, $N$5 )</f>
        <v>0</v>
      </c>
      <c r="M8" s="238"/>
      <c r="N8" s="285">
        <f xml:space="preserve"> IF( ISNUMBER(E8 ), 0, 1 )</f>
        <v>0</v>
      </c>
      <c r="O8" s="238"/>
      <c r="Q8" s="451" t="s">
        <v>13411</v>
      </c>
      <c r="R8" s="717" t="s">
        <v>13413</v>
      </c>
      <c r="T8" s="219"/>
    </row>
    <row r="9" spans="2:20" s="197" customFormat="1" ht="15.75" customHeight="1">
      <c r="B9" s="460" t="s">
        <v>13414</v>
      </c>
      <c r="C9" s="286" t="s">
        <v>5981</v>
      </c>
      <c r="D9" s="286">
        <v>3</v>
      </c>
      <c r="E9" s="405">
        <v>2441.7240000000002</v>
      </c>
      <c r="F9" s="106"/>
      <c r="G9" s="1041" t="s">
        <v>13415</v>
      </c>
      <c r="I9" s="291"/>
      <c r="K9" s="238"/>
      <c r="L9" s="1232">
        <f t="shared" si="0"/>
        <v>0</v>
      </c>
      <c r="M9" s="238"/>
      <c r="N9" s="285">
        <f t="shared" ref="N9:N13" si="1" xml:space="preserve"> IF( ISNUMBER(E9 ), 0, 1 )</f>
        <v>0</v>
      </c>
      <c r="O9" s="238"/>
      <c r="Q9" s="460" t="s">
        <v>13414</v>
      </c>
      <c r="R9" s="405" t="s">
        <v>13416</v>
      </c>
      <c r="T9" s="219"/>
    </row>
    <row r="10" spans="2:20" s="197" customFormat="1" ht="15.75" customHeight="1">
      <c r="B10" s="460" t="s">
        <v>13417</v>
      </c>
      <c r="C10" s="286" t="s">
        <v>5981</v>
      </c>
      <c r="D10" s="286">
        <v>3</v>
      </c>
      <c r="E10" s="405">
        <v>5891.9110000000001</v>
      </c>
      <c r="F10" s="106"/>
      <c r="G10" s="1041" t="s">
        <v>13418</v>
      </c>
      <c r="I10" s="291"/>
      <c r="K10" s="238"/>
      <c r="L10" s="1232">
        <f t="shared" si="0"/>
        <v>0</v>
      </c>
      <c r="M10" s="238"/>
      <c r="N10" s="285">
        <f t="shared" si="1"/>
        <v>0</v>
      </c>
      <c r="O10" s="238"/>
      <c r="Q10" s="460" t="s">
        <v>13417</v>
      </c>
      <c r="R10" s="405" t="s">
        <v>13419</v>
      </c>
      <c r="T10" s="219"/>
    </row>
    <row r="11" spans="2:20" s="197" customFormat="1" ht="15.75" customHeight="1">
      <c r="B11" s="460" t="s">
        <v>13420</v>
      </c>
      <c r="C11" s="286" t="s">
        <v>5981</v>
      </c>
      <c r="D11" s="286">
        <v>3</v>
      </c>
      <c r="E11" s="405">
        <v>8988.3150000000005</v>
      </c>
      <c r="F11" s="106"/>
      <c r="G11" s="1041" t="s">
        <v>13421</v>
      </c>
      <c r="I11" s="291"/>
      <c r="K11" s="238"/>
      <c r="L11" s="1232">
        <f t="shared" si="0"/>
        <v>0</v>
      </c>
      <c r="M11" s="238"/>
      <c r="N11" s="285">
        <f t="shared" si="1"/>
        <v>0</v>
      </c>
      <c r="O11" s="238"/>
      <c r="Q11" s="460" t="s">
        <v>13420</v>
      </c>
      <c r="R11" s="405" t="s">
        <v>13422</v>
      </c>
      <c r="T11" s="219"/>
    </row>
    <row r="12" spans="2:20" s="197" customFormat="1" ht="15.75" customHeight="1">
      <c r="B12" s="460" t="s">
        <v>13423</v>
      </c>
      <c r="C12" s="286" t="s">
        <v>5981</v>
      </c>
      <c r="D12" s="286">
        <v>3</v>
      </c>
      <c r="E12" s="405">
        <v>8722.7090000000007</v>
      </c>
      <c r="F12" s="106"/>
      <c r="G12" s="1041" t="s">
        <v>13424</v>
      </c>
      <c r="I12" s="291"/>
      <c r="K12" s="238"/>
      <c r="L12" s="1232">
        <f t="shared" si="0"/>
        <v>0</v>
      </c>
      <c r="M12" s="238"/>
      <c r="N12" s="285">
        <f t="shared" si="1"/>
        <v>0</v>
      </c>
      <c r="O12" s="238"/>
      <c r="Q12" s="460" t="s">
        <v>13423</v>
      </c>
      <c r="R12" s="405" t="s">
        <v>13425</v>
      </c>
      <c r="T12" s="219"/>
    </row>
    <row r="13" spans="2:20" s="197" customFormat="1" ht="15.75" customHeight="1">
      <c r="B13" s="460" t="s">
        <v>13426</v>
      </c>
      <c r="C13" s="286" t="s">
        <v>5981</v>
      </c>
      <c r="D13" s="286">
        <v>3</v>
      </c>
      <c r="E13" s="405">
        <v>4437.3819999999996</v>
      </c>
      <c r="F13" s="106"/>
      <c r="G13" s="1041" t="s">
        <v>13427</v>
      </c>
      <c r="I13" s="291"/>
      <c r="K13" s="238"/>
      <c r="L13" s="1232">
        <f t="shared" si="0"/>
        <v>0</v>
      </c>
      <c r="M13" s="238"/>
      <c r="N13" s="285">
        <f t="shared" si="1"/>
        <v>0</v>
      </c>
      <c r="O13" s="238"/>
      <c r="Q13" s="460" t="s">
        <v>13426</v>
      </c>
      <c r="R13" s="405" t="s">
        <v>13428</v>
      </c>
      <c r="T13" s="219"/>
    </row>
    <row r="14" spans="2:20" s="197" customFormat="1" ht="15.75" customHeight="1" thickBot="1">
      <c r="B14" s="463" t="s">
        <v>13429</v>
      </c>
      <c r="C14" s="355" t="s">
        <v>5981</v>
      </c>
      <c r="D14" s="355">
        <v>3</v>
      </c>
      <c r="E14" s="299">
        <f>IFERROR(SUM(E8:E13),0)</f>
        <v>38211.527000000002</v>
      </c>
      <c r="F14" s="106"/>
      <c r="G14" s="1043" t="s">
        <v>13430</v>
      </c>
      <c r="I14" s="302"/>
      <c r="K14" s="238"/>
      <c r="L14" s="219"/>
      <c r="M14" s="238"/>
      <c r="N14" s="219"/>
      <c r="O14" s="238"/>
      <c r="Q14" s="463" t="s">
        <v>13431</v>
      </c>
      <c r="R14" s="299" t="s">
        <v>13432</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13433</v>
      </c>
      <c r="C16" s="1309"/>
      <c r="D16" s="1309"/>
      <c r="E16" s="316"/>
      <c r="F16" s="106"/>
      <c r="G16" s="582"/>
      <c r="K16" s="238"/>
      <c r="L16" s="219"/>
      <c r="M16" s="238"/>
      <c r="N16" s="219"/>
      <c r="O16" s="238"/>
      <c r="Q16" s="393" t="s">
        <v>13433</v>
      </c>
      <c r="R16" s="316"/>
      <c r="T16" s="219"/>
    </row>
    <row r="17" spans="1:20" s="197" customFormat="1" ht="15.75" customHeight="1" thickTop="1">
      <c r="B17" s="451" t="s">
        <v>13434</v>
      </c>
      <c r="C17" s="277" t="s">
        <v>5981</v>
      </c>
      <c r="D17" s="277">
        <v>3</v>
      </c>
      <c r="E17" s="1310">
        <f>IFERROR('7B'!CG22,0)</f>
        <v>696.87100000000009</v>
      </c>
      <c r="F17" s="106"/>
      <c r="G17" s="1040" t="s">
        <v>13435</v>
      </c>
      <c r="I17" s="283"/>
      <c r="K17" s="238"/>
      <c r="L17" s="219"/>
      <c r="M17" s="238"/>
      <c r="N17" s="219"/>
      <c r="O17" s="238"/>
      <c r="Q17" s="451" t="s">
        <v>13434</v>
      </c>
      <c r="R17" s="1310" t="s">
        <v>13436</v>
      </c>
      <c r="T17" s="219"/>
    </row>
    <row r="18" spans="1:20" s="197" customFormat="1" ht="15.75" customHeight="1">
      <c r="B18" s="460" t="s">
        <v>13437</v>
      </c>
      <c r="C18" s="286" t="s">
        <v>5981</v>
      </c>
      <c r="D18" s="286">
        <v>3</v>
      </c>
      <c r="E18" s="400">
        <f>IFERROR('7B'!CG23,0)</f>
        <v>5194.2840000000006</v>
      </c>
      <c r="F18" s="106"/>
      <c r="G18" s="1041" t="s">
        <v>13438</v>
      </c>
      <c r="I18" s="291"/>
      <c r="K18" s="238"/>
      <c r="L18" s="219"/>
      <c r="M18" s="238"/>
      <c r="N18" s="219"/>
      <c r="O18" s="238"/>
      <c r="Q18" s="460" t="s">
        <v>13437</v>
      </c>
      <c r="R18" s="400" t="s">
        <v>13439</v>
      </c>
      <c r="T18" s="219"/>
    </row>
    <row r="19" spans="1:20" s="197" customFormat="1" ht="15.75" customHeight="1">
      <c r="B19" s="460" t="s">
        <v>13440</v>
      </c>
      <c r="C19" s="286" t="s">
        <v>5981</v>
      </c>
      <c r="D19" s="286">
        <v>3</v>
      </c>
      <c r="E19" s="400">
        <f>IFERROR('7B'!CG24,0)</f>
        <v>28596.276000000005</v>
      </c>
      <c r="F19" s="106"/>
      <c r="G19" s="1041" t="s">
        <v>13441</v>
      </c>
      <c r="I19" s="291"/>
      <c r="K19" s="238"/>
      <c r="L19" s="219"/>
      <c r="M19" s="238"/>
      <c r="N19" s="219"/>
      <c r="O19" s="238"/>
      <c r="Q19" s="460" t="s">
        <v>13440</v>
      </c>
      <c r="R19" s="400" t="s">
        <v>13442</v>
      </c>
      <c r="T19" s="219"/>
    </row>
    <row r="20" spans="1:20" s="197" customFormat="1" ht="15.75" customHeight="1">
      <c r="B20" s="460" t="s">
        <v>13443</v>
      </c>
      <c r="C20" s="286" t="s">
        <v>5981</v>
      </c>
      <c r="D20" s="286">
        <v>3</v>
      </c>
      <c r="E20" s="400">
        <f>IFERROR('7B'!CG25,0)</f>
        <v>34487.431000000004</v>
      </c>
      <c r="F20" s="106"/>
      <c r="G20" s="1041" t="s">
        <v>13444</v>
      </c>
      <c r="I20" s="291"/>
      <c r="K20" s="238"/>
      <c r="L20" s="219"/>
      <c r="M20" s="238"/>
      <c r="N20" s="219"/>
      <c r="O20" s="238"/>
      <c r="Q20" s="460" t="s">
        <v>13443</v>
      </c>
      <c r="R20" s="400" t="s">
        <v>13445</v>
      </c>
      <c r="T20" s="219"/>
    </row>
    <row r="21" spans="1:20" s="197" customFormat="1" ht="15.75" customHeight="1">
      <c r="B21" s="460" t="s">
        <v>13446</v>
      </c>
      <c r="C21" s="286" t="s">
        <v>5981</v>
      </c>
      <c r="D21" s="286">
        <v>3</v>
      </c>
      <c r="E21" s="400">
        <f>IFERROR('7B'!CG26,0)</f>
        <v>4322.68</v>
      </c>
      <c r="F21" s="106"/>
      <c r="G21" s="1041" t="s">
        <v>13447</v>
      </c>
      <c r="I21" s="291"/>
      <c r="K21" s="238"/>
      <c r="L21" s="219"/>
      <c r="M21" s="238"/>
      <c r="N21" s="219"/>
      <c r="O21" s="238"/>
      <c r="Q21" s="460" t="s">
        <v>13446</v>
      </c>
      <c r="R21" s="400" t="s">
        <v>13448</v>
      </c>
      <c r="T21" s="219"/>
    </row>
    <row r="22" spans="1:20" s="197" customFormat="1" ht="15.75" customHeight="1" thickBot="1">
      <c r="B22" s="463" t="s">
        <v>13449</v>
      </c>
      <c r="C22" s="355" t="s">
        <v>5981</v>
      </c>
      <c r="D22" s="355">
        <v>3</v>
      </c>
      <c r="E22" s="1311">
        <f>IFERROR('7B'!CG27,0)</f>
        <v>38810.111000000012</v>
      </c>
      <c r="F22" s="106"/>
      <c r="G22" s="1043" t="s">
        <v>13450</v>
      </c>
      <c r="I22" s="302"/>
      <c r="K22" s="238"/>
      <c r="L22" s="219"/>
      <c r="M22" s="238"/>
      <c r="N22" s="219"/>
      <c r="O22" s="238"/>
      <c r="Q22" s="463" t="s">
        <v>13451</v>
      </c>
      <c r="R22" s="1311" t="s">
        <v>13452</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13453</v>
      </c>
      <c r="C24" s="242"/>
      <c r="D24" s="242"/>
      <c r="E24" s="316"/>
      <c r="F24" s="106"/>
      <c r="G24" s="582"/>
      <c r="K24" s="238"/>
      <c r="L24" s="219"/>
      <c r="M24" s="238"/>
      <c r="N24" s="219"/>
      <c r="O24" s="238"/>
      <c r="Q24" s="393" t="s">
        <v>13454</v>
      </c>
      <c r="R24" s="316"/>
    </row>
    <row r="25" spans="1:20" ht="15.75" customHeight="1" thickTop="1" thickBot="1">
      <c r="A25" s="197"/>
      <c r="B25" s="469" t="s">
        <v>13455</v>
      </c>
      <c r="C25" s="371" t="s">
        <v>5981</v>
      </c>
      <c r="D25" s="371">
        <v>3</v>
      </c>
      <c r="E25" s="471">
        <f>IFERROR(E14+E22,0)</f>
        <v>77021.638000000006</v>
      </c>
      <c r="F25" s="106"/>
      <c r="G25" s="1048" t="s">
        <v>13456</v>
      </c>
      <c r="H25" s="197"/>
      <c r="I25" s="375"/>
      <c r="J25" s="197"/>
      <c r="K25" s="238"/>
      <c r="M25" s="238"/>
      <c r="O25" s="238"/>
      <c r="Q25" s="469" t="s">
        <v>13457</v>
      </c>
      <c r="R25" s="471" t="s">
        <v>13458</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CK14" sqref="CK14"/>
    </sheetView>
  </sheetViews>
  <sheetFormatPr defaultColWidth="9.09765625" defaultRowHeight="15.6"/>
  <cols>
    <col min="1" max="1" width="1.59765625" style="224" customWidth="1"/>
    <col min="2" max="2" width="46" style="224" bestFit="1" customWidth="1"/>
    <col min="3" max="3" width="10.09765625" style="224" bestFit="1" customWidth="1"/>
    <col min="4" max="4" width="7.09765625" style="224" customWidth="1"/>
    <col min="5" max="85" width="12.59765625" style="224" customWidth="1"/>
    <col min="86" max="86" width="1.59765625" style="224" customWidth="1"/>
    <col min="87" max="87" width="12.59765625" style="260" customWidth="1"/>
    <col min="88" max="88" width="1.59765625" style="224" customWidth="1"/>
    <col min="89" max="89" width="33.59765625" style="224" customWidth="1"/>
    <col min="90" max="91" width="1.59765625" style="224" customWidth="1"/>
    <col min="92" max="92" width="25.09765625" style="224" customWidth="1"/>
    <col min="93" max="93" width="1.59765625" style="224" customWidth="1"/>
    <col min="94" max="174" width="6.69921875" style="224" hidden="1" customWidth="1"/>
    <col min="175" max="175" width="1.59765625" style="224" hidden="1" customWidth="1"/>
    <col min="176" max="176" width="17.19921875" style="224" customWidth="1"/>
    <col min="177" max="16384" width="9.09765625" style="224"/>
  </cols>
  <sheetData>
    <row r="1" spans="2:177" s="259" customFormat="1" ht="30" customHeight="1">
      <c r="B1" s="1229" t="s">
        <v>13459</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30" t="s">
        <v>13460</v>
      </c>
      <c r="C3" s="2930"/>
      <c r="D3" s="2930"/>
      <c r="E3" s="2930"/>
      <c r="F3" s="2930"/>
      <c r="G3" s="2930"/>
      <c r="H3" s="2930"/>
      <c r="I3" s="2930"/>
      <c r="J3" s="2930"/>
      <c r="K3" s="2930"/>
      <c r="L3" s="2930"/>
      <c r="M3" s="2930"/>
      <c r="N3" s="2930"/>
      <c r="O3" s="2930"/>
      <c r="P3" s="2930"/>
      <c r="Q3" s="2930"/>
      <c r="R3" s="2930"/>
      <c r="S3" s="2930"/>
      <c r="T3" s="2930"/>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399999999999999"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2"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17" t="s">
        <v>4201</v>
      </c>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13461</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43.95" customHeight="1" thickTop="1">
      <c r="B8" s="451" t="s">
        <v>13462</v>
      </c>
      <c r="C8" s="277" t="s">
        <v>13463</v>
      </c>
      <c r="D8" s="277">
        <v>0</v>
      </c>
      <c r="E8" s="1728" t="s">
        <v>30</v>
      </c>
      <c r="F8" s="1728" t="s">
        <v>46</v>
      </c>
      <c r="G8" s="1728" t="s">
        <v>18558</v>
      </c>
      <c r="H8" s="1728" t="s">
        <v>91</v>
      </c>
      <c r="I8" s="1728" t="s">
        <v>120</v>
      </c>
      <c r="J8" s="1728" t="s">
        <v>135</v>
      </c>
      <c r="K8" s="1728" t="s">
        <v>18559</v>
      </c>
      <c r="L8" s="1728" t="s">
        <v>163</v>
      </c>
      <c r="M8" s="1728" t="s">
        <v>177</v>
      </c>
      <c r="N8" s="1728" t="s">
        <v>18560</v>
      </c>
      <c r="O8" s="1728" t="s">
        <v>18561</v>
      </c>
      <c r="P8" s="1728" t="s">
        <v>18562</v>
      </c>
      <c r="Q8" s="1728" t="s">
        <v>243</v>
      </c>
      <c r="R8" s="1728" t="s">
        <v>18563</v>
      </c>
      <c r="S8" s="1728" t="s">
        <v>269</v>
      </c>
      <c r="T8" s="1728" t="s">
        <v>18564</v>
      </c>
      <c r="U8" s="1728" t="s">
        <v>18565</v>
      </c>
      <c r="V8" s="1728" t="s">
        <v>18566</v>
      </c>
      <c r="W8" s="1728" t="s">
        <v>18567</v>
      </c>
      <c r="X8" s="1728" t="s">
        <v>18568</v>
      </c>
      <c r="Y8" s="1728" t="s">
        <v>18569</v>
      </c>
      <c r="Z8" s="1728" t="s">
        <v>18570</v>
      </c>
      <c r="AA8" s="1728" t="s">
        <v>365</v>
      </c>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27" t="s">
        <v>13464</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13465</v>
      </c>
      <c r="C9" s="1846" t="s">
        <v>13463</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28"/>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48" customHeight="1">
      <c r="B10" s="1845" t="s">
        <v>13466</v>
      </c>
      <c r="C10" s="1846" t="s">
        <v>13463</v>
      </c>
      <c r="D10" s="1846">
        <v>0</v>
      </c>
      <c r="E10" s="2040" t="str">
        <f>IFERROR(IF(IF(E8="Other (Specify Below)",E9,E8)=0,"",IF(E8="Other (Specify Below)",E9,E8)),"")</f>
        <v>ABERYSTWYTH (GLAN YR AFON)</v>
      </c>
      <c r="F10" s="2040" t="str">
        <f t="shared" ref="F10:BQ10" si="0">IFERROR(IF(IF(F8="Other (Specify Below)",F9,F8)=0,"",IF(F8="Other (Specify Below)",F9,F8)),"")</f>
        <v>AFAN</v>
      </c>
      <c r="G10" s="2040" t="str">
        <f t="shared" si="0"/>
        <v>BANGOR TREBORTH</v>
      </c>
      <c r="H10" s="2040" t="str">
        <f t="shared" si="0"/>
        <v>CARDIFF BAY</v>
      </c>
      <c r="I10" s="2040" t="str">
        <f t="shared" si="0"/>
        <v>CHESTER</v>
      </c>
      <c r="J10" s="2040" t="str">
        <f t="shared" si="0"/>
        <v>CILFYNYDD</v>
      </c>
      <c r="K10" s="2040" t="str">
        <f t="shared" si="0"/>
        <v>COG MOORS (DINAS POWYS) STW</v>
      </c>
      <c r="L10" s="2040" t="str">
        <f t="shared" si="0"/>
        <v>COSLECH</v>
      </c>
      <c r="M10" s="2040" t="str">
        <f t="shared" si="0"/>
        <v>CYNON</v>
      </c>
      <c r="N10" s="2040" t="str">
        <f t="shared" si="0"/>
        <v>FIVE FORDS (WREXHAM)</v>
      </c>
      <c r="O10" s="2040" t="str">
        <f t="shared" si="0"/>
        <v>GANOL STW</v>
      </c>
      <c r="P10" s="2040" t="str">
        <f t="shared" si="0"/>
        <v>GARNSWLLT</v>
      </c>
      <c r="Q10" s="2040" t="str">
        <f t="shared" si="0"/>
        <v>GOWERTON</v>
      </c>
      <c r="R10" s="2040" t="str">
        <f t="shared" si="0"/>
        <v>HEREFORD EIGN</v>
      </c>
      <c r="S10" s="2040" t="str">
        <f t="shared" si="0"/>
        <v>KINMEL BAY</v>
      </c>
      <c r="T10" s="2040" t="str">
        <f t="shared" si="0"/>
        <v>LLANASA (NR PRESTATYN)</v>
      </c>
      <c r="U10" s="2040" t="str">
        <f t="shared" si="0"/>
        <v>LLANELLI COASTAL</v>
      </c>
      <c r="V10" s="2040" t="str">
        <f t="shared" si="0"/>
        <v>NEWPORT NASH</v>
      </c>
      <c r="W10" s="2040" t="str">
        <f t="shared" si="0"/>
        <v>PEN-Y-BONT (MERTHYR MAWR)</v>
      </c>
      <c r="X10" s="2040" t="str">
        <f t="shared" si="0"/>
        <v>PONTHIR WWTW</v>
      </c>
      <c r="Y10" s="2040" t="str">
        <f t="shared" si="0"/>
        <v>QUEENSFERRY STW</v>
      </c>
      <c r="Z10" s="2040" t="str">
        <f t="shared" si="0"/>
        <v>ROTHERWAS (HEREFORD) STW</v>
      </c>
      <c r="AA10" s="2040" t="str">
        <f t="shared" si="0"/>
        <v>SWANSEA BAY</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29"/>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13463</v>
      </c>
      <c r="D11" s="286">
        <v>0</v>
      </c>
      <c r="E11" s="1717" t="s">
        <v>93</v>
      </c>
      <c r="F11" s="1717" t="s">
        <v>48</v>
      </c>
      <c r="G11" s="1717" t="s">
        <v>93</v>
      </c>
      <c r="H11" s="1717" t="s">
        <v>48</v>
      </c>
      <c r="I11" s="1717" t="s">
        <v>48</v>
      </c>
      <c r="J11" s="1717" t="s">
        <v>63</v>
      </c>
      <c r="K11" s="1717" t="s">
        <v>48</v>
      </c>
      <c r="L11" s="1717" t="s">
        <v>48</v>
      </c>
      <c r="M11" s="1717" t="s">
        <v>48</v>
      </c>
      <c r="N11" s="1717" t="s">
        <v>93</v>
      </c>
      <c r="O11" s="1717" t="s">
        <v>93</v>
      </c>
      <c r="P11" s="1717" t="s">
        <v>93</v>
      </c>
      <c r="Q11" s="1717" t="s">
        <v>93</v>
      </c>
      <c r="R11" s="1717" t="s">
        <v>122</v>
      </c>
      <c r="S11" s="1717" t="s">
        <v>48</v>
      </c>
      <c r="T11" s="1717" t="s">
        <v>93</v>
      </c>
      <c r="U11" s="1717" t="s">
        <v>93</v>
      </c>
      <c r="V11" s="1717" t="s">
        <v>48</v>
      </c>
      <c r="W11" s="1717" t="s">
        <v>93</v>
      </c>
      <c r="X11" s="1717" t="s">
        <v>48</v>
      </c>
      <c r="Y11" s="1717" t="s">
        <v>122</v>
      </c>
      <c r="Z11" s="1717" t="s">
        <v>122</v>
      </c>
      <c r="AA11" s="1717" t="s">
        <v>93</v>
      </c>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13467</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1</v>
      </c>
      <c r="DJ11" s="285">
        <f t="shared" ref="DJ11" si="22" xml:space="preserve"> IF( OR(ISNUMBER(Y11 ),Y$8=""), 0, 1 )</f>
        <v>1</v>
      </c>
      <c r="DK11" s="285">
        <f t="shared" ref="DK11" si="23" xml:space="preserve"> IF( OR(ISNUMBER(Z11 ),Z$8=""), 0, 1 )</f>
        <v>1</v>
      </c>
      <c r="DL11" s="285">
        <f t="shared" ref="DL11" si="24" xml:space="preserve"> IF( OR(ISNUMBER(AA11 ),AA$8=""), 0, 1 )</f>
        <v>1</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13468</v>
      </c>
      <c r="C12" s="286" t="s">
        <v>5981</v>
      </c>
      <c r="D12" s="286">
        <v>2</v>
      </c>
      <c r="E12" s="1730">
        <v>30.54</v>
      </c>
      <c r="F12" s="1730">
        <v>144.62</v>
      </c>
      <c r="G12" s="1730">
        <v>30.25</v>
      </c>
      <c r="H12" s="1730">
        <v>923.31</v>
      </c>
      <c r="I12" s="1730">
        <v>121.23</v>
      </c>
      <c r="J12" s="1730">
        <v>71.47</v>
      </c>
      <c r="K12" s="1730">
        <v>217.95</v>
      </c>
      <c r="L12" s="1730">
        <v>52.59</v>
      </c>
      <c r="M12" s="1730">
        <v>65.23</v>
      </c>
      <c r="N12" s="1730">
        <v>122.04</v>
      </c>
      <c r="O12" s="1730">
        <v>75.150000000000006</v>
      </c>
      <c r="P12" s="1730">
        <v>31.66</v>
      </c>
      <c r="Q12" s="1730">
        <v>57.6</v>
      </c>
      <c r="R12" s="1730">
        <v>44.29</v>
      </c>
      <c r="S12" s="1730">
        <v>72.69</v>
      </c>
      <c r="T12" s="1730">
        <v>41.95</v>
      </c>
      <c r="U12" s="1730">
        <v>57.04</v>
      </c>
      <c r="V12" s="1730">
        <v>301.45</v>
      </c>
      <c r="W12" s="1730">
        <v>157.22</v>
      </c>
      <c r="X12" s="1730">
        <v>98.73</v>
      </c>
      <c r="Y12" s="1730">
        <v>52.06</v>
      </c>
      <c r="Z12" s="1730">
        <v>66.44</v>
      </c>
      <c r="AA12" s="1730">
        <v>185.37</v>
      </c>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13469</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13470</v>
      </c>
      <c r="C13" s="286" t="s">
        <v>13471</v>
      </c>
      <c r="D13" s="286">
        <v>0</v>
      </c>
      <c r="E13" s="1717">
        <v>34</v>
      </c>
      <c r="F13" s="1717">
        <v>0</v>
      </c>
      <c r="G13" s="1717">
        <v>60</v>
      </c>
      <c r="H13" s="1717">
        <v>0</v>
      </c>
      <c r="I13" s="1717">
        <v>40</v>
      </c>
      <c r="J13" s="1717">
        <v>30</v>
      </c>
      <c r="K13" s="1717">
        <v>0</v>
      </c>
      <c r="L13" s="1717">
        <v>30</v>
      </c>
      <c r="M13" s="1717">
        <v>40</v>
      </c>
      <c r="N13" s="1717">
        <v>60</v>
      </c>
      <c r="O13" s="1717">
        <v>60</v>
      </c>
      <c r="P13" s="1717">
        <v>28</v>
      </c>
      <c r="Q13" s="1717">
        <v>60</v>
      </c>
      <c r="R13" s="1717">
        <v>60</v>
      </c>
      <c r="S13" s="1717">
        <v>0</v>
      </c>
      <c r="T13" s="1717">
        <v>43</v>
      </c>
      <c r="U13" s="1717">
        <v>60</v>
      </c>
      <c r="V13" s="1717">
        <v>30</v>
      </c>
      <c r="W13" s="1717">
        <v>35</v>
      </c>
      <c r="X13" s="1717">
        <v>60</v>
      </c>
      <c r="Y13" s="1717">
        <v>56</v>
      </c>
      <c r="Z13" s="1717">
        <v>60</v>
      </c>
      <c r="AA13" s="1717">
        <v>60</v>
      </c>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13472</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13473</v>
      </c>
      <c r="C14" s="286" t="s">
        <v>13471</v>
      </c>
      <c r="D14" s="286">
        <v>0</v>
      </c>
      <c r="E14" s="1717">
        <v>17</v>
      </c>
      <c r="F14" s="1717">
        <v>25</v>
      </c>
      <c r="G14" s="1717">
        <v>25</v>
      </c>
      <c r="H14" s="1717">
        <v>25</v>
      </c>
      <c r="I14" s="1717">
        <v>25</v>
      </c>
      <c r="J14" s="1717">
        <v>20</v>
      </c>
      <c r="K14" s="1717">
        <v>25</v>
      </c>
      <c r="L14" s="1717">
        <v>20</v>
      </c>
      <c r="M14" s="1717">
        <v>25</v>
      </c>
      <c r="N14" s="1717">
        <v>25</v>
      </c>
      <c r="O14" s="1717">
        <v>25</v>
      </c>
      <c r="P14" s="1717">
        <v>23</v>
      </c>
      <c r="Q14" s="1717">
        <v>25</v>
      </c>
      <c r="R14" s="1717">
        <v>25</v>
      </c>
      <c r="S14" s="1717">
        <v>25</v>
      </c>
      <c r="T14" s="1717">
        <v>24</v>
      </c>
      <c r="U14" s="1717">
        <v>25</v>
      </c>
      <c r="V14" s="1717">
        <v>20</v>
      </c>
      <c r="W14" s="1717">
        <v>25</v>
      </c>
      <c r="X14" s="1717">
        <v>25</v>
      </c>
      <c r="Y14" s="1717">
        <v>25</v>
      </c>
      <c r="Z14" s="1717">
        <v>25</v>
      </c>
      <c r="AA14" s="1717">
        <v>25</v>
      </c>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13474</v>
      </c>
      <c r="CK14" s="842" t="s">
        <v>18571</v>
      </c>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13475</v>
      </c>
      <c r="C15" s="286" t="s">
        <v>13471</v>
      </c>
      <c r="D15" s="286">
        <v>0</v>
      </c>
      <c r="E15" s="1717">
        <v>8</v>
      </c>
      <c r="F15" s="1717">
        <v>0</v>
      </c>
      <c r="G15" s="1717">
        <v>0</v>
      </c>
      <c r="H15" s="1717">
        <v>20</v>
      </c>
      <c r="I15" s="1717">
        <v>10</v>
      </c>
      <c r="J15" s="1717">
        <v>5</v>
      </c>
      <c r="K15" s="1717">
        <v>0</v>
      </c>
      <c r="L15" s="1717">
        <v>8</v>
      </c>
      <c r="M15" s="1717">
        <v>0</v>
      </c>
      <c r="N15" s="1717">
        <v>10</v>
      </c>
      <c r="O15" s="1717">
        <v>0</v>
      </c>
      <c r="P15" s="1717">
        <v>4</v>
      </c>
      <c r="Q15" s="1717">
        <v>9</v>
      </c>
      <c r="R15" s="1717">
        <v>10.3</v>
      </c>
      <c r="S15" s="1717">
        <v>0</v>
      </c>
      <c r="T15" s="1717">
        <v>30</v>
      </c>
      <c r="U15" s="1717">
        <v>10</v>
      </c>
      <c r="V15" s="1717">
        <v>18</v>
      </c>
      <c r="W15" s="1717">
        <v>6</v>
      </c>
      <c r="X15" s="1717">
        <v>20</v>
      </c>
      <c r="Y15" s="1717">
        <v>25</v>
      </c>
      <c r="Z15" s="1717">
        <v>10.3</v>
      </c>
      <c r="AA15" s="1717">
        <v>0</v>
      </c>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13476</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13477</v>
      </c>
      <c r="C16" s="286" t="s">
        <v>13471</v>
      </c>
      <c r="D16" s="286">
        <v>2</v>
      </c>
      <c r="E16" s="1730">
        <v>0</v>
      </c>
      <c r="F16" s="1730">
        <v>0</v>
      </c>
      <c r="G16" s="1730">
        <v>0</v>
      </c>
      <c r="H16" s="1730">
        <v>0</v>
      </c>
      <c r="I16" s="1730">
        <v>0</v>
      </c>
      <c r="J16" s="1730">
        <v>2</v>
      </c>
      <c r="K16" s="1730">
        <v>0</v>
      </c>
      <c r="L16" s="1730">
        <v>2</v>
      </c>
      <c r="M16" s="1730">
        <v>2</v>
      </c>
      <c r="N16" s="1730">
        <v>1</v>
      </c>
      <c r="O16" s="1730">
        <v>0</v>
      </c>
      <c r="P16" s="1730">
        <v>2</v>
      </c>
      <c r="Q16" s="1730">
        <v>1</v>
      </c>
      <c r="R16" s="1730">
        <v>1</v>
      </c>
      <c r="S16" s="1730">
        <v>0</v>
      </c>
      <c r="T16" s="1730">
        <v>0</v>
      </c>
      <c r="U16" s="1730">
        <v>1</v>
      </c>
      <c r="V16" s="1730">
        <v>0</v>
      </c>
      <c r="W16" s="1730">
        <v>0</v>
      </c>
      <c r="X16" s="1730">
        <v>0</v>
      </c>
      <c r="Y16" s="1730">
        <v>0</v>
      </c>
      <c r="Z16" s="1730">
        <v>1</v>
      </c>
      <c r="AA16" s="1730">
        <v>0</v>
      </c>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13478</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13479</v>
      </c>
      <c r="C17" s="286" t="s">
        <v>13480</v>
      </c>
      <c r="D17" s="286">
        <v>0</v>
      </c>
      <c r="E17" s="1717">
        <v>32</v>
      </c>
      <c r="F17" s="1717">
        <v>0</v>
      </c>
      <c r="G17" s="1717">
        <v>24</v>
      </c>
      <c r="H17" s="1717">
        <v>0</v>
      </c>
      <c r="I17" s="1717">
        <v>0</v>
      </c>
      <c r="J17" s="1717">
        <v>0</v>
      </c>
      <c r="K17" s="1717">
        <v>0</v>
      </c>
      <c r="L17" s="1717">
        <v>0</v>
      </c>
      <c r="M17" s="1717">
        <v>0</v>
      </c>
      <c r="N17" s="1717">
        <v>0</v>
      </c>
      <c r="O17" s="1717">
        <v>24</v>
      </c>
      <c r="P17" s="1717">
        <v>0</v>
      </c>
      <c r="Q17" s="1717">
        <v>30.47</v>
      </c>
      <c r="R17" s="1717">
        <v>0</v>
      </c>
      <c r="S17" s="1717">
        <v>0</v>
      </c>
      <c r="T17" s="1717">
        <v>35</v>
      </c>
      <c r="U17" s="1717">
        <v>32</v>
      </c>
      <c r="V17" s="1717">
        <v>0</v>
      </c>
      <c r="W17" s="1717">
        <v>30</v>
      </c>
      <c r="X17" s="1717">
        <v>0</v>
      </c>
      <c r="Y17" s="1717">
        <v>30.33</v>
      </c>
      <c r="Z17" s="1717">
        <v>0</v>
      </c>
      <c r="AA17" s="1717">
        <v>22</v>
      </c>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13481</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13482</v>
      </c>
      <c r="C18" s="286" t="s">
        <v>13483</v>
      </c>
      <c r="D18" s="286">
        <v>0</v>
      </c>
      <c r="E18" s="1721">
        <f>IFERROR(E12*0.06*1000,0)</f>
        <v>1832.3999999999999</v>
      </c>
      <c r="F18" s="1721">
        <f t="shared" ref="F18:BQ18" si="162">IFERROR(F12*0.06*1000,0)</f>
        <v>8677.1999999999989</v>
      </c>
      <c r="G18" s="1721">
        <f t="shared" si="162"/>
        <v>1815</v>
      </c>
      <c r="H18" s="1721">
        <f t="shared" si="162"/>
        <v>55398.599999999991</v>
      </c>
      <c r="I18" s="1721">
        <f t="shared" si="162"/>
        <v>7273.7999999999993</v>
      </c>
      <c r="J18" s="1721">
        <f t="shared" si="162"/>
        <v>4288.2</v>
      </c>
      <c r="K18" s="1721">
        <f t="shared" si="162"/>
        <v>13076.999999999998</v>
      </c>
      <c r="L18" s="1721">
        <f t="shared" si="162"/>
        <v>3155.4</v>
      </c>
      <c r="M18" s="1721">
        <f t="shared" si="162"/>
        <v>3913.8</v>
      </c>
      <c r="N18" s="1721">
        <f t="shared" si="162"/>
        <v>7322.4</v>
      </c>
      <c r="O18" s="1721">
        <f t="shared" si="162"/>
        <v>4509</v>
      </c>
      <c r="P18" s="1721">
        <f t="shared" si="162"/>
        <v>1899.6</v>
      </c>
      <c r="Q18" s="1721">
        <f t="shared" si="162"/>
        <v>3456</v>
      </c>
      <c r="R18" s="1721">
        <f t="shared" si="162"/>
        <v>2657.4</v>
      </c>
      <c r="S18" s="1721">
        <f t="shared" si="162"/>
        <v>4361.3999999999996</v>
      </c>
      <c r="T18" s="1721">
        <f t="shared" si="162"/>
        <v>2517</v>
      </c>
      <c r="U18" s="1721">
        <f t="shared" si="162"/>
        <v>3422.3999999999996</v>
      </c>
      <c r="V18" s="1721">
        <f t="shared" si="162"/>
        <v>18087</v>
      </c>
      <c r="W18" s="1721">
        <f t="shared" si="162"/>
        <v>9433.1999999999989</v>
      </c>
      <c r="X18" s="1721">
        <f t="shared" si="162"/>
        <v>5923.8</v>
      </c>
      <c r="Y18" s="1721">
        <f t="shared" si="162"/>
        <v>3123.6000000000004</v>
      </c>
      <c r="Z18" s="1721">
        <f t="shared" si="162"/>
        <v>3986.3999999999996</v>
      </c>
      <c r="AA18" s="1721">
        <f t="shared" si="162"/>
        <v>11122.199999999999</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13484</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13485</v>
      </c>
      <c r="C19" s="355" t="s">
        <v>13486</v>
      </c>
      <c r="D19" s="355">
        <v>0</v>
      </c>
      <c r="E19" s="1722">
        <v>11787.525497768023</v>
      </c>
      <c r="F19" s="1722">
        <v>69643.826672513125</v>
      </c>
      <c r="G19" s="1722">
        <v>11062.846455035311</v>
      </c>
      <c r="H19" s="1722">
        <v>355150.33333105053</v>
      </c>
      <c r="I19" s="1722">
        <v>29805.200094555541</v>
      </c>
      <c r="J19" s="1722">
        <v>34332.538002492242</v>
      </c>
      <c r="K19" s="1722">
        <v>98304.849048814096</v>
      </c>
      <c r="L19" s="1722">
        <v>16260.976113662467</v>
      </c>
      <c r="M19" s="1722">
        <v>28638.042855613596</v>
      </c>
      <c r="N19" s="1722">
        <v>27974.311133983614</v>
      </c>
      <c r="O19" s="1722">
        <v>21977.757301331912</v>
      </c>
      <c r="P19" s="1722">
        <v>21312.191622228671</v>
      </c>
      <c r="Q19" s="1722">
        <v>25436.222631656154</v>
      </c>
      <c r="R19" s="1722">
        <v>11746.829558142317</v>
      </c>
      <c r="S19" s="1722">
        <v>18795.692594251883</v>
      </c>
      <c r="T19" s="1722">
        <v>8650.4458852225998</v>
      </c>
      <c r="U19" s="1722">
        <v>26859.477408462517</v>
      </c>
      <c r="V19" s="1722">
        <v>59393.902538705253</v>
      </c>
      <c r="W19" s="1722">
        <v>86382.070378153512</v>
      </c>
      <c r="X19" s="1722">
        <v>32795.736084609052</v>
      </c>
      <c r="Y19" s="1722">
        <v>10400.710473984776</v>
      </c>
      <c r="Z19" s="1722">
        <v>22444.514007633876</v>
      </c>
      <c r="AA19" s="1722">
        <v>64466.914004408638</v>
      </c>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13487</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13488</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13489</v>
      </c>
      <c r="C22" s="277" t="s">
        <v>13490</v>
      </c>
      <c r="D22" s="277">
        <v>0</v>
      </c>
      <c r="E22" s="1728">
        <v>9.1440000000000001</v>
      </c>
      <c r="F22" s="1728">
        <v>45.725000000000001</v>
      </c>
      <c r="G22" s="1728">
        <v>7.8630000000000004</v>
      </c>
      <c r="H22" s="1728">
        <v>71.730999999999995</v>
      </c>
      <c r="I22" s="1728">
        <v>32.003</v>
      </c>
      <c r="J22" s="1728">
        <v>27.431000000000001</v>
      </c>
      <c r="K22" s="1728">
        <v>39.06</v>
      </c>
      <c r="L22" s="1728">
        <v>15.24</v>
      </c>
      <c r="M22" s="1728">
        <v>15.24</v>
      </c>
      <c r="N22" s="1728">
        <v>15.925000000000001</v>
      </c>
      <c r="O22" s="1728">
        <v>8.0380000000000003</v>
      </c>
      <c r="P22" s="1728">
        <v>9.1440000000000001</v>
      </c>
      <c r="Q22" s="1728">
        <v>79.873999999999995</v>
      </c>
      <c r="R22" s="1728">
        <v>19.12</v>
      </c>
      <c r="S22" s="1728">
        <v>7.89</v>
      </c>
      <c r="T22" s="1728">
        <v>9.1440000000000001</v>
      </c>
      <c r="U22" s="1728">
        <v>85.861999999999995</v>
      </c>
      <c r="V22" s="1728">
        <v>41.146999999999998</v>
      </c>
      <c r="W22" s="1728">
        <v>41.146999999999998</v>
      </c>
      <c r="X22" s="1728">
        <v>41.804000000000002</v>
      </c>
      <c r="Y22" s="1728">
        <v>30.87</v>
      </c>
      <c r="Z22" s="1728">
        <v>13.715999999999999</v>
      </c>
      <c r="AA22" s="1728">
        <v>29.753</v>
      </c>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696.87100000000009</v>
      </c>
      <c r="CH22" s="83"/>
      <c r="CI22" s="1040" t="s">
        <v>13491</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13436</v>
      </c>
    </row>
    <row r="23" spans="1:176" s="197" customFormat="1" ht="15.75" customHeight="1">
      <c r="B23" s="460" t="s">
        <v>13492</v>
      </c>
      <c r="C23" s="286" t="s">
        <v>13490</v>
      </c>
      <c r="D23" s="286">
        <v>0</v>
      </c>
      <c r="E23" s="1717">
        <v>0</v>
      </c>
      <c r="F23" s="1717">
        <v>290.29899999999998</v>
      </c>
      <c r="G23" s="1717">
        <v>325.86</v>
      </c>
      <c r="H23" s="1717">
        <v>2026.3430000000001</v>
      </c>
      <c r="I23" s="1717">
        <v>2.536</v>
      </c>
      <c r="J23" s="1717">
        <v>0</v>
      </c>
      <c r="K23" s="1717">
        <v>1063.8009999999999</v>
      </c>
      <c r="L23" s="1717">
        <v>0</v>
      </c>
      <c r="M23" s="1717">
        <v>0</v>
      </c>
      <c r="N23" s="1717">
        <v>15.472</v>
      </c>
      <c r="O23" s="1717">
        <v>342.00400000000002</v>
      </c>
      <c r="P23" s="1717">
        <v>0</v>
      </c>
      <c r="Q23" s="1717">
        <v>37.72</v>
      </c>
      <c r="R23" s="1717">
        <v>37.883000000000003</v>
      </c>
      <c r="S23" s="1717">
        <v>295.47500000000002</v>
      </c>
      <c r="T23" s="1717">
        <v>9.8409999999999993</v>
      </c>
      <c r="U23" s="1717">
        <v>1.0349999999999999</v>
      </c>
      <c r="V23" s="1717">
        <v>0</v>
      </c>
      <c r="W23" s="1717">
        <v>53.326000000000001</v>
      </c>
      <c r="X23" s="1717">
        <v>0</v>
      </c>
      <c r="Y23" s="1717">
        <v>0</v>
      </c>
      <c r="Z23" s="1717">
        <v>54.72</v>
      </c>
      <c r="AA23" s="1717">
        <v>637.96900000000005</v>
      </c>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5194.2840000000006</v>
      </c>
      <c r="CH23" s="83"/>
      <c r="CI23" s="1041" t="s">
        <v>13493</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13439</v>
      </c>
    </row>
    <row r="24" spans="1:176" s="197" customFormat="1" ht="15.75" customHeight="1">
      <c r="B24" s="460" t="s">
        <v>13494</v>
      </c>
      <c r="C24" s="286" t="s">
        <v>13490</v>
      </c>
      <c r="D24" s="286">
        <v>0</v>
      </c>
      <c r="E24" s="1717">
        <v>219.67400000000001</v>
      </c>
      <c r="F24" s="1717">
        <v>2084.5790000000002</v>
      </c>
      <c r="G24" s="1717">
        <v>659.47400000000005</v>
      </c>
      <c r="H24" s="1717">
        <v>6164.0050000000001</v>
      </c>
      <c r="I24" s="1717">
        <v>945.95</v>
      </c>
      <c r="J24" s="1717">
        <v>311.61799999999999</v>
      </c>
      <c r="K24" s="1717">
        <v>3270.462</v>
      </c>
      <c r="L24" s="1717">
        <v>437.512</v>
      </c>
      <c r="M24" s="1717">
        <v>449.18099999999998</v>
      </c>
      <c r="N24" s="1717">
        <v>2492.2249999999999</v>
      </c>
      <c r="O24" s="1717">
        <v>1085.1600000000001</v>
      </c>
      <c r="P24" s="1717">
        <v>439.11399999999998</v>
      </c>
      <c r="Q24" s="1717">
        <v>944.99400000000003</v>
      </c>
      <c r="R24" s="1717">
        <v>1828.204</v>
      </c>
      <c r="S24" s="1717">
        <v>875.40300000000002</v>
      </c>
      <c r="T24" s="1717">
        <v>481.11200000000002</v>
      </c>
      <c r="U24" s="1717">
        <v>551.38900000000001</v>
      </c>
      <c r="V24" s="1717">
        <v>635.23299999999995</v>
      </c>
      <c r="W24" s="1717">
        <v>1545.0619999999999</v>
      </c>
      <c r="X24" s="1717">
        <v>721.22199999999998</v>
      </c>
      <c r="Y24" s="1717">
        <v>289.12900000000002</v>
      </c>
      <c r="Z24" s="1717">
        <v>486.85599999999999</v>
      </c>
      <c r="AA24" s="1717">
        <v>1678.7180000000001</v>
      </c>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28596.276000000005</v>
      </c>
      <c r="CH24" s="83"/>
      <c r="CI24" s="1041" t="s">
        <v>13495</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13442</v>
      </c>
    </row>
    <row r="25" spans="1:176" s="197" customFormat="1" ht="15.75" customHeight="1">
      <c r="B25" s="460" t="s">
        <v>13496</v>
      </c>
      <c r="C25" s="286" t="s">
        <v>13490</v>
      </c>
      <c r="D25" s="286">
        <v>0</v>
      </c>
      <c r="E25" s="1721">
        <f t="shared" ref="E25:BP25" si="326">IFERROR(SUM(E22:E24),0)</f>
        <v>228.81800000000001</v>
      </c>
      <c r="F25" s="1721">
        <f t="shared" si="326"/>
        <v>2420.6030000000001</v>
      </c>
      <c r="G25" s="1721">
        <f t="shared" si="326"/>
        <v>993.19700000000012</v>
      </c>
      <c r="H25" s="1721">
        <f t="shared" si="326"/>
        <v>8262.0789999999997</v>
      </c>
      <c r="I25" s="1721">
        <f t="shared" si="326"/>
        <v>980.48900000000003</v>
      </c>
      <c r="J25" s="1721">
        <f t="shared" si="326"/>
        <v>339.04899999999998</v>
      </c>
      <c r="K25" s="1721">
        <f t="shared" si="326"/>
        <v>4373.3230000000003</v>
      </c>
      <c r="L25" s="1721">
        <f t="shared" si="326"/>
        <v>452.75200000000001</v>
      </c>
      <c r="M25" s="1721">
        <f t="shared" si="326"/>
        <v>464.42099999999999</v>
      </c>
      <c r="N25" s="1721">
        <f t="shared" si="326"/>
        <v>2523.6219999999998</v>
      </c>
      <c r="O25" s="1721">
        <f t="shared" si="326"/>
        <v>1435.2020000000002</v>
      </c>
      <c r="P25" s="1721">
        <f t="shared" si="326"/>
        <v>448.25799999999998</v>
      </c>
      <c r="Q25" s="1721">
        <f t="shared" si="326"/>
        <v>1062.588</v>
      </c>
      <c r="R25" s="1721">
        <f t="shared" si="326"/>
        <v>1885.2069999999999</v>
      </c>
      <c r="S25" s="1721">
        <f t="shared" si="326"/>
        <v>1178.768</v>
      </c>
      <c r="T25" s="1721">
        <f t="shared" si="326"/>
        <v>500.09700000000004</v>
      </c>
      <c r="U25" s="1721">
        <f t="shared" si="326"/>
        <v>638.28600000000006</v>
      </c>
      <c r="V25" s="1721">
        <f t="shared" si="326"/>
        <v>676.38</v>
      </c>
      <c r="W25" s="1721">
        <f t="shared" si="326"/>
        <v>1639.5349999999999</v>
      </c>
      <c r="X25" s="1721">
        <f t="shared" si="326"/>
        <v>763.02599999999995</v>
      </c>
      <c r="Y25" s="1721">
        <f t="shared" si="326"/>
        <v>319.99900000000002</v>
      </c>
      <c r="Z25" s="1721">
        <f t="shared" si="326"/>
        <v>555.29200000000003</v>
      </c>
      <c r="AA25" s="1721">
        <f t="shared" si="326"/>
        <v>2346.44</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34487.431000000004</v>
      </c>
      <c r="CH25" s="83"/>
      <c r="CI25" s="1041" t="s">
        <v>13497</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13445</v>
      </c>
    </row>
    <row r="26" spans="1:176" s="197" customFormat="1" ht="15.75" customHeight="1">
      <c r="B26" s="460" t="s">
        <v>13498</v>
      </c>
      <c r="C26" s="286" t="s">
        <v>13490</v>
      </c>
      <c r="D26" s="286">
        <v>0</v>
      </c>
      <c r="E26" s="1717">
        <v>-0.22700000000000001</v>
      </c>
      <c r="F26" s="1717">
        <v>11.497999999999999</v>
      </c>
      <c r="G26" s="1717">
        <v>220.44399999999999</v>
      </c>
      <c r="H26" s="1717">
        <v>72.230999999999995</v>
      </c>
      <c r="I26" s="1717">
        <v>244.13900000000001</v>
      </c>
      <c r="J26" s="1717">
        <v>93.328000000000003</v>
      </c>
      <c r="K26" s="1717">
        <v>152.821</v>
      </c>
      <c r="L26" s="1717">
        <v>31.338999999999999</v>
      </c>
      <c r="M26" s="1717">
        <v>38.194000000000003</v>
      </c>
      <c r="N26" s="1717">
        <v>718.38300000000004</v>
      </c>
      <c r="O26" s="1717">
        <v>67.772000000000006</v>
      </c>
      <c r="P26" s="1717">
        <v>37.347000000000001</v>
      </c>
      <c r="Q26" s="1717">
        <v>337.46600000000001</v>
      </c>
      <c r="R26" s="1717">
        <v>412.61</v>
      </c>
      <c r="S26" s="1717">
        <v>142.87200000000001</v>
      </c>
      <c r="T26" s="1717">
        <v>37.706000000000003</v>
      </c>
      <c r="U26" s="1717">
        <v>265.149</v>
      </c>
      <c r="V26" s="1717">
        <v>77.042000000000002</v>
      </c>
      <c r="W26" s="1717">
        <v>346.036</v>
      </c>
      <c r="X26" s="1717">
        <v>94.718999999999994</v>
      </c>
      <c r="Y26" s="1717">
        <v>110.67</v>
      </c>
      <c r="Z26" s="1717">
        <v>131.34299999999999</v>
      </c>
      <c r="AA26" s="1717">
        <v>679.798</v>
      </c>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4322.68</v>
      </c>
      <c r="CH26" s="83"/>
      <c r="CI26" s="1041" t="s">
        <v>13499</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13448</v>
      </c>
    </row>
    <row r="27" spans="1:176" s="197" customFormat="1" ht="15.75" customHeight="1" thickBot="1">
      <c r="B27" s="463" t="s">
        <v>13500</v>
      </c>
      <c r="C27" s="355" t="s">
        <v>13490</v>
      </c>
      <c r="D27" s="355">
        <v>0</v>
      </c>
      <c r="E27" s="1729">
        <f t="shared" ref="E27:BP27" si="408">IFERROR(SUM(E25:E26),0)</f>
        <v>228.59100000000001</v>
      </c>
      <c r="F27" s="1729">
        <f t="shared" si="408"/>
        <v>2432.1010000000001</v>
      </c>
      <c r="G27" s="1729">
        <f t="shared" si="408"/>
        <v>1213.6410000000001</v>
      </c>
      <c r="H27" s="1729">
        <f t="shared" si="408"/>
        <v>8334.31</v>
      </c>
      <c r="I27" s="1729">
        <f t="shared" si="408"/>
        <v>1224.6280000000002</v>
      </c>
      <c r="J27" s="1729">
        <f t="shared" si="408"/>
        <v>432.37699999999995</v>
      </c>
      <c r="K27" s="1729">
        <f t="shared" si="408"/>
        <v>4526.1440000000002</v>
      </c>
      <c r="L27" s="1729">
        <f t="shared" si="408"/>
        <v>484.09100000000001</v>
      </c>
      <c r="M27" s="1729">
        <f t="shared" si="408"/>
        <v>502.61500000000001</v>
      </c>
      <c r="N27" s="1729">
        <f t="shared" si="408"/>
        <v>3242.0050000000001</v>
      </c>
      <c r="O27" s="1729">
        <f t="shared" si="408"/>
        <v>1502.9740000000002</v>
      </c>
      <c r="P27" s="1729">
        <f t="shared" si="408"/>
        <v>485.60499999999996</v>
      </c>
      <c r="Q27" s="1729">
        <f t="shared" si="408"/>
        <v>1400.0540000000001</v>
      </c>
      <c r="R27" s="1729">
        <f t="shared" si="408"/>
        <v>2297.817</v>
      </c>
      <c r="S27" s="1729">
        <f t="shared" si="408"/>
        <v>1321.64</v>
      </c>
      <c r="T27" s="1729">
        <f t="shared" si="408"/>
        <v>537.803</v>
      </c>
      <c r="U27" s="1729">
        <f t="shared" si="408"/>
        <v>903.43500000000006</v>
      </c>
      <c r="V27" s="1729">
        <f t="shared" si="408"/>
        <v>753.42200000000003</v>
      </c>
      <c r="W27" s="1729">
        <f t="shared" si="408"/>
        <v>1985.5709999999999</v>
      </c>
      <c r="X27" s="1729">
        <f t="shared" si="408"/>
        <v>857.74499999999989</v>
      </c>
      <c r="Y27" s="1729">
        <f t="shared" si="408"/>
        <v>430.66900000000004</v>
      </c>
      <c r="Z27" s="1729">
        <f t="shared" si="408"/>
        <v>686.63499999999999</v>
      </c>
      <c r="AA27" s="1729">
        <f t="shared" si="408"/>
        <v>3026.2380000000003</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38810.111000000012</v>
      </c>
      <c r="CH27" s="83"/>
      <c r="CI27" s="1043" t="s">
        <v>13501</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13452</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A3" zoomScale="80" zoomScaleNormal="80" zoomScaleSheetLayoutView="100" workbookViewId="0">
      <selection activeCell="E27" sqref="E27"/>
    </sheetView>
  </sheetViews>
  <sheetFormatPr defaultColWidth="9" defaultRowHeight="13.8"/>
  <cols>
    <col min="1" max="1" width="1.59765625" style="219" customWidth="1"/>
    <col min="2" max="2" width="72.59765625" style="219" customWidth="1"/>
    <col min="3" max="3" width="5.5" style="219" bestFit="1" customWidth="1"/>
    <col min="4" max="4" width="4.69921875" style="219" bestFit="1" customWidth="1"/>
    <col min="5" max="5" width="12.69921875" style="219" bestFit="1" customWidth="1"/>
    <col min="6" max="6" width="2.09765625" style="219" customWidth="1"/>
    <col min="7" max="7" width="9.5" style="219" bestFit="1" customWidth="1"/>
    <col min="8" max="8" width="1.59765625" style="219" customWidth="1"/>
    <col min="9" max="9" width="29.69921875" style="219" customWidth="1"/>
    <col min="10" max="11" width="1.59765625" style="219" customWidth="1"/>
    <col min="12" max="12" width="24.59765625" style="219" customWidth="1"/>
    <col min="13" max="13" width="1.59765625" style="219" customWidth="1"/>
    <col min="14" max="14" width="20.5" style="219" hidden="1" customWidth="1"/>
    <col min="15" max="15" width="1.59765625" style="219" hidden="1" customWidth="1"/>
    <col min="16" max="16" width="1.59765625" style="219" customWidth="1"/>
    <col min="17" max="17" width="36.09765625" style="219" customWidth="1"/>
    <col min="18" max="18" width="15" style="219" customWidth="1"/>
    <col min="19" max="19" width="1.59765625" style="219" customWidth="1"/>
    <col min="20" max="16384" width="9" style="219"/>
  </cols>
  <sheetData>
    <row r="1" spans="1:18" ht="30" customHeight="1">
      <c r="B1" s="1229" t="s">
        <v>13502</v>
      </c>
      <c r="C1" s="1229"/>
      <c r="D1" s="1229"/>
      <c r="E1" s="1229"/>
      <c r="F1" s="1229"/>
      <c r="G1" s="260"/>
      <c r="K1" s="238"/>
      <c r="M1" s="238"/>
      <c r="O1" s="238"/>
      <c r="Q1" s="1229" t="s">
        <v>4198</v>
      </c>
      <c r="R1" s="1229"/>
    </row>
    <row r="2" spans="1:18" ht="30" customHeight="1">
      <c r="B2" s="1229" t="str">
        <f>SelectCompany!B4</f>
        <v>Dŵr Cymru</v>
      </c>
      <c r="C2" s="529"/>
      <c r="D2" s="529"/>
      <c r="E2" s="529"/>
      <c r="F2" s="529"/>
      <c r="G2" s="260"/>
      <c r="K2" s="238"/>
      <c r="M2" s="238"/>
      <c r="O2" s="238"/>
      <c r="Q2" s="1229"/>
      <c r="R2" s="529"/>
    </row>
    <row r="3" spans="1:18" ht="45" customHeight="1">
      <c r="B3" s="2829" t="s">
        <v>13503</v>
      </c>
      <c r="C3" s="2829"/>
      <c r="D3" s="2829"/>
      <c r="E3" s="2829"/>
      <c r="F3" s="2829"/>
      <c r="G3" s="2829"/>
      <c r="H3" s="2829"/>
      <c r="I3" s="2829"/>
      <c r="K3" s="238"/>
      <c r="L3" s="1240" t="s">
        <v>4200</v>
      </c>
      <c r="M3" s="238"/>
      <c r="O3" s="238"/>
      <c r="Q3" s="2829" t="s">
        <v>13503</v>
      </c>
      <c r="R3" s="2829"/>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13504</v>
      </c>
      <c r="C7" s="482"/>
      <c r="D7" s="482"/>
      <c r="E7" s="482"/>
      <c r="F7" s="1242"/>
      <c r="G7" s="565"/>
      <c r="H7" s="242"/>
      <c r="I7" s="242"/>
      <c r="J7" s="242"/>
      <c r="K7" s="238"/>
      <c r="M7" s="238"/>
      <c r="O7" s="238"/>
      <c r="Q7" s="393" t="s">
        <v>13504</v>
      </c>
      <c r="R7" s="482"/>
    </row>
    <row r="8" spans="1:18" ht="15.75" customHeight="1" thickTop="1">
      <c r="A8" s="242"/>
      <c r="B8" s="451" t="s">
        <v>13505</v>
      </c>
      <c r="C8" s="277" t="s">
        <v>4843</v>
      </c>
      <c r="D8" s="277">
        <v>0</v>
      </c>
      <c r="E8" s="1732">
        <v>6</v>
      </c>
      <c r="F8" s="1242"/>
      <c r="G8" s="281" t="s">
        <v>13506</v>
      </c>
      <c r="H8" s="242"/>
      <c r="I8" s="1231" t="s">
        <v>18572</v>
      </c>
      <c r="J8" s="242"/>
      <c r="K8" s="238"/>
      <c r="L8" s="1232">
        <f>IF( SUM( N8:N8 ) = 0, 0, $N$5 )</f>
        <v>0</v>
      </c>
      <c r="M8" s="238"/>
      <c r="N8" s="285">
        <f xml:space="preserve"> IF( ISNUMBER(E8 ), 0, 1 )</f>
        <v>0</v>
      </c>
      <c r="O8" s="238"/>
      <c r="Q8" s="451" t="s">
        <v>13505</v>
      </c>
      <c r="R8" s="960" t="s">
        <v>13507</v>
      </c>
    </row>
    <row r="9" spans="1:18" ht="15.75" customHeight="1">
      <c r="A9" s="242"/>
      <c r="B9" s="460" t="s">
        <v>13508</v>
      </c>
      <c r="C9" s="286" t="s">
        <v>4843</v>
      </c>
      <c r="D9" s="286">
        <v>0</v>
      </c>
      <c r="E9" s="1328">
        <v>1</v>
      </c>
      <c r="F9" s="1242"/>
      <c r="G9" s="290" t="s">
        <v>13509</v>
      </c>
      <c r="H9" s="242"/>
      <c r="I9" s="1233" t="s">
        <v>18573</v>
      </c>
      <c r="J9" s="242"/>
      <c r="K9" s="238"/>
      <c r="L9" s="1232">
        <f t="shared" ref="L9:L27" si="0">IF( SUM( N9:N9 ) = 0, 0, $N$5 )</f>
        <v>0</v>
      </c>
      <c r="M9" s="238"/>
      <c r="N9" s="285">
        <f t="shared" ref="N9:N27" si="1" xml:space="preserve"> IF( ISNUMBER(E9 ), 0, 1 )</f>
        <v>0</v>
      </c>
      <c r="O9" s="238"/>
      <c r="Q9" s="460" t="s">
        <v>13510</v>
      </c>
      <c r="R9" s="964" t="s">
        <v>13511</v>
      </c>
    </row>
    <row r="10" spans="1:18" ht="15.75" customHeight="1">
      <c r="A10" s="242"/>
      <c r="B10" s="460" t="s">
        <v>13512</v>
      </c>
      <c r="C10" s="286" t="s">
        <v>12562</v>
      </c>
      <c r="D10" s="286">
        <v>0</v>
      </c>
      <c r="E10" s="1328">
        <v>64975</v>
      </c>
      <c r="F10" s="1242"/>
      <c r="G10" s="290" t="s">
        <v>13513</v>
      </c>
      <c r="H10" s="242"/>
      <c r="I10" s="1233"/>
      <c r="J10" s="242"/>
      <c r="K10" s="238"/>
      <c r="L10" s="1232">
        <f t="shared" si="0"/>
        <v>0</v>
      </c>
      <c r="M10" s="238"/>
      <c r="N10" s="285">
        <f t="shared" si="1"/>
        <v>0</v>
      </c>
      <c r="O10" s="238"/>
      <c r="Q10" s="460" t="s">
        <v>13512</v>
      </c>
      <c r="R10" s="964" t="s">
        <v>13514</v>
      </c>
    </row>
    <row r="11" spans="1:18" ht="15.75" customHeight="1">
      <c r="A11" s="242"/>
      <c r="B11" s="460" t="s">
        <v>13515</v>
      </c>
      <c r="C11" s="286" t="s">
        <v>4843</v>
      </c>
      <c r="D11" s="286">
        <v>0</v>
      </c>
      <c r="E11" s="1328">
        <v>2505</v>
      </c>
      <c r="F11" s="1242"/>
      <c r="G11" s="290" t="s">
        <v>13516</v>
      </c>
      <c r="H11" s="242"/>
      <c r="I11" s="1327" t="s">
        <v>18574</v>
      </c>
      <c r="J11" s="242"/>
      <c r="K11" s="238"/>
      <c r="L11" s="1232">
        <f t="shared" si="0"/>
        <v>0</v>
      </c>
      <c r="M11" s="238"/>
      <c r="N11" s="285">
        <f t="shared" si="1"/>
        <v>0</v>
      </c>
      <c r="O11" s="238"/>
      <c r="Q11" s="460" t="s">
        <v>13515</v>
      </c>
      <c r="R11" s="964" t="s">
        <v>13517</v>
      </c>
    </row>
    <row r="12" spans="1:18" ht="15.75" customHeight="1">
      <c r="A12" s="242"/>
      <c r="B12" s="460" t="s">
        <v>3883</v>
      </c>
      <c r="C12" s="286" t="s">
        <v>4843</v>
      </c>
      <c r="D12" s="286">
        <v>0</v>
      </c>
      <c r="E12" s="1328">
        <v>23038</v>
      </c>
      <c r="F12" s="1242"/>
      <c r="G12" s="290" t="s">
        <v>13518</v>
      </c>
      <c r="H12" s="242"/>
      <c r="I12" s="1233" t="s">
        <v>18575</v>
      </c>
      <c r="J12" s="242"/>
      <c r="K12" s="238"/>
      <c r="L12" s="1232">
        <f t="shared" si="0"/>
        <v>0</v>
      </c>
      <c r="M12" s="238"/>
      <c r="N12" s="285">
        <f t="shared" si="1"/>
        <v>0</v>
      </c>
      <c r="O12" s="238"/>
      <c r="Q12" s="460" t="s">
        <v>3883</v>
      </c>
      <c r="R12" s="1328" t="s">
        <v>13519</v>
      </c>
    </row>
    <row r="13" spans="1:18" ht="15.75" customHeight="1">
      <c r="A13" s="242"/>
      <c r="B13" s="460" t="s">
        <v>3884</v>
      </c>
      <c r="C13" s="286" t="s">
        <v>4843</v>
      </c>
      <c r="D13" s="286">
        <v>0</v>
      </c>
      <c r="E13" s="1328">
        <v>151</v>
      </c>
      <c r="F13" s="1242"/>
      <c r="G13" s="290" t="s">
        <v>13520</v>
      </c>
      <c r="H13" s="242"/>
      <c r="I13" s="1233" t="s">
        <v>18576</v>
      </c>
      <c r="J13" s="242"/>
      <c r="K13" s="238"/>
      <c r="L13" s="1232">
        <f t="shared" si="0"/>
        <v>0</v>
      </c>
      <c r="M13" s="238"/>
      <c r="N13" s="285">
        <f t="shared" si="1"/>
        <v>0</v>
      </c>
      <c r="O13" s="238"/>
      <c r="Q13" s="460" t="s">
        <v>3884</v>
      </c>
      <c r="R13" s="964" t="s">
        <v>13521</v>
      </c>
    </row>
    <row r="14" spans="1:18" ht="15.75" customHeight="1">
      <c r="A14" s="242"/>
      <c r="B14" s="460" t="s">
        <v>13522</v>
      </c>
      <c r="C14" s="286" t="s">
        <v>4843</v>
      </c>
      <c r="D14" s="286">
        <v>0</v>
      </c>
      <c r="E14" s="1328">
        <v>97</v>
      </c>
      <c r="F14" s="1242"/>
      <c r="G14" s="290" t="s">
        <v>13523</v>
      </c>
      <c r="H14" s="242"/>
      <c r="I14" s="1233"/>
      <c r="J14" s="242"/>
      <c r="K14" s="238"/>
      <c r="L14" s="1232">
        <f t="shared" si="0"/>
        <v>0</v>
      </c>
      <c r="M14" s="238"/>
      <c r="N14" s="285">
        <f t="shared" si="1"/>
        <v>0</v>
      </c>
      <c r="O14" s="238"/>
      <c r="Q14" s="460" t="s">
        <v>13522</v>
      </c>
      <c r="R14" s="964" t="s">
        <v>13524</v>
      </c>
    </row>
    <row r="15" spans="1:18" ht="15.75" customHeight="1">
      <c r="A15" s="242"/>
      <c r="B15" s="460" t="s">
        <v>13525</v>
      </c>
      <c r="C15" s="286" t="s">
        <v>4843</v>
      </c>
      <c r="D15" s="286">
        <v>0</v>
      </c>
      <c r="E15" s="1328">
        <v>2205</v>
      </c>
      <c r="F15" s="1242"/>
      <c r="G15" s="290" t="s">
        <v>13526</v>
      </c>
      <c r="H15" s="242"/>
      <c r="I15" s="1329"/>
      <c r="J15" s="242"/>
      <c r="K15" s="238"/>
      <c r="L15" s="1232">
        <f t="shared" si="0"/>
        <v>0</v>
      </c>
      <c r="M15" s="238"/>
      <c r="N15" s="285">
        <f t="shared" si="1"/>
        <v>0</v>
      </c>
      <c r="O15" s="238"/>
      <c r="Q15" s="460" t="s">
        <v>13525</v>
      </c>
      <c r="R15" s="964" t="s">
        <v>13527</v>
      </c>
    </row>
    <row r="16" spans="1:18" ht="15.75" customHeight="1">
      <c r="A16" s="242"/>
      <c r="B16" s="460" t="s">
        <v>13528</v>
      </c>
      <c r="C16" s="286" t="s">
        <v>4843</v>
      </c>
      <c r="D16" s="286">
        <v>0</v>
      </c>
      <c r="E16" s="1328">
        <v>446</v>
      </c>
      <c r="F16" s="1242"/>
      <c r="G16" s="290" t="s">
        <v>13529</v>
      </c>
      <c r="H16" s="242"/>
      <c r="I16" s="1233"/>
      <c r="J16" s="242"/>
      <c r="K16" s="238"/>
      <c r="L16" s="1232">
        <f t="shared" si="0"/>
        <v>0</v>
      </c>
      <c r="M16" s="238"/>
      <c r="N16" s="285">
        <f t="shared" si="1"/>
        <v>0</v>
      </c>
      <c r="O16" s="238"/>
      <c r="Q16" s="460" t="s">
        <v>13528</v>
      </c>
      <c r="R16" s="964" t="s">
        <v>13530</v>
      </c>
    </row>
    <row r="17" spans="1:18" ht="15.75" customHeight="1">
      <c r="A17" s="242"/>
      <c r="B17" s="460" t="s">
        <v>13531</v>
      </c>
      <c r="C17" s="286" t="s">
        <v>4843</v>
      </c>
      <c r="D17" s="286">
        <v>0</v>
      </c>
      <c r="E17" s="1328">
        <v>211</v>
      </c>
      <c r="F17" s="1242"/>
      <c r="G17" s="290" t="s">
        <v>13532</v>
      </c>
      <c r="H17" s="242"/>
      <c r="I17" s="1233" t="s">
        <v>18577</v>
      </c>
      <c r="J17" s="242"/>
      <c r="K17" s="238"/>
      <c r="L17" s="1232">
        <f t="shared" si="0"/>
        <v>0</v>
      </c>
      <c r="M17" s="238"/>
      <c r="N17" s="285">
        <f t="shared" si="1"/>
        <v>0</v>
      </c>
      <c r="O17" s="238"/>
      <c r="Q17" s="460" t="s">
        <v>13531</v>
      </c>
      <c r="R17" s="964" t="s">
        <v>13533</v>
      </c>
    </row>
    <row r="18" spans="1:18" ht="15.75" customHeight="1">
      <c r="A18" s="242"/>
      <c r="B18" s="460" t="s">
        <v>13534</v>
      </c>
      <c r="C18" s="286" t="s">
        <v>12566</v>
      </c>
      <c r="D18" s="286">
        <v>0</v>
      </c>
      <c r="E18" s="1328">
        <v>2326</v>
      </c>
      <c r="F18" s="1242"/>
      <c r="G18" s="290" t="s">
        <v>13535</v>
      </c>
      <c r="H18" s="242"/>
      <c r="I18" s="1233" t="s">
        <v>18578</v>
      </c>
      <c r="J18" s="242"/>
      <c r="K18" s="238"/>
      <c r="L18" s="1232">
        <f t="shared" si="0"/>
        <v>0</v>
      </c>
      <c r="M18" s="238"/>
      <c r="N18" s="285">
        <f t="shared" si="1"/>
        <v>0</v>
      </c>
      <c r="O18" s="238"/>
      <c r="Q18" s="460" t="s">
        <v>13534</v>
      </c>
      <c r="R18" s="1330" t="s">
        <v>13536</v>
      </c>
    </row>
    <row r="19" spans="1:18" ht="15.75" customHeight="1">
      <c r="A19" s="242"/>
      <c r="B19" s="460" t="s">
        <v>13537</v>
      </c>
      <c r="C19" s="286" t="s">
        <v>13538</v>
      </c>
      <c r="D19" s="286">
        <v>2</v>
      </c>
      <c r="E19" s="1331">
        <v>10792.51</v>
      </c>
      <c r="F19" s="1242"/>
      <c r="G19" s="290" t="s">
        <v>13539</v>
      </c>
      <c r="H19" s="242"/>
      <c r="I19" s="1233"/>
      <c r="J19" s="242"/>
      <c r="K19" s="238"/>
      <c r="L19" s="1232">
        <f t="shared" si="0"/>
        <v>0</v>
      </c>
      <c r="M19" s="238"/>
      <c r="N19" s="285">
        <f t="shared" si="1"/>
        <v>0</v>
      </c>
      <c r="O19" s="238"/>
      <c r="Q19" s="460" t="s">
        <v>13537</v>
      </c>
      <c r="R19" s="964" t="s">
        <v>13540</v>
      </c>
    </row>
    <row r="20" spans="1:18" ht="15.75" customHeight="1">
      <c r="A20" s="242"/>
      <c r="B20" s="460" t="s">
        <v>13541</v>
      </c>
      <c r="C20" s="286" t="s">
        <v>13538</v>
      </c>
      <c r="D20" s="286">
        <v>2</v>
      </c>
      <c r="E20" s="1331">
        <v>532408.23349584569</v>
      </c>
      <c r="F20" s="1242"/>
      <c r="G20" s="290" t="s">
        <v>13542</v>
      </c>
      <c r="H20" s="242"/>
      <c r="I20" s="1327"/>
      <c r="J20" s="242"/>
      <c r="K20" s="238"/>
      <c r="L20" s="1232">
        <f t="shared" si="0"/>
        <v>0</v>
      </c>
      <c r="M20" s="238"/>
      <c r="N20" s="285">
        <f t="shared" si="1"/>
        <v>0</v>
      </c>
      <c r="O20" s="238"/>
      <c r="Q20" s="460" t="s">
        <v>13541</v>
      </c>
      <c r="R20" s="1331" t="s">
        <v>13543</v>
      </c>
    </row>
    <row r="21" spans="1:18" ht="15.75" customHeight="1">
      <c r="A21" s="242"/>
      <c r="B21" s="460" t="s">
        <v>13544</v>
      </c>
      <c r="C21" s="286" t="s">
        <v>12566</v>
      </c>
      <c r="D21" s="286">
        <v>0</v>
      </c>
      <c r="E21" s="1328">
        <v>0</v>
      </c>
      <c r="F21" s="1242"/>
      <c r="G21" s="290" t="s">
        <v>13545</v>
      </c>
      <c r="H21" s="242"/>
      <c r="I21" s="1233"/>
      <c r="J21" s="242"/>
      <c r="K21" s="238"/>
      <c r="L21" s="1232">
        <f t="shared" si="0"/>
        <v>0</v>
      </c>
      <c r="M21" s="238"/>
      <c r="N21" s="285">
        <f t="shared" si="1"/>
        <v>0</v>
      </c>
      <c r="O21" s="238"/>
      <c r="Q21" s="460" t="s">
        <v>13544</v>
      </c>
      <c r="R21" s="964" t="s">
        <v>13546</v>
      </c>
    </row>
    <row r="22" spans="1:18" ht="15.75" customHeight="1">
      <c r="A22" s="242"/>
      <c r="B22" s="460" t="s">
        <v>13547</v>
      </c>
      <c r="C22" s="286" t="s">
        <v>12566</v>
      </c>
      <c r="D22" s="286">
        <v>0</v>
      </c>
      <c r="E22" s="1328">
        <v>0</v>
      </c>
      <c r="F22" s="1242"/>
      <c r="G22" s="290" t="s">
        <v>13548</v>
      </c>
      <c r="H22" s="242"/>
      <c r="I22" s="1233"/>
      <c r="J22" s="242"/>
      <c r="K22" s="238"/>
      <c r="L22" s="1232">
        <f t="shared" si="0"/>
        <v>0</v>
      </c>
      <c r="M22" s="238"/>
      <c r="N22" s="285">
        <f t="shared" si="1"/>
        <v>0</v>
      </c>
      <c r="O22" s="238"/>
      <c r="Q22" s="460" t="s">
        <v>13547</v>
      </c>
      <c r="R22" s="964" t="s">
        <v>13549</v>
      </c>
    </row>
    <row r="23" spans="1:18" ht="15.75" customHeight="1">
      <c r="A23" s="242"/>
      <c r="B23" s="460" t="s">
        <v>13550</v>
      </c>
      <c r="C23" s="286" t="s">
        <v>12566</v>
      </c>
      <c r="D23" s="286">
        <v>0</v>
      </c>
      <c r="E23" s="1328">
        <v>5612</v>
      </c>
      <c r="F23" s="1242"/>
      <c r="G23" s="290" t="s">
        <v>13551</v>
      </c>
      <c r="H23" s="242"/>
      <c r="I23" s="1233"/>
      <c r="J23" s="242"/>
      <c r="K23" s="238"/>
      <c r="L23" s="1232">
        <f t="shared" si="0"/>
        <v>0</v>
      </c>
      <c r="M23" s="238"/>
      <c r="N23" s="285">
        <f t="shared" si="1"/>
        <v>0</v>
      </c>
      <c r="O23" s="238"/>
      <c r="Q23" s="460" t="s">
        <v>13550</v>
      </c>
      <c r="R23" s="1330" t="s">
        <v>13552</v>
      </c>
    </row>
    <row r="24" spans="1:18" ht="15.75" customHeight="1">
      <c r="A24" s="242"/>
      <c r="B24" s="460" t="s">
        <v>13553</v>
      </c>
      <c r="C24" s="286" t="s">
        <v>12566</v>
      </c>
      <c r="D24" s="286">
        <v>0</v>
      </c>
      <c r="E24" s="1328">
        <v>3674</v>
      </c>
      <c r="F24" s="1242"/>
      <c r="G24" s="290" t="s">
        <v>13554</v>
      </c>
      <c r="H24" s="242"/>
      <c r="I24" s="1233"/>
      <c r="J24" s="242"/>
      <c r="K24" s="238"/>
      <c r="L24" s="1232">
        <f t="shared" si="0"/>
        <v>0</v>
      </c>
      <c r="M24" s="238"/>
      <c r="N24" s="285">
        <f t="shared" si="1"/>
        <v>0</v>
      </c>
      <c r="O24" s="238"/>
      <c r="Q24" s="460" t="s">
        <v>13553</v>
      </c>
      <c r="R24" s="1330" t="s">
        <v>13555</v>
      </c>
    </row>
    <row r="25" spans="1:18" ht="15.75" customHeight="1">
      <c r="A25" s="242"/>
      <c r="B25" s="460" t="s">
        <v>13556</v>
      </c>
      <c r="C25" s="286" t="s">
        <v>12566</v>
      </c>
      <c r="D25" s="286">
        <v>0</v>
      </c>
      <c r="E25" s="1328">
        <v>8899</v>
      </c>
      <c r="F25" s="1242"/>
      <c r="G25" s="290" t="s">
        <v>13557</v>
      </c>
      <c r="H25" s="242"/>
      <c r="I25" s="1233"/>
      <c r="J25" s="242"/>
      <c r="K25" s="238"/>
      <c r="L25" s="1232">
        <f t="shared" si="0"/>
        <v>0</v>
      </c>
      <c r="M25" s="238"/>
      <c r="N25" s="285">
        <f t="shared" si="1"/>
        <v>0</v>
      </c>
      <c r="O25" s="238"/>
      <c r="Q25" s="460" t="s">
        <v>13556</v>
      </c>
      <c r="R25" s="1330" t="s">
        <v>13558</v>
      </c>
    </row>
    <row r="26" spans="1:18" ht="15.75" customHeight="1">
      <c r="A26" s="242"/>
      <c r="B26" s="460" t="s">
        <v>13559</v>
      </c>
      <c r="C26" s="286" t="s">
        <v>12566</v>
      </c>
      <c r="D26" s="286">
        <v>0</v>
      </c>
      <c r="E26" s="1328">
        <v>1323</v>
      </c>
      <c r="F26" s="1242"/>
      <c r="G26" s="290" t="s">
        <v>13560</v>
      </c>
      <c r="H26" s="242"/>
      <c r="I26" s="1233"/>
      <c r="J26" s="242"/>
      <c r="K26" s="238"/>
      <c r="L26" s="1232">
        <f t="shared" si="0"/>
        <v>0</v>
      </c>
      <c r="M26" s="238"/>
      <c r="N26" s="285">
        <f t="shared" si="1"/>
        <v>0</v>
      </c>
      <c r="O26" s="238"/>
      <c r="Q26" s="460" t="s">
        <v>13559</v>
      </c>
      <c r="R26" s="1330" t="s">
        <v>13561</v>
      </c>
    </row>
    <row r="27" spans="1:18" ht="15.75" customHeight="1">
      <c r="A27" s="242"/>
      <c r="B27" s="460" t="s">
        <v>13562</v>
      </c>
      <c r="C27" s="286" t="s">
        <v>12566</v>
      </c>
      <c r="D27" s="286">
        <v>0</v>
      </c>
      <c r="E27" s="1328">
        <v>442</v>
      </c>
      <c r="F27" s="1242"/>
      <c r="G27" s="290" t="s">
        <v>13563</v>
      </c>
      <c r="H27" s="242"/>
      <c r="I27" s="1233"/>
      <c r="J27" s="242"/>
      <c r="K27" s="238"/>
      <c r="L27" s="1232">
        <f t="shared" si="0"/>
        <v>0</v>
      </c>
      <c r="M27" s="238"/>
      <c r="N27" s="285">
        <f t="shared" si="1"/>
        <v>0</v>
      </c>
      <c r="O27" s="238"/>
      <c r="Q27" s="460" t="s">
        <v>13562</v>
      </c>
      <c r="R27" s="1330" t="s">
        <v>13564</v>
      </c>
    </row>
    <row r="28" spans="1:18" ht="15.75" customHeight="1">
      <c r="A28" s="242"/>
      <c r="B28" s="460" t="s">
        <v>13565</v>
      </c>
      <c r="C28" s="286" t="s">
        <v>12566</v>
      </c>
      <c r="D28" s="286">
        <v>0</v>
      </c>
      <c r="E28" s="1733">
        <f>IFERROR(SUM(E23:E27),0)</f>
        <v>19950</v>
      </c>
      <c r="F28" s="1242"/>
      <c r="G28" s="290" t="s">
        <v>13566</v>
      </c>
      <c r="H28" s="242"/>
      <c r="I28" s="1233"/>
      <c r="J28" s="242"/>
      <c r="K28" s="238"/>
      <c r="M28" s="238"/>
      <c r="O28" s="238"/>
      <c r="Q28" s="460" t="s">
        <v>13565</v>
      </c>
      <c r="R28" s="1332" t="s">
        <v>13567</v>
      </c>
    </row>
    <row r="29" spans="1:18" ht="15.75" customHeight="1" thickBot="1">
      <c r="A29" s="242"/>
      <c r="B29" s="463" t="s">
        <v>13568</v>
      </c>
      <c r="C29" s="355" t="s">
        <v>12566</v>
      </c>
      <c r="D29" s="355">
        <v>0</v>
      </c>
      <c r="E29" s="1734">
        <v>17175</v>
      </c>
      <c r="F29" s="1242"/>
      <c r="G29" s="356" t="s">
        <v>13569</v>
      </c>
      <c r="H29" s="242"/>
      <c r="I29" s="1237" t="s">
        <v>18579</v>
      </c>
      <c r="J29" s="242"/>
      <c r="K29" s="238"/>
      <c r="L29" s="1232">
        <f>IF( SUM( N29:N29 ) = 0, 0, $N$5 )</f>
        <v>0</v>
      </c>
      <c r="M29" s="238"/>
      <c r="N29" s="285">
        <f xml:space="preserve"> IF( ISNUMBER(E29 ), 0, 1 )</f>
        <v>0</v>
      </c>
      <c r="O29" s="238"/>
      <c r="Q29" s="463" t="s">
        <v>13568</v>
      </c>
      <c r="R29" s="1333" t="s">
        <v>13570</v>
      </c>
    </row>
    <row r="30" spans="1:18" ht="16.2"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D1" zoomScale="70" zoomScaleNormal="70" zoomScaleSheetLayoutView="100" workbookViewId="0">
      <selection activeCell="F29" sqref="F29"/>
    </sheetView>
  </sheetViews>
  <sheetFormatPr defaultColWidth="9" defaultRowHeight="13.8"/>
  <cols>
    <col min="1" max="1" width="1.59765625" style="219" customWidth="1"/>
    <col min="2" max="2" width="87.59765625" style="219" bestFit="1" customWidth="1"/>
    <col min="3" max="3" width="17.69921875" style="219" customWidth="1"/>
    <col min="4" max="4" width="6.69921875" style="219" customWidth="1"/>
    <col min="5" max="5" width="13.59765625" style="219" customWidth="1"/>
    <col min="6" max="6" width="9.69921875" style="219" bestFit="1" customWidth="1"/>
    <col min="7" max="7" width="10.19921875" style="219" bestFit="1" customWidth="1"/>
    <col min="8" max="8" width="5.8984375" style="219" bestFit="1" customWidth="1"/>
    <col min="9" max="9" width="7" style="219" bestFit="1" customWidth="1"/>
    <col min="10" max="10" width="5.8984375" style="219" bestFit="1" customWidth="1"/>
    <col min="11" max="11" width="7" style="219" bestFit="1" customWidth="1"/>
    <col min="12" max="12" width="10.69921875" style="219" customWidth="1"/>
    <col min="13" max="13" width="1.59765625" style="219" customWidth="1"/>
    <col min="14" max="14" width="10.09765625" style="219" bestFit="1" customWidth="1"/>
    <col min="15" max="15" width="15.09765625" style="219" bestFit="1" customWidth="1"/>
    <col min="16" max="16" width="7.19921875" style="219" bestFit="1" customWidth="1"/>
    <col min="17" max="17" width="9.69921875" style="219" bestFit="1" customWidth="1"/>
    <col min="18" max="18" width="11" style="219" customWidth="1"/>
    <col min="19" max="19" width="8.19921875" style="219" bestFit="1" customWidth="1"/>
    <col min="20" max="20" width="14.5" style="219" bestFit="1" customWidth="1"/>
    <col min="21" max="21" width="15.59765625" style="219" bestFit="1" customWidth="1"/>
    <col min="22" max="22" width="8.19921875" style="219" bestFit="1" customWidth="1"/>
    <col min="23" max="23" width="9.69921875" style="219" bestFit="1" customWidth="1"/>
    <col min="24" max="24" width="10.69921875" style="219" customWidth="1"/>
    <col min="25" max="25" width="8.19921875" style="219" bestFit="1" customWidth="1"/>
    <col min="26" max="26" width="13.19921875" style="219" bestFit="1" customWidth="1"/>
    <col min="27" max="27" width="14.5" style="219" bestFit="1" customWidth="1"/>
    <col min="28" max="28" width="8.09765625" style="219" bestFit="1" customWidth="1"/>
    <col min="29" max="29" width="9.69921875" style="219" bestFit="1" customWidth="1"/>
    <col min="30" max="30" width="10.69921875" style="219" customWidth="1"/>
    <col min="31" max="31" width="1.59765625" style="219" customWidth="1"/>
    <col min="32" max="32" width="13.19921875" style="219" customWidth="1"/>
    <col min="33" max="33" width="1.59765625" style="219" customWidth="1"/>
    <col min="34" max="34" width="29.5" style="219" bestFit="1" customWidth="1"/>
    <col min="35" max="36" width="1.59765625" style="219" customWidth="1"/>
    <col min="37" max="37" width="20.59765625" style="219" customWidth="1"/>
    <col min="38" max="38" width="1.59765625" style="219" customWidth="1"/>
    <col min="39" max="39" width="20.5" style="219" hidden="1" customWidth="1"/>
    <col min="40" max="40" width="7.5" style="219" hidden="1" customWidth="1"/>
    <col min="41" max="41" width="10.09765625" style="219" hidden="1" customWidth="1"/>
    <col min="42" max="42" width="7.5" style="219" hidden="1" customWidth="1"/>
    <col min="43" max="43" width="9" style="219" hidden="1" customWidth="1"/>
    <col min="44" max="45" width="9.59765625" style="219" hidden="1" customWidth="1"/>
    <col min="46" max="47" width="8.59765625" style="219" hidden="1" customWidth="1"/>
    <col min="48" max="55" width="8.09765625" style="219" hidden="1" customWidth="1"/>
    <col min="56" max="56" width="7.59765625" style="219" hidden="1" customWidth="1"/>
    <col min="57" max="57" width="8.09765625" style="219" hidden="1" customWidth="1"/>
    <col min="58" max="59" width="7.09765625" style="219" hidden="1" customWidth="1"/>
    <col min="60" max="60" width="6.59765625" style="219" hidden="1" customWidth="1"/>
    <col min="61" max="61" width="5" style="219" hidden="1" customWidth="1"/>
    <col min="62" max="63" width="6" style="219" hidden="1" customWidth="1"/>
    <col min="64" max="64" width="1.59765625" style="219" hidden="1" customWidth="1"/>
    <col min="65" max="65" width="1.59765625" style="219" customWidth="1"/>
    <col min="66" max="66" width="40" style="219" customWidth="1"/>
    <col min="67" max="74" width="12.5" style="219" customWidth="1"/>
    <col min="75" max="75" width="1.5" style="219" customWidth="1"/>
    <col min="76" max="92" width="12.5" style="219" customWidth="1"/>
    <col min="93" max="93" width="1.59765625" style="219" customWidth="1"/>
    <col min="94" max="16384" width="9" style="219"/>
  </cols>
  <sheetData>
    <row r="1" spans="1:93" ht="30" customHeight="1">
      <c r="B1" s="1229" t="s">
        <v>13571</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Dŵr Cymru</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31" t="s">
        <v>13572</v>
      </c>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J3" s="238"/>
      <c r="AK3" s="1240" t="s">
        <v>4200</v>
      </c>
      <c r="AL3" s="238"/>
      <c r="BL3" s="238"/>
      <c r="BN3" s="2931" t="s">
        <v>13572</v>
      </c>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17" t="s">
        <v>4201</v>
      </c>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34" t="s">
        <v>4202</v>
      </c>
      <c r="C5" s="2715" t="s">
        <v>4203</v>
      </c>
      <c r="D5" s="2715" t="s">
        <v>4204</v>
      </c>
      <c r="E5" s="2715" t="s">
        <v>13573</v>
      </c>
      <c r="F5" s="2715"/>
      <c r="G5" s="2715"/>
      <c r="H5" s="2715"/>
      <c r="I5" s="2715"/>
      <c r="J5" s="2715"/>
      <c r="K5" s="2715"/>
      <c r="L5" s="2717"/>
      <c r="M5" s="1336"/>
      <c r="N5" s="2734" t="s">
        <v>13574</v>
      </c>
      <c r="O5" s="2715"/>
      <c r="P5" s="2715"/>
      <c r="Q5" s="2715"/>
      <c r="R5" s="2715"/>
      <c r="S5" s="2715"/>
      <c r="T5" s="2715"/>
      <c r="U5" s="2715"/>
      <c r="V5" s="2715"/>
      <c r="W5" s="2715"/>
      <c r="X5" s="2715"/>
      <c r="Y5" s="2715"/>
      <c r="Z5" s="2715"/>
      <c r="AA5" s="2715"/>
      <c r="AB5" s="2715"/>
      <c r="AC5" s="2715"/>
      <c r="AD5" s="2717"/>
      <c r="AE5" s="242"/>
      <c r="AF5" s="2811" t="s">
        <v>4208</v>
      </c>
      <c r="AG5" s="242"/>
      <c r="AH5" s="2811"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34"/>
      <c r="BO5" s="2715" t="s">
        <v>13573</v>
      </c>
      <c r="BP5" s="2715"/>
      <c r="BQ5" s="2715"/>
      <c r="BR5" s="2715"/>
      <c r="BS5" s="2715"/>
      <c r="BT5" s="2715"/>
      <c r="BU5" s="2715"/>
      <c r="BV5" s="2717"/>
      <c r="BW5" s="1336"/>
      <c r="BX5" s="2734" t="s">
        <v>13574</v>
      </c>
      <c r="BY5" s="2715"/>
      <c r="BZ5" s="2715"/>
      <c r="CA5" s="2715"/>
      <c r="CB5" s="2715"/>
      <c r="CC5" s="2715"/>
      <c r="CD5" s="2715"/>
      <c r="CE5" s="2715"/>
      <c r="CF5" s="2715"/>
      <c r="CG5" s="2715"/>
      <c r="CH5" s="2715"/>
      <c r="CI5" s="2715"/>
      <c r="CJ5" s="2715"/>
      <c r="CK5" s="2715"/>
      <c r="CL5" s="2715"/>
      <c r="CM5" s="2715"/>
      <c r="CN5" s="2717"/>
    </row>
    <row r="6" spans="1:93" ht="15" customHeight="1">
      <c r="A6" s="242"/>
      <c r="B6" s="2817"/>
      <c r="C6" s="2818"/>
      <c r="D6" s="2818"/>
      <c r="E6" s="2818" t="s">
        <v>13575</v>
      </c>
      <c r="F6" s="2818" t="s">
        <v>13576</v>
      </c>
      <c r="G6" s="2818"/>
      <c r="H6" s="2818" t="s">
        <v>13577</v>
      </c>
      <c r="I6" s="2818"/>
      <c r="J6" s="2818"/>
      <c r="K6" s="2818"/>
      <c r="L6" s="2859" t="s">
        <v>4425</v>
      </c>
      <c r="M6" s="1336"/>
      <c r="N6" s="2817" t="s">
        <v>13578</v>
      </c>
      <c r="O6" s="2818"/>
      <c r="P6" s="2818"/>
      <c r="Q6" s="2818"/>
      <c r="R6" s="2818"/>
      <c r="S6" s="2878" t="s">
        <v>13579</v>
      </c>
      <c r="T6" s="2818"/>
      <c r="U6" s="2818"/>
      <c r="V6" s="2818"/>
      <c r="W6" s="2818"/>
      <c r="X6" s="2818"/>
      <c r="Y6" s="2818" t="s">
        <v>13580</v>
      </c>
      <c r="Z6" s="2818"/>
      <c r="AA6" s="2818"/>
      <c r="AB6" s="2818"/>
      <c r="AC6" s="2818"/>
      <c r="AD6" s="2859"/>
      <c r="AE6" s="242"/>
      <c r="AF6" s="2812"/>
      <c r="AG6" s="242"/>
      <c r="AH6" s="2812"/>
      <c r="AI6" s="242"/>
      <c r="AJ6" s="238"/>
      <c r="AL6" s="238"/>
      <c r="BL6" s="238"/>
      <c r="BN6" s="2817"/>
      <c r="BO6" s="2818" t="s">
        <v>13575</v>
      </c>
      <c r="BP6" s="2818" t="s">
        <v>13576</v>
      </c>
      <c r="BQ6" s="2818"/>
      <c r="BR6" s="2818" t="s">
        <v>13577</v>
      </c>
      <c r="BS6" s="2818"/>
      <c r="BT6" s="2818"/>
      <c r="BU6" s="2818"/>
      <c r="BV6" s="2859" t="s">
        <v>4425</v>
      </c>
      <c r="BW6" s="1336"/>
      <c r="BX6" s="2817" t="s">
        <v>13578</v>
      </c>
      <c r="BY6" s="2818"/>
      <c r="BZ6" s="2818"/>
      <c r="CA6" s="2818"/>
      <c r="CB6" s="2818"/>
      <c r="CC6" s="2878" t="s">
        <v>13579</v>
      </c>
      <c r="CD6" s="2818"/>
      <c r="CE6" s="2818"/>
      <c r="CF6" s="2818"/>
      <c r="CG6" s="2818"/>
      <c r="CH6" s="2818"/>
      <c r="CI6" s="2818" t="s">
        <v>13580</v>
      </c>
      <c r="CJ6" s="2818"/>
      <c r="CK6" s="2818"/>
      <c r="CL6" s="2818"/>
      <c r="CM6" s="2818"/>
      <c r="CN6" s="2859"/>
    </row>
    <row r="7" spans="1:93" ht="105" customHeight="1" thickBot="1">
      <c r="A7" s="242"/>
      <c r="B7" s="2735"/>
      <c r="C7" s="2716"/>
      <c r="D7" s="2716"/>
      <c r="E7" s="2716"/>
      <c r="F7" s="271" t="s">
        <v>13581</v>
      </c>
      <c r="G7" s="271" t="s">
        <v>13582</v>
      </c>
      <c r="H7" s="271" t="s">
        <v>13583</v>
      </c>
      <c r="I7" s="271" t="s">
        <v>13584</v>
      </c>
      <c r="J7" s="271" t="s">
        <v>13585</v>
      </c>
      <c r="K7" s="271" t="s">
        <v>13586</v>
      </c>
      <c r="L7" s="2718"/>
      <c r="M7" s="1337"/>
      <c r="N7" s="430" t="s">
        <v>13587</v>
      </c>
      <c r="O7" s="271" t="s">
        <v>13588</v>
      </c>
      <c r="P7" s="271" t="s">
        <v>13589</v>
      </c>
      <c r="Q7" s="271" t="s">
        <v>13590</v>
      </c>
      <c r="R7" s="271" t="s">
        <v>4425</v>
      </c>
      <c r="S7" s="271" t="s">
        <v>13591</v>
      </c>
      <c r="T7" s="271" t="s">
        <v>13592</v>
      </c>
      <c r="U7" s="271" t="s">
        <v>13593</v>
      </c>
      <c r="V7" s="271" t="s">
        <v>13594</v>
      </c>
      <c r="W7" s="271" t="s">
        <v>13590</v>
      </c>
      <c r="X7" s="271" t="s">
        <v>4425</v>
      </c>
      <c r="Y7" s="271" t="s">
        <v>13595</v>
      </c>
      <c r="Z7" s="271" t="s">
        <v>13596</v>
      </c>
      <c r="AA7" s="271" t="s">
        <v>13597</v>
      </c>
      <c r="AB7" s="271" t="s">
        <v>13598</v>
      </c>
      <c r="AC7" s="271" t="s">
        <v>13590</v>
      </c>
      <c r="AD7" s="672" t="s">
        <v>4425</v>
      </c>
      <c r="AE7" s="242"/>
      <c r="AF7" s="2813"/>
      <c r="AG7" s="242"/>
      <c r="AH7" s="2813"/>
      <c r="AI7" s="242"/>
      <c r="AJ7" s="238"/>
      <c r="AL7" s="238"/>
      <c r="BL7" s="238"/>
      <c r="BN7" s="2735"/>
      <c r="BO7" s="2716"/>
      <c r="BP7" s="271" t="s">
        <v>13581</v>
      </c>
      <c r="BQ7" s="271" t="s">
        <v>13582</v>
      </c>
      <c r="BR7" s="271" t="s">
        <v>13583</v>
      </c>
      <c r="BS7" s="271" t="s">
        <v>13584</v>
      </c>
      <c r="BT7" s="271" t="s">
        <v>13585</v>
      </c>
      <c r="BU7" s="271" t="s">
        <v>13586</v>
      </c>
      <c r="BV7" s="2718"/>
      <c r="BW7" s="1337"/>
      <c r="BX7" s="430" t="s">
        <v>13587</v>
      </c>
      <c r="BY7" s="271" t="s">
        <v>13588</v>
      </c>
      <c r="BZ7" s="271" t="s">
        <v>13589</v>
      </c>
      <c r="CA7" s="271" t="s">
        <v>13590</v>
      </c>
      <c r="CB7" s="271" t="s">
        <v>4425</v>
      </c>
      <c r="CC7" s="271" t="s">
        <v>13591</v>
      </c>
      <c r="CD7" s="271" t="s">
        <v>13592</v>
      </c>
      <c r="CE7" s="271" t="s">
        <v>13593</v>
      </c>
      <c r="CF7" s="271" t="s">
        <v>13594</v>
      </c>
      <c r="CG7" s="271" t="s">
        <v>13590</v>
      </c>
      <c r="CH7" s="271" t="s">
        <v>4425</v>
      </c>
      <c r="CI7" s="271" t="s">
        <v>13595</v>
      </c>
      <c r="CJ7" s="271" t="s">
        <v>13596</v>
      </c>
      <c r="CK7" s="271" t="s">
        <v>13597</v>
      </c>
      <c r="CL7" s="271" t="s">
        <v>13598</v>
      </c>
      <c r="CM7" s="271" t="s">
        <v>13590</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13599</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13599</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13600</v>
      </c>
      <c r="C10" s="277" t="s">
        <v>13601</v>
      </c>
      <c r="D10" s="277">
        <v>0</v>
      </c>
      <c r="E10" s="1728">
        <v>106</v>
      </c>
      <c r="F10" s="1728">
        <v>256</v>
      </c>
      <c r="G10" s="1728">
        <v>2031</v>
      </c>
      <c r="H10" s="1728">
        <v>163</v>
      </c>
      <c r="I10" s="1728">
        <v>33</v>
      </c>
      <c r="J10" s="1728">
        <v>230</v>
      </c>
      <c r="K10" s="1728">
        <v>0</v>
      </c>
      <c r="L10" s="1735">
        <f>IFERROR(SUM(E10:K10),0)</f>
        <v>2819</v>
      </c>
      <c r="M10" s="1736"/>
      <c r="N10" s="1737">
        <v>0</v>
      </c>
      <c r="O10" s="1728">
        <v>0</v>
      </c>
      <c r="P10" s="1728">
        <v>0</v>
      </c>
      <c r="Q10" s="1728">
        <v>2819</v>
      </c>
      <c r="R10" s="1738">
        <f>IFERROR(SUM(N10:Q10),0)</f>
        <v>2819</v>
      </c>
      <c r="S10" s="1728">
        <v>0</v>
      </c>
      <c r="T10" s="1728">
        <v>3</v>
      </c>
      <c r="U10" s="1728">
        <v>340</v>
      </c>
      <c r="V10" s="1728">
        <v>1611</v>
      </c>
      <c r="W10" s="1728">
        <v>865</v>
      </c>
      <c r="X10" s="1738">
        <f>IFERROR(SUM(S10:W10),0)</f>
        <v>2819</v>
      </c>
      <c r="Y10" s="1728">
        <v>0</v>
      </c>
      <c r="Z10" s="1728">
        <v>11</v>
      </c>
      <c r="AA10" s="1728">
        <v>277</v>
      </c>
      <c r="AB10" s="1728">
        <v>597</v>
      </c>
      <c r="AC10" s="1728">
        <v>1934</v>
      </c>
      <c r="AD10" s="1735">
        <f t="shared" ref="AD10:AD15" si="0">IFERROR(SUM(Y10:AC10),0)</f>
        <v>2819</v>
      </c>
      <c r="AE10" s="242"/>
      <c r="AF10" s="281" t="s">
        <v>13602</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13600</v>
      </c>
      <c r="BO10" s="1159" t="s">
        <v>13603</v>
      </c>
      <c r="BP10" s="1159" t="s">
        <v>13604</v>
      </c>
      <c r="BQ10" s="1159" t="s">
        <v>13605</v>
      </c>
      <c r="BR10" s="1159" t="s">
        <v>13606</v>
      </c>
      <c r="BS10" s="1159" t="s">
        <v>13607</v>
      </c>
      <c r="BT10" s="1159" t="s">
        <v>13608</v>
      </c>
      <c r="BU10" s="1159" t="s">
        <v>13609</v>
      </c>
      <c r="BV10" s="1341" t="s">
        <v>13610</v>
      </c>
      <c r="BW10" s="114"/>
      <c r="BX10" s="1342" t="s">
        <v>13611</v>
      </c>
      <c r="BY10" s="1159" t="s">
        <v>13612</v>
      </c>
      <c r="BZ10" s="1159" t="s">
        <v>13613</v>
      </c>
      <c r="CA10" s="1159" t="s">
        <v>13614</v>
      </c>
      <c r="CB10" s="1343" t="s">
        <v>13615</v>
      </c>
      <c r="CC10" s="1159" t="s">
        <v>13616</v>
      </c>
      <c r="CD10" s="1159" t="s">
        <v>13617</v>
      </c>
      <c r="CE10" s="1159" t="s">
        <v>13618</v>
      </c>
      <c r="CF10" s="1159" t="s">
        <v>13619</v>
      </c>
      <c r="CG10" s="1159" t="s">
        <v>13620</v>
      </c>
      <c r="CH10" s="1343" t="s">
        <v>13621</v>
      </c>
      <c r="CI10" s="1159" t="s">
        <v>13622</v>
      </c>
      <c r="CJ10" s="1159" t="s">
        <v>13623</v>
      </c>
      <c r="CK10" s="1159" t="s">
        <v>13624</v>
      </c>
      <c r="CL10" s="1159" t="s">
        <v>13625</v>
      </c>
      <c r="CM10" s="1159" t="s">
        <v>13626</v>
      </c>
      <c r="CN10" s="1341" t="s">
        <v>13627</v>
      </c>
    </row>
    <row r="11" spans="1:93" ht="15.75" customHeight="1">
      <c r="A11" s="242"/>
      <c r="B11" s="460" t="s">
        <v>13628</v>
      </c>
      <c r="C11" s="286" t="s">
        <v>13601</v>
      </c>
      <c r="D11" s="286">
        <v>0</v>
      </c>
      <c r="E11" s="1717">
        <v>24</v>
      </c>
      <c r="F11" s="1717">
        <v>410</v>
      </c>
      <c r="G11" s="1717">
        <v>1880</v>
      </c>
      <c r="H11" s="1717">
        <v>17</v>
      </c>
      <c r="I11" s="1717">
        <v>60</v>
      </c>
      <c r="J11" s="1717">
        <v>279</v>
      </c>
      <c r="K11" s="1717">
        <v>0</v>
      </c>
      <c r="L11" s="1733">
        <f t="shared" ref="L11:L16" si="22">IFERROR(SUM(E11:K11),0)</f>
        <v>2670</v>
      </c>
      <c r="M11" s="1736"/>
      <c r="N11" s="1739">
        <v>0</v>
      </c>
      <c r="O11" s="1717">
        <v>0</v>
      </c>
      <c r="P11" s="1717">
        <v>56</v>
      </c>
      <c r="Q11" s="1717">
        <v>2615</v>
      </c>
      <c r="R11" s="1721">
        <f t="shared" ref="R11:R15" si="23">IFERROR(SUM(N11:Q11),0)</f>
        <v>2671</v>
      </c>
      <c r="S11" s="1717">
        <v>0</v>
      </c>
      <c r="T11" s="1717">
        <v>48</v>
      </c>
      <c r="U11" s="1717">
        <v>279</v>
      </c>
      <c r="V11" s="1717">
        <v>2281</v>
      </c>
      <c r="W11" s="1717">
        <v>63</v>
      </c>
      <c r="X11" s="1721">
        <f t="shared" ref="X11:X16" si="24">IFERROR(SUM(S11:W11),0)</f>
        <v>2671</v>
      </c>
      <c r="Y11" s="1717">
        <v>0</v>
      </c>
      <c r="Z11" s="1717">
        <v>24</v>
      </c>
      <c r="AA11" s="1717">
        <v>452</v>
      </c>
      <c r="AB11" s="1717">
        <v>635</v>
      </c>
      <c r="AC11" s="1717">
        <v>1560</v>
      </c>
      <c r="AD11" s="1733">
        <f t="shared" si="0"/>
        <v>2671</v>
      </c>
      <c r="AE11" s="242"/>
      <c r="AF11" s="290" t="s">
        <v>13629</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13628</v>
      </c>
      <c r="BO11" s="1323" t="s">
        <v>13630</v>
      </c>
      <c r="BP11" s="1323" t="s">
        <v>13631</v>
      </c>
      <c r="BQ11" s="1323" t="s">
        <v>13632</v>
      </c>
      <c r="BR11" s="1323" t="s">
        <v>13633</v>
      </c>
      <c r="BS11" s="1323" t="s">
        <v>13634</v>
      </c>
      <c r="BT11" s="1323" t="s">
        <v>13635</v>
      </c>
      <c r="BU11" s="1323" t="s">
        <v>13636</v>
      </c>
      <c r="BV11" s="1332" t="s">
        <v>13637</v>
      </c>
      <c r="BW11" s="114"/>
      <c r="BX11" s="1344" t="s">
        <v>13638</v>
      </c>
      <c r="BY11" s="1323" t="s">
        <v>13639</v>
      </c>
      <c r="BZ11" s="1323" t="s">
        <v>13640</v>
      </c>
      <c r="CA11" s="1323" t="s">
        <v>13641</v>
      </c>
      <c r="CB11" s="1318" t="s">
        <v>13642</v>
      </c>
      <c r="CC11" s="1323" t="s">
        <v>13643</v>
      </c>
      <c r="CD11" s="1323" t="s">
        <v>13644</v>
      </c>
      <c r="CE11" s="1323" t="s">
        <v>13645</v>
      </c>
      <c r="CF11" s="1323" t="s">
        <v>13646</v>
      </c>
      <c r="CG11" s="1323" t="s">
        <v>13647</v>
      </c>
      <c r="CH11" s="1318" t="s">
        <v>13648</v>
      </c>
      <c r="CI11" s="1323" t="s">
        <v>13649</v>
      </c>
      <c r="CJ11" s="1323" t="s">
        <v>13650</v>
      </c>
      <c r="CK11" s="1323" t="s">
        <v>13651</v>
      </c>
      <c r="CL11" s="1323" t="s">
        <v>13652</v>
      </c>
      <c r="CM11" s="1323" t="s">
        <v>13653</v>
      </c>
      <c r="CN11" s="1332" t="s">
        <v>13654</v>
      </c>
    </row>
    <row r="12" spans="1:93" ht="15.75" customHeight="1">
      <c r="A12" s="242"/>
      <c r="B12" s="460" t="s">
        <v>13655</v>
      </c>
      <c r="C12" s="286" t="s">
        <v>13601</v>
      </c>
      <c r="D12" s="286">
        <v>0</v>
      </c>
      <c r="E12" s="1717">
        <v>0</v>
      </c>
      <c r="F12" s="1717">
        <v>1381</v>
      </c>
      <c r="G12" s="1717">
        <v>5000</v>
      </c>
      <c r="H12" s="1717">
        <v>138</v>
      </c>
      <c r="I12" s="1717">
        <v>624</v>
      </c>
      <c r="J12" s="1717">
        <v>967</v>
      </c>
      <c r="K12" s="1717">
        <v>504</v>
      </c>
      <c r="L12" s="1733">
        <f t="shared" si="22"/>
        <v>8614</v>
      </c>
      <c r="M12" s="1736"/>
      <c r="N12" s="1739">
        <v>140</v>
      </c>
      <c r="O12" s="1717">
        <v>143</v>
      </c>
      <c r="P12" s="1717">
        <v>0</v>
      </c>
      <c r="Q12" s="1717">
        <v>8331</v>
      </c>
      <c r="R12" s="1721">
        <f t="shared" si="23"/>
        <v>8614</v>
      </c>
      <c r="S12" s="1717">
        <v>0</v>
      </c>
      <c r="T12" s="1717">
        <v>163</v>
      </c>
      <c r="U12" s="1717">
        <v>1279</v>
      </c>
      <c r="V12" s="1717">
        <v>7134</v>
      </c>
      <c r="W12" s="1717">
        <v>38</v>
      </c>
      <c r="X12" s="1721">
        <f t="shared" si="24"/>
        <v>8614</v>
      </c>
      <c r="Y12" s="1717">
        <v>0</v>
      </c>
      <c r="Z12" s="1717">
        <v>164</v>
      </c>
      <c r="AA12" s="1717">
        <v>1532</v>
      </c>
      <c r="AB12" s="1717">
        <v>2309</v>
      </c>
      <c r="AC12" s="1717">
        <v>4609</v>
      </c>
      <c r="AD12" s="1733">
        <f t="shared" si="0"/>
        <v>8614</v>
      </c>
      <c r="AE12" s="242"/>
      <c r="AF12" s="290" t="s">
        <v>13656</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13655</v>
      </c>
      <c r="BO12" s="1323" t="s">
        <v>13657</v>
      </c>
      <c r="BP12" s="1323" t="s">
        <v>13658</v>
      </c>
      <c r="BQ12" s="1323" t="s">
        <v>13659</v>
      </c>
      <c r="BR12" s="1323" t="s">
        <v>13660</v>
      </c>
      <c r="BS12" s="1323" t="s">
        <v>13661</v>
      </c>
      <c r="BT12" s="1323" t="s">
        <v>13662</v>
      </c>
      <c r="BU12" s="1323" t="s">
        <v>13663</v>
      </c>
      <c r="BV12" s="1332" t="s">
        <v>13664</v>
      </c>
      <c r="BW12" s="114"/>
      <c r="BX12" s="1344" t="s">
        <v>13665</v>
      </c>
      <c r="BY12" s="1323" t="s">
        <v>13666</v>
      </c>
      <c r="BZ12" s="1323" t="s">
        <v>13667</v>
      </c>
      <c r="CA12" s="1323" t="s">
        <v>13668</v>
      </c>
      <c r="CB12" s="1318" t="s">
        <v>13669</v>
      </c>
      <c r="CC12" s="1323" t="s">
        <v>13670</v>
      </c>
      <c r="CD12" s="1323" t="s">
        <v>13671</v>
      </c>
      <c r="CE12" s="1323" t="s">
        <v>13672</v>
      </c>
      <c r="CF12" s="1323" t="s">
        <v>13673</v>
      </c>
      <c r="CG12" s="1323" t="s">
        <v>13674</v>
      </c>
      <c r="CH12" s="1318" t="s">
        <v>13675</v>
      </c>
      <c r="CI12" s="1323" t="s">
        <v>13676</v>
      </c>
      <c r="CJ12" s="1323" t="s">
        <v>13677</v>
      </c>
      <c r="CK12" s="1323" t="s">
        <v>13678</v>
      </c>
      <c r="CL12" s="1323" t="s">
        <v>13679</v>
      </c>
      <c r="CM12" s="1323" t="s">
        <v>13680</v>
      </c>
      <c r="CN12" s="1332" t="s">
        <v>13681</v>
      </c>
    </row>
    <row r="13" spans="1:93" ht="15.75" customHeight="1">
      <c r="A13" s="242"/>
      <c r="B13" s="460" t="s">
        <v>13682</v>
      </c>
      <c r="C13" s="286" t="s">
        <v>13601</v>
      </c>
      <c r="D13" s="286">
        <v>0</v>
      </c>
      <c r="E13" s="1717">
        <v>0</v>
      </c>
      <c r="F13" s="1717">
        <v>3514</v>
      </c>
      <c r="G13" s="1717">
        <v>7674</v>
      </c>
      <c r="H13" s="1717">
        <v>1059</v>
      </c>
      <c r="I13" s="1717">
        <v>2921</v>
      </c>
      <c r="J13" s="1717">
        <v>1197</v>
      </c>
      <c r="K13" s="1717">
        <v>3315</v>
      </c>
      <c r="L13" s="1733">
        <f t="shared" si="22"/>
        <v>19680</v>
      </c>
      <c r="M13" s="1740"/>
      <c r="N13" s="1739">
        <v>0</v>
      </c>
      <c r="O13" s="1717">
        <v>3087</v>
      </c>
      <c r="P13" s="1717">
        <v>1069</v>
      </c>
      <c r="Q13" s="1717">
        <v>15524</v>
      </c>
      <c r="R13" s="1721">
        <f t="shared" si="23"/>
        <v>19680</v>
      </c>
      <c r="S13" s="1717">
        <v>150</v>
      </c>
      <c r="T13" s="1717">
        <v>784</v>
      </c>
      <c r="U13" s="1717">
        <v>3975</v>
      </c>
      <c r="V13" s="1717">
        <v>14771</v>
      </c>
      <c r="W13" s="1717">
        <v>0</v>
      </c>
      <c r="X13" s="1721">
        <f t="shared" si="24"/>
        <v>19680</v>
      </c>
      <c r="Y13" s="1717">
        <v>0</v>
      </c>
      <c r="Z13" s="1717">
        <v>486</v>
      </c>
      <c r="AA13" s="1717">
        <v>5541</v>
      </c>
      <c r="AB13" s="1717">
        <v>4471</v>
      </c>
      <c r="AC13" s="1717">
        <v>9181</v>
      </c>
      <c r="AD13" s="1733">
        <f t="shared" si="0"/>
        <v>19679</v>
      </c>
      <c r="AE13" s="242"/>
      <c r="AF13" s="290" t="s">
        <v>13683</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13682</v>
      </c>
      <c r="BO13" s="1323" t="s">
        <v>13684</v>
      </c>
      <c r="BP13" s="1323" t="s">
        <v>13685</v>
      </c>
      <c r="BQ13" s="1323" t="s">
        <v>13686</v>
      </c>
      <c r="BR13" s="1323" t="s">
        <v>13687</v>
      </c>
      <c r="BS13" s="1323" t="s">
        <v>13688</v>
      </c>
      <c r="BT13" s="1323" t="s">
        <v>13689</v>
      </c>
      <c r="BU13" s="1323" t="s">
        <v>13690</v>
      </c>
      <c r="BV13" s="1332" t="s">
        <v>13691</v>
      </c>
      <c r="BW13" s="432"/>
      <c r="BX13" s="1344" t="s">
        <v>13692</v>
      </c>
      <c r="BY13" s="1323" t="s">
        <v>13693</v>
      </c>
      <c r="BZ13" s="1323" t="s">
        <v>13694</v>
      </c>
      <c r="CA13" s="1323" t="s">
        <v>13695</v>
      </c>
      <c r="CB13" s="1318" t="s">
        <v>13696</v>
      </c>
      <c r="CC13" s="1323" t="s">
        <v>13697</v>
      </c>
      <c r="CD13" s="1323" t="s">
        <v>13698</v>
      </c>
      <c r="CE13" s="1323" t="s">
        <v>13699</v>
      </c>
      <c r="CF13" s="1323" t="s">
        <v>13700</v>
      </c>
      <c r="CG13" s="1323" t="s">
        <v>13701</v>
      </c>
      <c r="CH13" s="1318" t="s">
        <v>13702</v>
      </c>
      <c r="CI13" s="1323" t="s">
        <v>13703</v>
      </c>
      <c r="CJ13" s="1323" t="s">
        <v>13704</v>
      </c>
      <c r="CK13" s="1323" t="s">
        <v>13705</v>
      </c>
      <c r="CL13" s="1323" t="s">
        <v>13706</v>
      </c>
      <c r="CM13" s="1323" t="s">
        <v>13707</v>
      </c>
      <c r="CN13" s="1332" t="s">
        <v>13708</v>
      </c>
    </row>
    <row r="14" spans="1:93" ht="15.75" customHeight="1">
      <c r="A14" s="242"/>
      <c r="B14" s="460" t="s">
        <v>13709</v>
      </c>
      <c r="C14" s="286" t="s">
        <v>13601</v>
      </c>
      <c r="D14" s="286">
        <v>0</v>
      </c>
      <c r="E14" s="1717">
        <v>0</v>
      </c>
      <c r="F14" s="1717">
        <v>5810</v>
      </c>
      <c r="G14" s="1717">
        <v>4120</v>
      </c>
      <c r="H14" s="1717">
        <v>4675</v>
      </c>
      <c r="I14" s="1717">
        <v>4615</v>
      </c>
      <c r="J14" s="1717">
        <v>5160</v>
      </c>
      <c r="K14" s="1717">
        <v>4051</v>
      </c>
      <c r="L14" s="1733">
        <f t="shared" si="22"/>
        <v>28431</v>
      </c>
      <c r="M14" s="1736"/>
      <c r="N14" s="1739">
        <v>0</v>
      </c>
      <c r="O14" s="1717">
        <v>7672</v>
      </c>
      <c r="P14" s="1717">
        <v>7352</v>
      </c>
      <c r="Q14" s="1717">
        <v>13407</v>
      </c>
      <c r="R14" s="1721">
        <f t="shared" si="23"/>
        <v>28431</v>
      </c>
      <c r="S14" s="1717">
        <v>610</v>
      </c>
      <c r="T14" s="1717">
        <v>4283</v>
      </c>
      <c r="U14" s="1717">
        <v>4109</v>
      </c>
      <c r="V14" s="1717">
        <v>19430</v>
      </c>
      <c r="W14" s="1717">
        <v>0</v>
      </c>
      <c r="X14" s="1721">
        <f t="shared" si="24"/>
        <v>28432</v>
      </c>
      <c r="Y14" s="1717">
        <v>0</v>
      </c>
      <c r="Z14" s="1717">
        <v>4893</v>
      </c>
      <c r="AA14" s="1717">
        <v>6691</v>
      </c>
      <c r="AB14" s="1717">
        <v>6134</v>
      </c>
      <c r="AC14" s="1717">
        <v>10715</v>
      </c>
      <c r="AD14" s="1733">
        <f t="shared" si="0"/>
        <v>28433</v>
      </c>
      <c r="AE14" s="242"/>
      <c r="AF14" s="290" t="s">
        <v>13710</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13709</v>
      </c>
      <c r="BO14" s="1323" t="s">
        <v>13711</v>
      </c>
      <c r="BP14" s="1323" t="s">
        <v>13712</v>
      </c>
      <c r="BQ14" s="1323" t="s">
        <v>13713</v>
      </c>
      <c r="BR14" s="1323" t="s">
        <v>13714</v>
      </c>
      <c r="BS14" s="1323" t="s">
        <v>13715</v>
      </c>
      <c r="BT14" s="1323" t="s">
        <v>13716</v>
      </c>
      <c r="BU14" s="1323" t="s">
        <v>13717</v>
      </c>
      <c r="BV14" s="1332" t="s">
        <v>13718</v>
      </c>
      <c r="BW14" s="114"/>
      <c r="BX14" s="1344" t="s">
        <v>13719</v>
      </c>
      <c r="BY14" s="1323" t="s">
        <v>13720</v>
      </c>
      <c r="BZ14" s="1323" t="s">
        <v>13721</v>
      </c>
      <c r="CA14" s="1323" t="s">
        <v>13722</v>
      </c>
      <c r="CB14" s="1318" t="s">
        <v>13723</v>
      </c>
      <c r="CC14" s="1323" t="s">
        <v>13724</v>
      </c>
      <c r="CD14" s="1323" t="s">
        <v>13725</v>
      </c>
      <c r="CE14" s="1323" t="s">
        <v>13726</v>
      </c>
      <c r="CF14" s="1323" t="s">
        <v>13727</v>
      </c>
      <c r="CG14" s="1323" t="s">
        <v>13728</v>
      </c>
      <c r="CH14" s="1318" t="s">
        <v>13729</v>
      </c>
      <c r="CI14" s="1323" t="s">
        <v>13730</v>
      </c>
      <c r="CJ14" s="1323" t="s">
        <v>13731</v>
      </c>
      <c r="CK14" s="1323" t="s">
        <v>13732</v>
      </c>
      <c r="CL14" s="1323" t="s">
        <v>13733</v>
      </c>
      <c r="CM14" s="1323" t="s">
        <v>13734</v>
      </c>
      <c r="CN14" s="1332" t="s">
        <v>13735</v>
      </c>
    </row>
    <row r="15" spans="1:93" ht="15.75" customHeight="1">
      <c r="A15" s="242"/>
      <c r="B15" s="460" t="s">
        <v>13736</v>
      </c>
      <c r="C15" s="286" t="s">
        <v>13601</v>
      </c>
      <c r="D15" s="286">
        <v>0</v>
      </c>
      <c r="E15" s="1717">
        <v>0</v>
      </c>
      <c r="F15" s="1717">
        <v>119868</v>
      </c>
      <c r="G15" s="1717">
        <v>4288</v>
      </c>
      <c r="H15" s="1717">
        <v>0</v>
      </c>
      <c r="I15" s="1717">
        <v>47330</v>
      </c>
      <c r="J15" s="1717">
        <v>0</v>
      </c>
      <c r="K15" s="1717">
        <v>9767</v>
      </c>
      <c r="L15" s="1733">
        <f t="shared" si="22"/>
        <v>181253</v>
      </c>
      <c r="M15" s="1736"/>
      <c r="N15" s="1739">
        <v>0</v>
      </c>
      <c r="O15" s="1717">
        <v>20845</v>
      </c>
      <c r="P15" s="1717">
        <v>13257</v>
      </c>
      <c r="Q15" s="1717">
        <v>147152</v>
      </c>
      <c r="R15" s="1721">
        <f t="shared" si="23"/>
        <v>181254</v>
      </c>
      <c r="S15" s="1717">
        <v>0</v>
      </c>
      <c r="T15" s="1717">
        <v>0</v>
      </c>
      <c r="U15" s="1717">
        <v>27363</v>
      </c>
      <c r="V15" s="1717">
        <v>153890</v>
      </c>
      <c r="W15" s="1717">
        <v>0</v>
      </c>
      <c r="X15" s="1721">
        <f>IFERROR(SUM(S15:W15),0)</f>
        <v>181253</v>
      </c>
      <c r="Y15" s="1717">
        <v>0</v>
      </c>
      <c r="Z15" s="1717">
        <v>0</v>
      </c>
      <c r="AA15" s="1717">
        <v>42084</v>
      </c>
      <c r="AB15" s="1717">
        <v>91693</v>
      </c>
      <c r="AC15" s="1717">
        <v>47476</v>
      </c>
      <c r="AD15" s="1733">
        <f t="shared" si="0"/>
        <v>181253</v>
      </c>
      <c r="AE15" s="242"/>
      <c r="AF15" s="290" t="s">
        <v>13737</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13736</v>
      </c>
      <c r="BO15" s="1323" t="s">
        <v>13738</v>
      </c>
      <c r="BP15" s="1323" t="s">
        <v>13739</v>
      </c>
      <c r="BQ15" s="1323" t="s">
        <v>13740</v>
      </c>
      <c r="BR15" s="1323" t="s">
        <v>13741</v>
      </c>
      <c r="BS15" s="1323" t="s">
        <v>13742</v>
      </c>
      <c r="BT15" s="1323" t="s">
        <v>13743</v>
      </c>
      <c r="BU15" s="1323" t="s">
        <v>13744</v>
      </c>
      <c r="BV15" s="1332" t="s">
        <v>13745</v>
      </c>
      <c r="BW15" s="114"/>
      <c r="BX15" s="1344" t="s">
        <v>13746</v>
      </c>
      <c r="BY15" s="1323" t="s">
        <v>13747</v>
      </c>
      <c r="BZ15" s="1323" t="s">
        <v>13748</v>
      </c>
      <c r="CA15" s="1323" t="s">
        <v>13749</v>
      </c>
      <c r="CB15" s="1318" t="s">
        <v>13750</v>
      </c>
      <c r="CC15" s="1323" t="s">
        <v>13751</v>
      </c>
      <c r="CD15" s="1323" t="s">
        <v>13752</v>
      </c>
      <c r="CE15" s="1323" t="s">
        <v>13753</v>
      </c>
      <c r="CF15" s="1323" t="s">
        <v>13754</v>
      </c>
      <c r="CG15" s="1323" t="s">
        <v>13755</v>
      </c>
      <c r="CH15" s="1318" t="s">
        <v>13756</v>
      </c>
      <c r="CI15" s="1323" t="s">
        <v>13757</v>
      </c>
      <c r="CJ15" s="1323" t="s">
        <v>13758</v>
      </c>
      <c r="CK15" s="1323" t="s">
        <v>13759</v>
      </c>
      <c r="CL15" s="1323" t="s">
        <v>13760</v>
      </c>
      <c r="CM15" s="1323" t="s">
        <v>13761</v>
      </c>
      <c r="CN15" s="1332" t="s">
        <v>13762</v>
      </c>
    </row>
    <row r="16" spans="1:93" ht="15.75" customHeight="1">
      <c r="A16" s="242"/>
      <c r="B16" s="460" t="s">
        <v>13763</v>
      </c>
      <c r="C16" s="286" t="s">
        <v>13601</v>
      </c>
      <c r="D16" s="286">
        <v>0</v>
      </c>
      <c r="E16" s="1721">
        <f>IFERROR(SUM(E10:E15),0)</f>
        <v>130</v>
      </c>
      <c r="F16" s="1721">
        <f t="shared" ref="F16:K16" si="46">IFERROR(SUM(F10:F15),0)</f>
        <v>131239</v>
      </c>
      <c r="G16" s="1721">
        <f t="shared" si="46"/>
        <v>24993</v>
      </c>
      <c r="H16" s="1721">
        <f t="shared" si="46"/>
        <v>6052</v>
      </c>
      <c r="I16" s="1721">
        <f t="shared" si="46"/>
        <v>55583</v>
      </c>
      <c r="J16" s="1721">
        <f t="shared" si="46"/>
        <v>7833</v>
      </c>
      <c r="K16" s="1721">
        <f t="shared" si="46"/>
        <v>17637</v>
      </c>
      <c r="L16" s="1733">
        <f t="shared" si="22"/>
        <v>243467</v>
      </c>
      <c r="M16" s="1741"/>
      <c r="N16" s="1742">
        <f t="shared" ref="N16:P16" si="47">IFERROR(SUM(N10:N15),0)</f>
        <v>140</v>
      </c>
      <c r="O16" s="1721">
        <f t="shared" si="47"/>
        <v>31747</v>
      </c>
      <c r="P16" s="1721">
        <f t="shared" si="47"/>
        <v>21734</v>
      </c>
      <c r="Q16" s="1721">
        <f>IFERROR(SUM(Q10:Q15),0)</f>
        <v>189848</v>
      </c>
      <c r="R16" s="1721">
        <f>IFERROR(SUM(N16:Q16),0)</f>
        <v>243469</v>
      </c>
      <c r="S16" s="1721">
        <f t="shared" ref="S16:W16" si="48">IFERROR(SUM(S10:S15),0)</f>
        <v>760</v>
      </c>
      <c r="T16" s="1721">
        <f t="shared" si="48"/>
        <v>5281</v>
      </c>
      <c r="U16" s="1721">
        <f t="shared" si="48"/>
        <v>37345</v>
      </c>
      <c r="V16" s="1721">
        <f t="shared" si="48"/>
        <v>199117</v>
      </c>
      <c r="W16" s="1721">
        <f t="shared" si="48"/>
        <v>966</v>
      </c>
      <c r="X16" s="1721">
        <f t="shared" si="24"/>
        <v>243469</v>
      </c>
      <c r="Y16" s="1721">
        <f>IFERROR(SUM(Y10:Y15),0)</f>
        <v>0</v>
      </c>
      <c r="Z16" s="1721">
        <f t="shared" ref="Z16:AC16" si="49">IFERROR(SUM(Z10:Z15),0)</f>
        <v>5578</v>
      </c>
      <c r="AA16" s="1721">
        <f t="shared" si="49"/>
        <v>56577</v>
      </c>
      <c r="AB16" s="1721">
        <f t="shared" si="49"/>
        <v>105839</v>
      </c>
      <c r="AC16" s="1721">
        <f t="shared" si="49"/>
        <v>75475</v>
      </c>
      <c r="AD16" s="1733">
        <f>IFERROR(SUM(Y16:AC16),0)</f>
        <v>243469</v>
      </c>
      <c r="AE16" s="242"/>
      <c r="AF16" s="290" t="s">
        <v>13764</v>
      </c>
      <c r="AG16" s="242"/>
      <c r="AH16" s="1233"/>
      <c r="AI16" s="242"/>
      <c r="AJ16" s="238"/>
      <c r="AL16" s="238"/>
      <c r="BL16" s="238"/>
      <c r="BN16" s="460" t="s">
        <v>13763</v>
      </c>
      <c r="BO16" s="1318" t="s">
        <v>13765</v>
      </c>
      <c r="BP16" s="1318" t="s">
        <v>13766</v>
      </c>
      <c r="BQ16" s="1318" t="s">
        <v>13767</v>
      </c>
      <c r="BR16" s="1318" t="s">
        <v>13768</v>
      </c>
      <c r="BS16" s="1318" t="s">
        <v>13769</v>
      </c>
      <c r="BT16" s="1318" t="s">
        <v>13770</v>
      </c>
      <c r="BU16" s="1318" t="s">
        <v>13771</v>
      </c>
      <c r="BV16" s="1332" t="s">
        <v>13772</v>
      </c>
      <c r="BW16" s="83"/>
      <c r="BX16" s="1345" t="s">
        <v>13773</v>
      </c>
      <c r="BY16" s="1318" t="s">
        <v>13774</v>
      </c>
      <c r="BZ16" s="1318" t="s">
        <v>13775</v>
      </c>
      <c r="CA16" s="1318" t="s">
        <v>13776</v>
      </c>
      <c r="CB16" s="1318" t="s">
        <v>13777</v>
      </c>
      <c r="CC16" s="1318" t="s">
        <v>13778</v>
      </c>
      <c r="CD16" s="1318" t="s">
        <v>13779</v>
      </c>
      <c r="CE16" s="1318" t="s">
        <v>13780</v>
      </c>
      <c r="CF16" s="1318" t="s">
        <v>13781</v>
      </c>
      <c r="CG16" s="1318" t="s">
        <v>13782</v>
      </c>
      <c r="CH16" s="1318" t="s">
        <v>13783</v>
      </c>
      <c r="CI16" s="1318" t="s">
        <v>13784</v>
      </c>
      <c r="CJ16" s="1318" t="s">
        <v>13785</v>
      </c>
      <c r="CK16" s="1318" t="s">
        <v>13786</v>
      </c>
      <c r="CL16" s="1318" t="s">
        <v>13787</v>
      </c>
      <c r="CM16" s="1318" t="s">
        <v>13788</v>
      </c>
      <c r="CN16" s="1332" t="s">
        <v>13789</v>
      </c>
    </row>
    <row r="17" spans="1:92" ht="15.75" customHeight="1" thickBot="1">
      <c r="A17" s="242"/>
      <c r="B17" s="463" t="s">
        <v>13790</v>
      </c>
      <c r="C17" s="355" t="s">
        <v>13601</v>
      </c>
      <c r="D17" s="355">
        <v>0</v>
      </c>
      <c r="E17" s="1743"/>
      <c r="F17" s="1743"/>
      <c r="G17" s="1743"/>
      <c r="H17" s="1743"/>
      <c r="I17" s="1743"/>
      <c r="J17" s="1743"/>
      <c r="K17" s="1743"/>
      <c r="L17" s="1734">
        <v>18759</v>
      </c>
      <c r="M17" s="1744"/>
      <c r="N17" s="1745"/>
      <c r="O17" s="1746"/>
      <c r="P17" s="1746"/>
      <c r="Q17" s="1746"/>
      <c r="R17" s="1746"/>
      <c r="S17" s="1746"/>
      <c r="T17" s="1746"/>
      <c r="U17" s="1746"/>
      <c r="V17" s="1746"/>
      <c r="W17" s="1746"/>
      <c r="X17" s="1746"/>
      <c r="Y17" s="1746"/>
      <c r="Z17" s="1746"/>
      <c r="AA17" s="1747"/>
      <c r="AB17" s="1747"/>
      <c r="AC17" s="1747"/>
      <c r="AD17" s="1748"/>
      <c r="AE17" s="242"/>
      <c r="AF17" s="356" t="s">
        <v>13791</v>
      </c>
      <c r="AG17" s="242"/>
      <c r="AH17" s="1237"/>
      <c r="AI17" s="242"/>
      <c r="AJ17" s="238"/>
      <c r="AK17" s="1232">
        <f t="shared" si="1"/>
        <v>0</v>
      </c>
      <c r="AL17" s="238"/>
      <c r="AT17" s="285">
        <f t="shared" si="31"/>
        <v>0</v>
      </c>
      <c r="BL17" s="238"/>
      <c r="BN17" s="463" t="s">
        <v>13790</v>
      </c>
      <c r="BO17" s="1346"/>
      <c r="BP17" s="1346"/>
      <c r="BQ17" s="1346"/>
      <c r="BR17" s="1346"/>
      <c r="BS17" s="1346"/>
      <c r="BT17" s="1346"/>
      <c r="BU17" s="1346"/>
      <c r="BV17" s="1333" t="s">
        <v>13792</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13793</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13793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13794</v>
      </c>
      <c r="C20" s="277" t="s">
        <v>4843</v>
      </c>
      <c r="D20" s="277">
        <v>0</v>
      </c>
      <c r="E20" s="1728">
        <v>64</v>
      </c>
      <c r="F20" s="1728">
        <v>38</v>
      </c>
      <c r="G20" s="1728">
        <v>336</v>
      </c>
      <c r="H20" s="1728">
        <v>13</v>
      </c>
      <c r="I20" s="1728">
        <v>2</v>
      </c>
      <c r="J20" s="1728">
        <v>29</v>
      </c>
      <c r="K20" s="1728">
        <v>0</v>
      </c>
      <c r="L20" s="1735">
        <f t="shared" ref="L20:L25" si="50">IFERROR(SUM(E20:K20),0)</f>
        <v>482</v>
      </c>
      <c r="M20" s="1736"/>
      <c r="N20" s="1737">
        <v>0</v>
      </c>
      <c r="O20" s="1728">
        <v>0</v>
      </c>
      <c r="P20" s="1728">
        <v>0</v>
      </c>
      <c r="Q20" s="1728">
        <v>482</v>
      </c>
      <c r="R20" s="1738">
        <f t="shared" ref="R20:R25" si="51">IFERROR(SUM(N20:Q20),0)</f>
        <v>482</v>
      </c>
      <c r="S20" s="1728">
        <v>0</v>
      </c>
      <c r="T20" s="1728">
        <v>1</v>
      </c>
      <c r="U20" s="1728">
        <v>38</v>
      </c>
      <c r="V20" s="1728">
        <v>179</v>
      </c>
      <c r="W20" s="1728">
        <v>264</v>
      </c>
      <c r="X20" s="1738">
        <f t="shared" ref="X20:X26" si="52">IFERROR(SUM(S20:W20),0)</f>
        <v>482</v>
      </c>
      <c r="Y20" s="1728">
        <v>0</v>
      </c>
      <c r="Z20" s="1728">
        <v>3</v>
      </c>
      <c r="AA20" s="1728">
        <v>32</v>
      </c>
      <c r="AB20" s="1728">
        <v>62</v>
      </c>
      <c r="AC20" s="1728">
        <v>385</v>
      </c>
      <c r="AD20" s="1735">
        <f t="shared" ref="AD20:AD26" si="53">IFERROR(SUM(Y20:AC20),0)</f>
        <v>482</v>
      </c>
      <c r="AE20" s="242"/>
      <c r="AF20" s="281" t="s">
        <v>13795</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13794</v>
      </c>
      <c r="BO20" s="904" t="s">
        <v>13796</v>
      </c>
      <c r="BP20" s="904" t="s">
        <v>13797</v>
      </c>
      <c r="BQ20" s="904" t="s">
        <v>13798</v>
      </c>
      <c r="BR20" s="904" t="s">
        <v>13799</v>
      </c>
      <c r="BS20" s="904" t="s">
        <v>13800</v>
      </c>
      <c r="BT20" s="904" t="s">
        <v>13801</v>
      </c>
      <c r="BU20" s="904" t="s">
        <v>13802</v>
      </c>
      <c r="BV20" s="1341" t="s">
        <v>13803</v>
      </c>
      <c r="BW20" s="114"/>
      <c r="BX20" s="1351" t="s">
        <v>13804</v>
      </c>
      <c r="BY20" s="904" t="s">
        <v>13805</v>
      </c>
      <c r="BZ20" s="904" t="s">
        <v>13806</v>
      </c>
      <c r="CA20" s="904" t="s">
        <v>13807</v>
      </c>
      <c r="CB20" s="1343" t="s">
        <v>13808</v>
      </c>
      <c r="CC20" s="904" t="s">
        <v>13809</v>
      </c>
      <c r="CD20" s="904" t="s">
        <v>13810</v>
      </c>
      <c r="CE20" s="904" t="s">
        <v>13811</v>
      </c>
      <c r="CF20" s="904" t="s">
        <v>13812</v>
      </c>
      <c r="CG20" s="904" t="s">
        <v>13813</v>
      </c>
      <c r="CH20" s="1343" t="s">
        <v>13814</v>
      </c>
      <c r="CI20" s="904" t="s">
        <v>13815</v>
      </c>
      <c r="CJ20" s="904" t="s">
        <v>13816</v>
      </c>
      <c r="CK20" s="904" t="s">
        <v>13817</v>
      </c>
      <c r="CL20" s="904" t="s">
        <v>13818</v>
      </c>
      <c r="CM20" s="904" t="s">
        <v>13819</v>
      </c>
      <c r="CN20" s="1341" t="s">
        <v>13820</v>
      </c>
    </row>
    <row r="21" spans="1:92" ht="15.75" customHeight="1">
      <c r="A21" s="242"/>
      <c r="B21" s="460" t="s">
        <v>13821</v>
      </c>
      <c r="C21" s="286" t="s">
        <v>4843</v>
      </c>
      <c r="D21" s="286">
        <v>0</v>
      </c>
      <c r="E21" s="1717">
        <v>1</v>
      </c>
      <c r="F21" s="1717">
        <v>12</v>
      </c>
      <c r="G21" s="1717">
        <v>72</v>
      </c>
      <c r="H21" s="1717">
        <v>1</v>
      </c>
      <c r="I21" s="1717">
        <v>1</v>
      </c>
      <c r="J21" s="1717">
        <v>13</v>
      </c>
      <c r="K21" s="1717">
        <v>0</v>
      </c>
      <c r="L21" s="1733">
        <f t="shared" si="50"/>
        <v>100</v>
      </c>
      <c r="M21" s="1736"/>
      <c r="N21" s="1739">
        <v>0</v>
      </c>
      <c r="O21" s="1717">
        <v>0</v>
      </c>
      <c r="P21" s="1717">
        <v>3</v>
      </c>
      <c r="Q21" s="1717">
        <v>97</v>
      </c>
      <c r="R21" s="1721">
        <f t="shared" si="51"/>
        <v>100</v>
      </c>
      <c r="S21" s="1717">
        <v>0</v>
      </c>
      <c r="T21" s="1717">
        <v>2</v>
      </c>
      <c r="U21" s="1717">
        <v>12</v>
      </c>
      <c r="V21" s="1717">
        <v>83</v>
      </c>
      <c r="W21" s="1717">
        <v>3</v>
      </c>
      <c r="X21" s="1721">
        <f t="shared" si="52"/>
        <v>100</v>
      </c>
      <c r="Y21" s="1717">
        <v>0</v>
      </c>
      <c r="Z21" s="1717">
        <v>1</v>
      </c>
      <c r="AA21" s="1717">
        <v>21</v>
      </c>
      <c r="AB21" s="1717">
        <v>28</v>
      </c>
      <c r="AC21" s="1717">
        <v>50</v>
      </c>
      <c r="AD21" s="1733">
        <f t="shared" si="53"/>
        <v>100</v>
      </c>
      <c r="AE21" s="242"/>
      <c r="AF21" s="290" t="s">
        <v>13822</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13821</v>
      </c>
      <c r="BO21" s="905" t="s">
        <v>13823</v>
      </c>
      <c r="BP21" s="905" t="s">
        <v>13824</v>
      </c>
      <c r="BQ21" s="905" t="s">
        <v>13825</v>
      </c>
      <c r="BR21" s="905" t="s">
        <v>13826</v>
      </c>
      <c r="BS21" s="905" t="s">
        <v>13827</v>
      </c>
      <c r="BT21" s="905" t="s">
        <v>13828</v>
      </c>
      <c r="BU21" s="905" t="s">
        <v>13829</v>
      </c>
      <c r="BV21" s="1332" t="s">
        <v>13830</v>
      </c>
      <c r="BW21" s="114"/>
      <c r="BX21" s="1352" t="s">
        <v>13831</v>
      </c>
      <c r="BY21" s="905" t="s">
        <v>13832</v>
      </c>
      <c r="BZ21" s="905" t="s">
        <v>13833</v>
      </c>
      <c r="CA21" s="905" t="s">
        <v>13834</v>
      </c>
      <c r="CB21" s="1318" t="s">
        <v>13835</v>
      </c>
      <c r="CC21" s="905" t="s">
        <v>13836</v>
      </c>
      <c r="CD21" s="905" t="s">
        <v>13837</v>
      </c>
      <c r="CE21" s="905" t="s">
        <v>13838</v>
      </c>
      <c r="CF21" s="905" t="s">
        <v>13839</v>
      </c>
      <c r="CG21" s="905" t="s">
        <v>13840</v>
      </c>
      <c r="CH21" s="1318" t="s">
        <v>13841</v>
      </c>
      <c r="CI21" s="905" t="s">
        <v>13842</v>
      </c>
      <c r="CJ21" s="905" t="s">
        <v>13843</v>
      </c>
      <c r="CK21" s="905" t="s">
        <v>13844</v>
      </c>
      <c r="CL21" s="905" t="s">
        <v>13845</v>
      </c>
      <c r="CM21" s="905" t="s">
        <v>13846</v>
      </c>
      <c r="CN21" s="1332" t="s">
        <v>13847</v>
      </c>
    </row>
    <row r="22" spans="1:92" ht="15.75" customHeight="1">
      <c r="A22" s="242"/>
      <c r="B22" s="460" t="s">
        <v>13848</v>
      </c>
      <c r="C22" s="286" t="s">
        <v>4843</v>
      </c>
      <c r="D22" s="286">
        <v>0</v>
      </c>
      <c r="E22" s="1717">
        <v>0</v>
      </c>
      <c r="F22" s="1717">
        <v>20</v>
      </c>
      <c r="G22" s="1717">
        <v>77</v>
      </c>
      <c r="H22" s="1717">
        <v>2</v>
      </c>
      <c r="I22" s="1717">
        <v>5</v>
      </c>
      <c r="J22" s="1717">
        <v>12</v>
      </c>
      <c r="K22" s="1717">
        <v>3</v>
      </c>
      <c r="L22" s="1733">
        <f t="shared" si="50"/>
        <v>119</v>
      </c>
      <c r="M22" s="1736"/>
      <c r="N22" s="1739">
        <v>1</v>
      </c>
      <c r="O22" s="1717">
        <v>2</v>
      </c>
      <c r="P22" s="1717">
        <v>0</v>
      </c>
      <c r="Q22" s="1717">
        <v>116</v>
      </c>
      <c r="R22" s="1721">
        <f t="shared" si="51"/>
        <v>119</v>
      </c>
      <c r="S22" s="1717">
        <v>0</v>
      </c>
      <c r="T22" s="1717">
        <v>3</v>
      </c>
      <c r="U22" s="1717">
        <v>19</v>
      </c>
      <c r="V22" s="1717">
        <v>96</v>
      </c>
      <c r="W22" s="1717">
        <v>1</v>
      </c>
      <c r="X22" s="1721">
        <f t="shared" si="52"/>
        <v>119</v>
      </c>
      <c r="Y22" s="1717">
        <v>0</v>
      </c>
      <c r="Z22" s="1717">
        <v>3</v>
      </c>
      <c r="AA22" s="1717">
        <v>24</v>
      </c>
      <c r="AB22" s="1717">
        <v>33</v>
      </c>
      <c r="AC22" s="1717">
        <v>59</v>
      </c>
      <c r="AD22" s="1733">
        <f t="shared" si="53"/>
        <v>119</v>
      </c>
      <c r="AE22" s="242"/>
      <c r="AF22" s="290" t="s">
        <v>13849</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13848</v>
      </c>
      <c r="BO22" s="905" t="s">
        <v>13850</v>
      </c>
      <c r="BP22" s="905" t="s">
        <v>13851</v>
      </c>
      <c r="BQ22" s="905" t="s">
        <v>13852</v>
      </c>
      <c r="BR22" s="905" t="s">
        <v>13853</v>
      </c>
      <c r="BS22" s="905" t="s">
        <v>13854</v>
      </c>
      <c r="BT22" s="905" t="s">
        <v>13855</v>
      </c>
      <c r="BU22" s="905" t="s">
        <v>13856</v>
      </c>
      <c r="BV22" s="1332" t="s">
        <v>13857</v>
      </c>
      <c r="BW22" s="114"/>
      <c r="BX22" s="1352" t="s">
        <v>13858</v>
      </c>
      <c r="BY22" s="905" t="s">
        <v>13859</v>
      </c>
      <c r="BZ22" s="905" t="s">
        <v>13860</v>
      </c>
      <c r="CA22" s="905" t="s">
        <v>13861</v>
      </c>
      <c r="CB22" s="1318" t="s">
        <v>13862</v>
      </c>
      <c r="CC22" s="905" t="s">
        <v>13863</v>
      </c>
      <c r="CD22" s="905" t="s">
        <v>13864</v>
      </c>
      <c r="CE22" s="905" t="s">
        <v>13865</v>
      </c>
      <c r="CF22" s="905" t="s">
        <v>13866</v>
      </c>
      <c r="CG22" s="905" t="s">
        <v>13867</v>
      </c>
      <c r="CH22" s="1318" t="s">
        <v>13868</v>
      </c>
      <c r="CI22" s="905" t="s">
        <v>13869</v>
      </c>
      <c r="CJ22" s="905" t="s">
        <v>13870</v>
      </c>
      <c r="CK22" s="905" t="s">
        <v>13871</v>
      </c>
      <c r="CL22" s="905" t="s">
        <v>13872</v>
      </c>
      <c r="CM22" s="905" t="s">
        <v>13873</v>
      </c>
      <c r="CN22" s="1332" t="s">
        <v>13874</v>
      </c>
    </row>
    <row r="23" spans="1:92" ht="15.75" customHeight="1">
      <c r="A23" s="242"/>
      <c r="B23" s="460" t="s">
        <v>13875</v>
      </c>
      <c r="C23" s="286" t="s">
        <v>4843</v>
      </c>
      <c r="D23" s="286">
        <v>0</v>
      </c>
      <c r="E23" s="1717">
        <v>0</v>
      </c>
      <c r="F23" s="1717">
        <v>15</v>
      </c>
      <c r="G23" s="1717">
        <v>34</v>
      </c>
      <c r="H23" s="1717">
        <v>3</v>
      </c>
      <c r="I23" s="1717">
        <v>8</v>
      </c>
      <c r="J23" s="1717">
        <v>6</v>
      </c>
      <c r="K23" s="1717">
        <v>10</v>
      </c>
      <c r="L23" s="1733">
        <f t="shared" si="50"/>
        <v>76</v>
      </c>
      <c r="M23" s="1740"/>
      <c r="N23" s="1739">
        <v>0</v>
      </c>
      <c r="O23" s="1717">
        <v>12</v>
      </c>
      <c r="P23" s="1717">
        <v>4</v>
      </c>
      <c r="Q23" s="1717">
        <v>60</v>
      </c>
      <c r="R23" s="1721">
        <f t="shared" si="51"/>
        <v>76</v>
      </c>
      <c r="S23" s="1717">
        <v>1</v>
      </c>
      <c r="T23" s="1717">
        <v>4</v>
      </c>
      <c r="U23" s="1717">
        <v>15</v>
      </c>
      <c r="V23" s="1717">
        <v>56</v>
      </c>
      <c r="W23" s="1717">
        <v>0</v>
      </c>
      <c r="X23" s="1721">
        <f>IFERROR(SUM(S23:W23),0)</f>
        <v>76</v>
      </c>
      <c r="Y23" s="1717">
        <v>0</v>
      </c>
      <c r="Z23" s="1717">
        <v>3</v>
      </c>
      <c r="AA23" s="1717">
        <v>22</v>
      </c>
      <c r="AB23" s="1717">
        <v>19</v>
      </c>
      <c r="AC23" s="1717">
        <v>32</v>
      </c>
      <c r="AD23" s="1733">
        <f t="shared" si="53"/>
        <v>76</v>
      </c>
      <c r="AE23" s="242"/>
      <c r="AF23" s="290" t="s">
        <v>13876</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13875</v>
      </c>
      <c r="BO23" s="905" t="s">
        <v>13877</v>
      </c>
      <c r="BP23" s="905" t="s">
        <v>13878</v>
      </c>
      <c r="BQ23" s="905" t="s">
        <v>13879</v>
      </c>
      <c r="BR23" s="905" t="s">
        <v>13880</v>
      </c>
      <c r="BS23" s="905" t="s">
        <v>13881</v>
      </c>
      <c r="BT23" s="905" t="s">
        <v>13882</v>
      </c>
      <c r="BU23" s="905" t="s">
        <v>13883</v>
      </c>
      <c r="BV23" s="1332" t="s">
        <v>13884</v>
      </c>
      <c r="BW23" s="432"/>
      <c r="BX23" s="1352" t="s">
        <v>13885</v>
      </c>
      <c r="BY23" s="905" t="s">
        <v>13886</v>
      </c>
      <c r="BZ23" s="905" t="s">
        <v>13887</v>
      </c>
      <c r="CA23" s="905" t="s">
        <v>13888</v>
      </c>
      <c r="CB23" s="1318" t="s">
        <v>13889</v>
      </c>
      <c r="CC23" s="905" t="s">
        <v>13890</v>
      </c>
      <c r="CD23" s="905" t="s">
        <v>13891</v>
      </c>
      <c r="CE23" s="905" t="s">
        <v>13892</v>
      </c>
      <c r="CF23" s="905" t="s">
        <v>13893</v>
      </c>
      <c r="CG23" s="905" t="s">
        <v>13894</v>
      </c>
      <c r="CH23" s="1318" t="s">
        <v>13895</v>
      </c>
      <c r="CI23" s="905" t="s">
        <v>13896</v>
      </c>
      <c r="CJ23" s="905" t="s">
        <v>13897</v>
      </c>
      <c r="CK23" s="905" t="s">
        <v>13898</v>
      </c>
      <c r="CL23" s="905" t="s">
        <v>13899</v>
      </c>
      <c r="CM23" s="905" t="s">
        <v>13900</v>
      </c>
      <c r="CN23" s="1332" t="s">
        <v>13901</v>
      </c>
    </row>
    <row r="24" spans="1:92" ht="15.75" customHeight="1">
      <c r="A24" s="242"/>
      <c r="B24" s="460" t="s">
        <v>13902</v>
      </c>
      <c r="C24" s="286" t="s">
        <v>4843</v>
      </c>
      <c r="D24" s="286">
        <v>0</v>
      </c>
      <c r="E24" s="1717">
        <v>0</v>
      </c>
      <c r="F24" s="1717">
        <v>6</v>
      </c>
      <c r="G24" s="1717">
        <v>4</v>
      </c>
      <c r="H24" s="1717">
        <v>4</v>
      </c>
      <c r="I24" s="1717">
        <v>4</v>
      </c>
      <c r="J24" s="1717">
        <v>6</v>
      </c>
      <c r="K24" s="1717">
        <v>4</v>
      </c>
      <c r="L24" s="1733">
        <f t="shared" si="50"/>
        <v>28</v>
      </c>
      <c r="M24" s="1736"/>
      <c r="N24" s="1739">
        <v>0</v>
      </c>
      <c r="O24" s="1717">
        <v>8</v>
      </c>
      <c r="P24" s="1717">
        <v>7</v>
      </c>
      <c r="Q24" s="1717">
        <v>13</v>
      </c>
      <c r="R24" s="1721">
        <f t="shared" si="51"/>
        <v>28</v>
      </c>
      <c r="S24" s="1717">
        <v>1</v>
      </c>
      <c r="T24" s="1717">
        <v>4</v>
      </c>
      <c r="U24" s="1717">
        <v>4</v>
      </c>
      <c r="V24" s="1717">
        <v>19</v>
      </c>
      <c r="W24" s="1717">
        <v>0</v>
      </c>
      <c r="X24" s="1721">
        <f t="shared" si="52"/>
        <v>28</v>
      </c>
      <c r="Y24" s="1717">
        <v>0</v>
      </c>
      <c r="Z24" s="1717">
        <v>5</v>
      </c>
      <c r="AA24" s="1717">
        <v>7</v>
      </c>
      <c r="AB24" s="1717">
        <v>6</v>
      </c>
      <c r="AC24" s="1717">
        <v>10</v>
      </c>
      <c r="AD24" s="1733">
        <f t="shared" si="53"/>
        <v>28</v>
      </c>
      <c r="AE24" s="242"/>
      <c r="AF24" s="290" t="s">
        <v>13903</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13902</v>
      </c>
      <c r="BO24" s="905" t="s">
        <v>13904</v>
      </c>
      <c r="BP24" s="905" t="s">
        <v>13905</v>
      </c>
      <c r="BQ24" s="905" t="s">
        <v>13906</v>
      </c>
      <c r="BR24" s="905" t="s">
        <v>13907</v>
      </c>
      <c r="BS24" s="905" t="s">
        <v>13908</v>
      </c>
      <c r="BT24" s="905" t="s">
        <v>13909</v>
      </c>
      <c r="BU24" s="905" t="s">
        <v>13910</v>
      </c>
      <c r="BV24" s="1332" t="s">
        <v>13911</v>
      </c>
      <c r="BW24" s="114"/>
      <c r="BX24" s="1352" t="s">
        <v>13912</v>
      </c>
      <c r="BY24" s="905" t="s">
        <v>13913</v>
      </c>
      <c r="BZ24" s="905" t="s">
        <v>13914</v>
      </c>
      <c r="CA24" s="905" t="s">
        <v>13915</v>
      </c>
      <c r="CB24" s="1318" t="s">
        <v>13916</v>
      </c>
      <c r="CC24" s="905" t="s">
        <v>13917</v>
      </c>
      <c r="CD24" s="905" t="s">
        <v>13918</v>
      </c>
      <c r="CE24" s="905" t="s">
        <v>13919</v>
      </c>
      <c r="CF24" s="905" t="s">
        <v>13920</v>
      </c>
      <c r="CG24" s="905" t="s">
        <v>13921</v>
      </c>
      <c r="CH24" s="1318" t="s">
        <v>13922</v>
      </c>
      <c r="CI24" s="905" t="s">
        <v>13923</v>
      </c>
      <c r="CJ24" s="905" t="s">
        <v>13924</v>
      </c>
      <c r="CK24" s="905" t="s">
        <v>13925</v>
      </c>
      <c r="CL24" s="905" t="s">
        <v>13926</v>
      </c>
      <c r="CM24" s="905" t="s">
        <v>13927</v>
      </c>
      <c r="CN24" s="1332" t="s">
        <v>13928</v>
      </c>
    </row>
    <row r="25" spans="1:92" ht="15.75" customHeight="1">
      <c r="A25" s="242"/>
      <c r="B25" s="460" t="s">
        <v>13929</v>
      </c>
      <c r="C25" s="286" t="s">
        <v>4843</v>
      </c>
      <c r="D25" s="286">
        <v>0</v>
      </c>
      <c r="E25" s="1717">
        <v>0</v>
      </c>
      <c r="F25" s="1717">
        <v>9</v>
      </c>
      <c r="G25" s="1717">
        <v>1</v>
      </c>
      <c r="H25" s="1717">
        <v>0</v>
      </c>
      <c r="I25" s="1717">
        <v>10</v>
      </c>
      <c r="J25" s="1717">
        <v>0</v>
      </c>
      <c r="K25" s="1717">
        <v>3</v>
      </c>
      <c r="L25" s="1733">
        <f t="shared" si="50"/>
        <v>23</v>
      </c>
      <c r="M25" s="1736"/>
      <c r="N25" s="1739">
        <v>0</v>
      </c>
      <c r="O25" s="1717">
        <v>5</v>
      </c>
      <c r="P25" s="1717">
        <v>4</v>
      </c>
      <c r="Q25" s="1717">
        <v>14</v>
      </c>
      <c r="R25" s="1721">
        <f t="shared" si="51"/>
        <v>23</v>
      </c>
      <c r="S25" s="1717">
        <v>0</v>
      </c>
      <c r="T25" s="1717">
        <v>0</v>
      </c>
      <c r="U25" s="1717">
        <v>4</v>
      </c>
      <c r="V25" s="1717">
        <v>19</v>
      </c>
      <c r="W25" s="1717">
        <v>0</v>
      </c>
      <c r="X25" s="1721">
        <f t="shared" si="52"/>
        <v>23</v>
      </c>
      <c r="Y25" s="1717">
        <v>0</v>
      </c>
      <c r="Z25" s="1717">
        <v>0</v>
      </c>
      <c r="AA25" s="1717">
        <v>9</v>
      </c>
      <c r="AB25" s="1717">
        <v>7</v>
      </c>
      <c r="AC25" s="1717">
        <v>7</v>
      </c>
      <c r="AD25" s="1733">
        <f t="shared" si="53"/>
        <v>23</v>
      </c>
      <c r="AE25" s="242"/>
      <c r="AF25" s="290" t="s">
        <v>13930</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13929</v>
      </c>
      <c r="BO25" s="905" t="s">
        <v>13931</v>
      </c>
      <c r="BP25" s="905" t="s">
        <v>13932</v>
      </c>
      <c r="BQ25" s="905" t="s">
        <v>13933</v>
      </c>
      <c r="BR25" s="905" t="s">
        <v>13934</v>
      </c>
      <c r="BS25" s="905" t="s">
        <v>13935</v>
      </c>
      <c r="BT25" s="905" t="s">
        <v>13936</v>
      </c>
      <c r="BU25" s="905" t="s">
        <v>13937</v>
      </c>
      <c r="BV25" s="1332" t="s">
        <v>13938</v>
      </c>
      <c r="BW25" s="114"/>
      <c r="BX25" s="1352" t="s">
        <v>13939</v>
      </c>
      <c r="BY25" s="905" t="s">
        <v>13940</v>
      </c>
      <c r="BZ25" s="905" t="s">
        <v>13941</v>
      </c>
      <c r="CA25" s="905" t="s">
        <v>13942</v>
      </c>
      <c r="CB25" s="1318" t="s">
        <v>13943</v>
      </c>
      <c r="CC25" s="905" t="s">
        <v>13944</v>
      </c>
      <c r="CD25" s="905" t="s">
        <v>13945</v>
      </c>
      <c r="CE25" s="905" t="s">
        <v>13946</v>
      </c>
      <c r="CF25" s="905" t="s">
        <v>13947</v>
      </c>
      <c r="CG25" s="905" t="s">
        <v>13948</v>
      </c>
      <c r="CH25" s="1318" t="s">
        <v>13949</v>
      </c>
      <c r="CI25" s="905" t="s">
        <v>13950</v>
      </c>
      <c r="CJ25" s="905" t="s">
        <v>13951</v>
      </c>
      <c r="CK25" s="905" t="s">
        <v>13952</v>
      </c>
      <c r="CL25" s="905" t="s">
        <v>13953</v>
      </c>
      <c r="CM25" s="905" t="s">
        <v>13954</v>
      </c>
      <c r="CN25" s="1332" t="s">
        <v>13955</v>
      </c>
    </row>
    <row r="26" spans="1:92" ht="15.75" customHeight="1" thickBot="1">
      <c r="A26" s="242"/>
      <c r="B26" s="463" t="s">
        <v>13956</v>
      </c>
      <c r="C26" s="355" t="s">
        <v>4843</v>
      </c>
      <c r="D26" s="355">
        <v>0</v>
      </c>
      <c r="E26" s="1729">
        <f t="shared" ref="E26:J26" si="76">IFERROR(SUM(E20:E25),0)</f>
        <v>65</v>
      </c>
      <c r="F26" s="1729">
        <f t="shared" si="76"/>
        <v>100</v>
      </c>
      <c r="G26" s="1729">
        <f t="shared" si="76"/>
        <v>524</v>
      </c>
      <c r="H26" s="1729">
        <f t="shared" si="76"/>
        <v>23</v>
      </c>
      <c r="I26" s="1729">
        <f t="shared" si="76"/>
        <v>30</v>
      </c>
      <c r="J26" s="1729">
        <f t="shared" si="76"/>
        <v>66</v>
      </c>
      <c r="K26" s="1729">
        <f>IFERROR(SUM(K20:K25),0)</f>
        <v>20</v>
      </c>
      <c r="L26" s="1751">
        <f>IFERROR(SUM(E26:K26),0)</f>
        <v>828</v>
      </c>
      <c r="M26" s="1741"/>
      <c r="N26" s="1752">
        <f t="shared" ref="N26:P26" si="77">IFERROR(SUM(N20:N25),0)</f>
        <v>1</v>
      </c>
      <c r="O26" s="1729">
        <f t="shared" si="77"/>
        <v>27</v>
      </c>
      <c r="P26" s="1729">
        <f t="shared" si="77"/>
        <v>18</v>
      </c>
      <c r="Q26" s="1729">
        <f>IFERROR(SUM(Q20:Q25),0)</f>
        <v>782</v>
      </c>
      <c r="R26" s="1729">
        <f>IFERROR(SUM(N26:Q26),0)</f>
        <v>828</v>
      </c>
      <c r="S26" s="1729">
        <f t="shared" ref="S26:W26" si="78">IFERROR(SUM(S20:S25),0)</f>
        <v>2</v>
      </c>
      <c r="T26" s="1729">
        <f t="shared" si="78"/>
        <v>14</v>
      </c>
      <c r="U26" s="1729">
        <f t="shared" si="78"/>
        <v>92</v>
      </c>
      <c r="V26" s="1729">
        <f t="shared" si="78"/>
        <v>452</v>
      </c>
      <c r="W26" s="1729">
        <f t="shared" si="78"/>
        <v>268</v>
      </c>
      <c r="X26" s="1729">
        <f t="shared" si="52"/>
        <v>828</v>
      </c>
      <c r="Y26" s="1729">
        <f t="shared" ref="Y26:AB26" si="79">IFERROR(SUM(Y20:Y25),0)</f>
        <v>0</v>
      </c>
      <c r="Z26" s="1729">
        <f t="shared" si="79"/>
        <v>15</v>
      </c>
      <c r="AA26" s="1729">
        <f t="shared" si="79"/>
        <v>115</v>
      </c>
      <c r="AB26" s="1729">
        <f t="shared" si="79"/>
        <v>155</v>
      </c>
      <c r="AC26" s="1729">
        <f>IFERROR(SUM(AC20:AC25),0)</f>
        <v>543</v>
      </c>
      <c r="AD26" s="1751">
        <f t="shared" si="53"/>
        <v>828</v>
      </c>
      <c r="AE26" s="242"/>
      <c r="AF26" s="356" t="s">
        <v>13957</v>
      </c>
      <c r="AG26" s="242"/>
      <c r="AH26" s="1237"/>
      <c r="AI26" s="242"/>
      <c r="AJ26" s="238"/>
      <c r="AL26" s="238"/>
      <c r="BL26" s="238"/>
      <c r="BN26" s="463" t="s">
        <v>13956</v>
      </c>
      <c r="BO26" s="1324" t="s">
        <v>13958</v>
      </c>
      <c r="BP26" s="1324" t="s">
        <v>13959</v>
      </c>
      <c r="BQ26" s="1324" t="s">
        <v>13960</v>
      </c>
      <c r="BR26" s="1324" t="s">
        <v>13961</v>
      </c>
      <c r="BS26" s="1324" t="s">
        <v>13962</v>
      </c>
      <c r="BT26" s="1324" t="s">
        <v>13963</v>
      </c>
      <c r="BU26" s="1324" t="s">
        <v>13964</v>
      </c>
      <c r="BV26" s="1353" t="s">
        <v>13965</v>
      </c>
      <c r="BW26" s="83"/>
      <c r="BX26" s="1354" t="s">
        <v>13966</v>
      </c>
      <c r="BY26" s="1324" t="s">
        <v>13967</v>
      </c>
      <c r="BZ26" s="1324" t="s">
        <v>13968</v>
      </c>
      <c r="CA26" s="1324" t="s">
        <v>13969</v>
      </c>
      <c r="CB26" s="1324" t="s">
        <v>13970</v>
      </c>
      <c r="CC26" s="1324" t="s">
        <v>13971</v>
      </c>
      <c r="CD26" s="1324" t="s">
        <v>13972</v>
      </c>
      <c r="CE26" s="1324" t="s">
        <v>13973</v>
      </c>
      <c r="CF26" s="1324" t="s">
        <v>13974</v>
      </c>
      <c r="CG26" s="1324" t="s">
        <v>13975</v>
      </c>
      <c r="CH26" s="1324" t="s">
        <v>13976</v>
      </c>
      <c r="CI26" s="1324" t="s">
        <v>13977</v>
      </c>
      <c r="CJ26" s="1324" t="s">
        <v>13978</v>
      </c>
      <c r="CK26" s="1324" t="s">
        <v>13979</v>
      </c>
      <c r="CL26" s="1324" t="s">
        <v>13980</v>
      </c>
      <c r="CM26" s="1324" t="s">
        <v>13981</v>
      </c>
      <c r="CN26" s="1353" t="s">
        <v>13982</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13983</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13983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13984</v>
      </c>
      <c r="C29" s="277" t="s">
        <v>5981</v>
      </c>
      <c r="D29" s="277">
        <v>3</v>
      </c>
      <c r="E29" s="694">
        <v>3896.5610000000001</v>
      </c>
      <c r="F29" s="2444"/>
      <c r="G29" s="2444"/>
      <c r="H29" s="2444"/>
      <c r="I29" s="2444"/>
      <c r="J29" s="2444"/>
      <c r="K29" s="2444"/>
      <c r="L29" s="2445"/>
      <c r="M29" s="114"/>
      <c r="N29" s="2443"/>
      <c r="O29" s="2444"/>
      <c r="P29" s="2444"/>
      <c r="Q29" s="2444"/>
      <c r="R29" s="2444"/>
      <c r="S29" s="2444"/>
      <c r="T29" s="2444"/>
      <c r="U29" s="2444"/>
      <c r="V29" s="2444"/>
      <c r="W29" s="2444"/>
      <c r="X29" s="2444"/>
      <c r="Y29" s="2444"/>
      <c r="Z29" s="2444"/>
      <c r="AA29" s="2452"/>
      <c r="AB29" s="2452"/>
      <c r="AC29" s="2452"/>
      <c r="AD29" s="2453"/>
      <c r="AE29" s="242"/>
      <c r="AF29" s="281" t="s">
        <v>13985</v>
      </c>
      <c r="AG29" s="242"/>
      <c r="AH29" s="1231"/>
      <c r="AI29" s="242"/>
      <c r="AJ29" s="238"/>
      <c r="AK29" s="1232">
        <f t="shared" ref="AK29:AK35" si="80">IF( SUM( AM29:BK29 ) = 0, 0, $AM$5 )</f>
        <v>0</v>
      </c>
      <c r="AL29" s="238"/>
      <c r="AM29" s="285">
        <f t="shared" ref="AM29:AM35" si="81" xml:space="preserve"> IF( ISNUMBER(E29 ), 0, 1 )</f>
        <v>0</v>
      </c>
      <c r="BL29" s="238"/>
      <c r="BN29" s="451" t="s">
        <v>13984</v>
      </c>
      <c r="BO29" s="694" t="s">
        <v>13986</v>
      </c>
      <c r="BP29" s="2444"/>
      <c r="BQ29" s="2444"/>
      <c r="BR29" s="2444"/>
      <c r="BS29" s="2444"/>
      <c r="BT29" s="2444"/>
      <c r="BU29" s="2444"/>
      <c r="BV29" s="2445"/>
      <c r="BW29" s="114"/>
      <c r="BX29" s="2443"/>
      <c r="BY29" s="2444"/>
      <c r="BZ29" s="2444"/>
      <c r="CA29" s="2444"/>
      <c r="CB29" s="2444"/>
      <c r="CC29" s="2444"/>
      <c r="CD29" s="2444"/>
      <c r="CE29" s="2444"/>
      <c r="CF29" s="2444"/>
      <c r="CG29" s="2444"/>
      <c r="CH29" s="2444"/>
      <c r="CI29" s="2444"/>
      <c r="CJ29" s="2444"/>
      <c r="CK29" s="2452"/>
      <c r="CL29" s="2452"/>
      <c r="CM29" s="2452"/>
      <c r="CN29" s="2453"/>
    </row>
    <row r="30" spans="1:92" ht="15.75" customHeight="1">
      <c r="A30" s="242"/>
      <c r="B30" s="460" t="s">
        <v>13987</v>
      </c>
      <c r="C30" s="286" t="s">
        <v>5981</v>
      </c>
      <c r="D30" s="286">
        <v>3</v>
      </c>
      <c r="E30" s="697">
        <v>2.206</v>
      </c>
      <c r="F30" s="2447"/>
      <c r="G30" s="2447"/>
      <c r="H30" s="2447"/>
      <c r="I30" s="2447"/>
      <c r="J30" s="2447"/>
      <c r="K30" s="2447"/>
      <c r="L30" s="2448"/>
      <c r="M30" s="114"/>
      <c r="N30" s="2446"/>
      <c r="O30" s="2447"/>
      <c r="P30" s="2447"/>
      <c r="Q30" s="2447"/>
      <c r="R30" s="2447"/>
      <c r="S30" s="2447"/>
      <c r="T30" s="2447"/>
      <c r="U30" s="2447"/>
      <c r="V30" s="2447"/>
      <c r="W30" s="2447"/>
      <c r="X30" s="2447"/>
      <c r="Y30" s="2447"/>
      <c r="Z30" s="2447"/>
      <c r="AA30" s="2454"/>
      <c r="AB30" s="2454"/>
      <c r="AC30" s="2454"/>
      <c r="AD30" s="2455"/>
      <c r="AE30" s="242"/>
      <c r="AF30" s="290" t="s">
        <v>13988</v>
      </c>
      <c r="AG30" s="242"/>
      <c r="AH30" s="1233" t="s">
        <v>18580</v>
      </c>
      <c r="AI30" s="242"/>
      <c r="AJ30" s="238"/>
      <c r="AK30" s="1232">
        <f t="shared" si="80"/>
        <v>0</v>
      </c>
      <c r="AL30" s="238"/>
      <c r="AM30" s="285">
        <f t="shared" si="81"/>
        <v>0</v>
      </c>
      <c r="BL30" s="238"/>
      <c r="BN30" s="460" t="s">
        <v>13989</v>
      </c>
      <c r="BO30" s="697" t="s">
        <v>13990</v>
      </c>
      <c r="BP30" s="2447"/>
      <c r="BQ30" s="2447"/>
      <c r="BR30" s="2447"/>
      <c r="BS30" s="2447"/>
      <c r="BT30" s="2447"/>
      <c r="BU30" s="2447"/>
      <c r="BV30" s="2448"/>
      <c r="BW30" s="114"/>
      <c r="BX30" s="2446"/>
      <c r="BY30" s="2447"/>
      <c r="BZ30" s="2447"/>
      <c r="CA30" s="2447"/>
      <c r="CB30" s="2447"/>
      <c r="CC30" s="2447"/>
      <c r="CD30" s="2447"/>
      <c r="CE30" s="2447"/>
      <c r="CF30" s="2447"/>
      <c r="CG30" s="2447"/>
      <c r="CH30" s="2447"/>
      <c r="CI30" s="2447"/>
      <c r="CJ30" s="2447"/>
      <c r="CK30" s="2454"/>
      <c r="CL30" s="2454"/>
      <c r="CM30" s="2454"/>
      <c r="CN30" s="2455"/>
    </row>
    <row r="31" spans="1:92" ht="15.75" customHeight="1">
      <c r="A31" s="242"/>
      <c r="B31" s="460" t="s">
        <v>13991</v>
      </c>
      <c r="C31" s="286" t="s">
        <v>5981</v>
      </c>
      <c r="D31" s="286">
        <v>3</v>
      </c>
      <c r="E31" s="697">
        <v>0</v>
      </c>
      <c r="F31" s="2447"/>
      <c r="G31" s="2447"/>
      <c r="H31" s="2447"/>
      <c r="I31" s="2447"/>
      <c r="J31" s="2447"/>
      <c r="K31" s="2447"/>
      <c r="L31" s="2448"/>
      <c r="M31" s="114"/>
      <c r="N31" s="2446"/>
      <c r="O31" s="2447"/>
      <c r="P31" s="2447"/>
      <c r="Q31" s="2447"/>
      <c r="R31" s="2447"/>
      <c r="S31" s="2447"/>
      <c r="T31" s="2447"/>
      <c r="U31" s="2447"/>
      <c r="V31" s="2447"/>
      <c r="W31" s="2447"/>
      <c r="X31" s="2447"/>
      <c r="Y31" s="2447"/>
      <c r="Z31" s="2447"/>
      <c r="AA31" s="2454"/>
      <c r="AB31" s="2454"/>
      <c r="AC31" s="2454"/>
      <c r="AD31" s="2455"/>
      <c r="AE31" s="242"/>
      <c r="AF31" s="290" t="s">
        <v>13992</v>
      </c>
      <c r="AG31" s="242"/>
      <c r="AH31" s="1233"/>
      <c r="AI31" s="242"/>
      <c r="AJ31" s="238"/>
      <c r="AK31" s="1232">
        <f t="shared" si="80"/>
        <v>0</v>
      </c>
      <c r="AL31" s="238"/>
      <c r="AM31" s="285">
        <f t="shared" si="81"/>
        <v>0</v>
      </c>
      <c r="BL31" s="238"/>
      <c r="BN31" s="460" t="s">
        <v>13991</v>
      </c>
      <c r="BO31" s="697" t="s">
        <v>13993</v>
      </c>
      <c r="BP31" s="2447"/>
      <c r="BQ31" s="2447"/>
      <c r="BR31" s="2447"/>
      <c r="BS31" s="2447"/>
      <c r="BT31" s="2447"/>
      <c r="BU31" s="2447"/>
      <c r="BV31" s="2448"/>
      <c r="BW31" s="114"/>
      <c r="BX31" s="2446"/>
      <c r="BY31" s="2447"/>
      <c r="BZ31" s="2447"/>
      <c r="CA31" s="2447"/>
      <c r="CB31" s="2447"/>
      <c r="CC31" s="2447"/>
      <c r="CD31" s="2447"/>
      <c r="CE31" s="2447"/>
      <c r="CF31" s="2447"/>
      <c r="CG31" s="2447"/>
      <c r="CH31" s="2447"/>
      <c r="CI31" s="2447"/>
      <c r="CJ31" s="2447"/>
      <c r="CK31" s="2454"/>
      <c r="CL31" s="2454"/>
      <c r="CM31" s="2454"/>
      <c r="CN31" s="2455"/>
    </row>
    <row r="32" spans="1:92" ht="15.75" customHeight="1">
      <c r="A32" s="242"/>
      <c r="B32" s="460" t="s">
        <v>13994</v>
      </c>
      <c r="C32" s="286" t="s">
        <v>5981</v>
      </c>
      <c r="D32" s="286">
        <v>3</v>
      </c>
      <c r="E32" s="697">
        <v>0</v>
      </c>
      <c r="F32" s="2447"/>
      <c r="G32" s="2447"/>
      <c r="H32" s="2447"/>
      <c r="I32" s="2447"/>
      <c r="J32" s="2447"/>
      <c r="K32" s="2447"/>
      <c r="L32" s="2448"/>
      <c r="M32" s="114"/>
      <c r="N32" s="2446"/>
      <c r="O32" s="2447"/>
      <c r="P32" s="2447"/>
      <c r="Q32" s="2447"/>
      <c r="R32" s="2447"/>
      <c r="S32" s="2447"/>
      <c r="T32" s="2447"/>
      <c r="U32" s="2447"/>
      <c r="V32" s="2447"/>
      <c r="W32" s="2447"/>
      <c r="X32" s="2447"/>
      <c r="Y32" s="2447"/>
      <c r="Z32" s="2447"/>
      <c r="AA32" s="2454"/>
      <c r="AB32" s="2454"/>
      <c r="AC32" s="2454"/>
      <c r="AD32" s="2455"/>
      <c r="AE32" s="242"/>
      <c r="AF32" s="290" t="s">
        <v>13995</v>
      </c>
      <c r="AG32" s="242"/>
      <c r="AH32" s="1233"/>
      <c r="AI32" s="242"/>
      <c r="AJ32" s="238"/>
      <c r="AK32" s="1232">
        <f t="shared" si="80"/>
        <v>0</v>
      </c>
      <c r="AL32" s="238"/>
      <c r="AM32" s="285">
        <f xml:space="preserve"> IF( ISNUMBER(E32 ), 0, 1 )</f>
        <v>0</v>
      </c>
      <c r="BL32" s="238"/>
      <c r="BN32" s="460" t="s">
        <v>13994</v>
      </c>
      <c r="BO32" s="697" t="s">
        <v>13996</v>
      </c>
      <c r="BP32" s="2447"/>
      <c r="BQ32" s="2447"/>
      <c r="BR32" s="2447"/>
      <c r="BS32" s="2447"/>
      <c r="BT32" s="2447"/>
      <c r="BU32" s="2447"/>
      <c r="BV32" s="2448"/>
      <c r="BW32" s="114"/>
      <c r="BX32" s="2446"/>
      <c r="BY32" s="2447"/>
      <c r="BZ32" s="2447"/>
      <c r="CA32" s="2447"/>
      <c r="CB32" s="2447"/>
      <c r="CC32" s="2447"/>
      <c r="CD32" s="2447"/>
      <c r="CE32" s="2447"/>
      <c r="CF32" s="2447"/>
      <c r="CG32" s="2447"/>
      <c r="CH32" s="2447"/>
      <c r="CI32" s="2447"/>
      <c r="CJ32" s="2447"/>
      <c r="CK32" s="2454"/>
      <c r="CL32" s="2454"/>
      <c r="CM32" s="2454"/>
      <c r="CN32" s="2455"/>
    </row>
    <row r="33" spans="1:92" ht="33" customHeight="1">
      <c r="A33" s="242"/>
      <c r="B33" s="2508" t="s">
        <v>13997</v>
      </c>
      <c r="C33" s="286" t="s">
        <v>5981</v>
      </c>
      <c r="D33" s="286">
        <v>3</v>
      </c>
      <c r="E33" s="697">
        <v>0</v>
      </c>
      <c r="F33" s="2447"/>
      <c r="G33" s="2447"/>
      <c r="H33" s="2447"/>
      <c r="I33" s="2447"/>
      <c r="J33" s="2447"/>
      <c r="K33" s="2447"/>
      <c r="L33" s="2448"/>
      <c r="M33" s="114"/>
      <c r="N33" s="2446"/>
      <c r="O33" s="2447"/>
      <c r="P33" s="2447"/>
      <c r="Q33" s="2447"/>
      <c r="R33" s="2447"/>
      <c r="S33" s="2447"/>
      <c r="T33" s="2447"/>
      <c r="U33" s="2447"/>
      <c r="V33" s="2447"/>
      <c r="W33" s="2447"/>
      <c r="X33" s="2447"/>
      <c r="Y33" s="2447"/>
      <c r="Z33" s="2447"/>
      <c r="AA33" s="2454"/>
      <c r="AB33" s="2454"/>
      <c r="AC33" s="2454"/>
      <c r="AD33" s="2455"/>
      <c r="AE33" s="242"/>
      <c r="AF33" s="290" t="s">
        <v>13998</v>
      </c>
      <c r="AG33" s="242"/>
      <c r="AH33" s="1233"/>
      <c r="AI33" s="242"/>
      <c r="AJ33" s="238"/>
      <c r="AK33" s="1232">
        <f t="shared" si="80"/>
        <v>0</v>
      </c>
      <c r="AL33" s="238"/>
      <c r="AM33" s="285">
        <f t="shared" si="81"/>
        <v>0</v>
      </c>
      <c r="BL33" s="238"/>
      <c r="BN33" s="460" t="s">
        <v>13999</v>
      </c>
      <c r="BO33" s="697" t="s">
        <v>14000</v>
      </c>
      <c r="BP33" s="2447"/>
      <c r="BQ33" s="2447"/>
      <c r="BR33" s="2447"/>
      <c r="BS33" s="2447"/>
      <c r="BT33" s="2447"/>
      <c r="BU33" s="2447"/>
      <c r="BV33" s="2448"/>
      <c r="BW33" s="114"/>
      <c r="BX33" s="2446"/>
      <c r="BY33" s="2447"/>
      <c r="BZ33" s="2447"/>
      <c r="CA33" s="2447"/>
      <c r="CB33" s="2447"/>
      <c r="CC33" s="2447"/>
      <c r="CD33" s="2447"/>
      <c r="CE33" s="2447"/>
      <c r="CF33" s="2447"/>
      <c r="CG33" s="2447"/>
      <c r="CH33" s="2447"/>
      <c r="CI33" s="2447"/>
      <c r="CJ33" s="2447"/>
      <c r="CK33" s="2454"/>
      <c r="CL33" s="2454"/>
      <c r="CM33" s="2454"/>
      <c r="CN33" s="2455"/>
    </row>
    <row r="34" spans="1:92" ht="15.75" customHeight="1">
      <c r="A34" s="242"/>
      <c r="B34" s="460" t="s">
        <v>14001</v>
      </c>
      <c r="C34" s="286" t="s">
        <v>5981</v>
      </c>
      <c r="D34" s="286">
        <v>3</v>
      </c>
      <c r="E34" s="697">
        <v>0.624</v>
      </c>
      <c r="F34" s="2447"/>
      <c r="G34" s="2447"/>
      <c r="H34" s="2447"/>
      <c r="I34" s="2447"/>
      <c r="J34" s="2447"/>
      <c r="K34" s="2447"/>
      <c r="L34" s="2448"/>
      <c r="M34" s="114"/>
      <c r="N34" s="2446"/>
      <c r="O34" s="2447"/>
      <c r="P34" s="2447"/>
      <c r="Q34" s="2447"/>
      <c r="R34" s="2447"/>
      <c r="S34" s="2447"/>
      <c r="T34" s="2447"/>
      <c r="U34" s="2447"/>
      <c r="V34" s="2447"/>
      <c r="W34" s="2447"/>
      <c r="X34" s="2447"/>
      <c r="Y34" s="2447"/>
      <c r="Z34" s="2447"/>
      <c r="AA34" s="2454"/>
      <c r="AB34" s="2454"/>
      <c r="AC34" s="2454"/>
      <c r="AD34" s="2455"/>
      <c r="AE34" s="242"/>
      <c r="AF34" s="290" t="s">
        <v>14002</v>
      </c>
      <c r="AG34" s="242"/>
      <c r="AH34" s="1233" t="s">
        <v>18581</v>
      </c>
      <c r="AI34" s="242"/>
      <c r="AJ34" s="238"/>
      <c r="AK34" s="1232">
        <f t="shared" si="80"/>
        <v>0</v>
      </c>
      <c r="AL34" s="238"/>
      <c r="AM34" s="285">
        <f t="shared" si="81"/>
        <v>0</v>
      </c>
      <c r="BL34" s="238"/>
      <c r="BN34" s="460" t="s">
        <v>14001</v>
      </c>
      <c r="BO34" s="697" t="s">
        <v>14003</v>
      </c>
      <c r="BP34" s="2447"/>
      <c r="BQ34" s="2447"/>
      <c r="BR34" s="2447"/>
      <c r="BS34" s="2447"/>
      <c r="BT34" s="2447"/>
      <c r="BU34" s="2447"/>
      <c r="BV34" s="2448"/>
      <c r="BW34" s="114"/>
      <c r="BX34" s="2446"/>
      <c r="BY34" s="2447"/>
      <c r="BZ34" s="2447"/>
      <c r="CA34" s="2447"/>
      <c r="CB34" s="2447"/>
      <c r="CC34" s="2447"/>
      <c r="CD34" s="2447"/>
      <c r="CE34" s="2447"/>
      <c r="CF34" s="2447"/>
      <c r="CG34" s="2447"/>
      <c r="CH34" s="2447"/>
      <c r="CI34" s="2447"/>
      <c r="CJ34" s="2447"/>
      <c r="CK34" s="2454"/>
      <c r="CL34" s="2454"/>
      <c r="CM34" s="2454"/>
      <c r="CN34" s="2455"/>
    </row>
    <row r="35" spans="1:92" ht="35.25" customHeight="1" thickBot="1">
      <c r="A35" s="242"/>
      <c r="B35" s="2509" t="s">
        <v>14004</v>
      </c>
      <c r="C35" s="355" t="s">
        <v>5981</v>
      </c>
      <c r="D35" s="355">
        <v>3</v>
      </c>
      <c r="E35" s="1640">
        <v>0</v>
      </c>
      <c r="F35" s="2450"/>
      <c r="G35" s="2450"/>
      <c r="H35" s="2450"/>
      <c r="I35" s="2450"/>
      <c r="J35" s="2450"/>
      <c r="K35" s="2450"/>
      <c r="L35" s="2451"/>
      <c r="M35" s="114"/>
      <c r="N35" s="2449"/>
      <c r="O35" s="2450"/>
      <c r="P35" s="2450"/>
      <c r="Q35" s="2450"/>
      <c r="R35" s="2450"/>
      <c r="S35" s="2450"/>
      <c r="T35" s="2450"/>
      <c r="U35" s="2450"/>
      <c r="V35" s="2450"/>
      <c r="W35" s="2450"/>
      <c r="X35" s="2450"/>
      <c r="Y35" s="2450"/>
      <c r="Z35" s="2450"/>
      <c r="AA35" s="2456"/>
      <c r="AB35" s="2456"/>
      <c r="AC35" s="2456"/>
      <c r="AD35" s="2457"/>
      <c r="AE35" s="242"/>
      <c r="AF35" s="290" t="s">
        <v>14005</v>
      </c>
      <c r="AG35" s="242"/>
      <c r="AH35" s="1233"/>
      <c r="AI35" s="242"/>
      <c r="AJ35" s="238"/>
      <c r="AK35" s="1232">
        <f t="shared" si="80"/>
        <v>0</v>
      </c>
      <c r="AL35" s="238"/>
      <c r="AM35" s="285">
        <f t="shared" si="81"/>
        <v>0</v>
      </c>
      <c r="BL35" s="238"/>
      <c r="BN35" s="463" t="s">
        <v>14006</v>
      </c>
      <c r="BO35" s="1640" t="s">
        <v>14007</v>
      </c>
      <c r="BP35" s="2450"/>
      <c r="BQ35" s="2450"/>
      <c r="BR35" s="2450"/>
      <c r="BS35" s="2450"/>
      <c r="BT35" s="2450"/>
      <c r="BU35" s="2450"/>
      <c r="BV35" s="2451"/>
      <c r="BW35" s="114"/>
      <c r="BX35" s="2449"/>
      <c r="BY35" s="2450"/>
      <c r="BZ35" s="2450"/>
      <c r="CA35" s="2450"/>
      <c r="CB35" s="2450"/>
      <c r="CC35" s="2450"/>
      <c r="CD35" s="2450"/>
      <c r="CE35" s="2450"/>
      <c r="CF35" s="2450"/>
      <c r="CG35" s="2450"/>
      <c r="CH35" s="2450"/>
      <c r="CI35" s="2450"/>
      <c r="CJ35" s="2450"/>
      <c r="CK35" s="2456"/>
      <c r="CL35" s="2456"/>
      <c r="CM35" s="2456"/>
      <c r="CN35" s="2457"/>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3.8"/>
  <cols>
    <col min="1" max="1" width="9" style="219"/>
    <col min="2" max="2" width="18.69921875" style="219" bestFit="1" customWidth="1"/>
    <col min="3" max="3" width="227.5" style="219" bestFit="1" customWidth="1"/>
    <col min="4" max="4" width="3.69921875" style="219" bestFit="1" customWidth="1"/>
    <col min="5" max="5" width="17.59765625" style="219" bestFit="1" customWidth="1"/>
    <col min="6" max="6" width="9" style="219" bestFit="1" customWidth="1"/>
    <col min="7" max="16384" width="9" style="219"/>
  </cols>
  <sheetData>
    <row r="1" spans="1:6">
      <c r="C1" s="219" t="str">
        <f>CONCATENATE(Lists!$B$60,"_APR2022_F4")</f>
        <v>WSH_APR2022_F4</v>
      </c>
    </row>
    <row r="2" spans="1:6">
      <c r="A2" s="219" t="s">
        <v>3</v>
      </c>
      <c r="B2" s="249" t="s">
        <v>628</v>
      </c>
      <c r="C2" s="249" t="s">
        <v>629</v>
      </c>
      <c r="D2" s="249" t="s">
        <v>630</v>
      </c>
      <c r="E2" s="249" t="s">
        <v>631</v>
      </c>
      <c r="F2" s="251" t="s">
        <v>632</v>
      </c>
    </row>
    <row r="3" spans="1:6">
      <c r="B3" s="239"/>
      <c r="C3" s="250"/>
      <c r="D3" s="249"/>
      <c r="E3" s="249"/>
    </row>
    <row r="4" spans="1:6">
      <c r="B4" s="219" t="str">
        <f>'4C'!AJ9</f>
        <v>B0139FDWR</v>
      </c>
      <c r="C4" s="219" t="s">
        <v>2032</v>
      </c>
      <c r="E4" s="249" t="s">
        <v>634</v>
      </c>
      <c r="F4" s="255">
        <f>IF(ISBLANK('4C'!E9),"##BLANK",'4C'!E9)</f>
        <v>60.395000000000003</v>
      </c>
    </row>
    <row r="5" spans="1:6">
      <c r="B5" s="219" t="str">
        <f>'4C'!AK9</f>
        <v>B0139FDWNP</v>
      </c>
      <c r="C5" s="219" t="s">
        <v>2033</v>
      </c>
      <c r="E5" s="249" t="s">
        <v>634</v>
      </c>
      <c r="F5" s="255">
        <f>IF(ISBLANK('4C'!F9),"##BLANK",'4C'!F9)</f>
        <v>234.035</v>
      </c>
    </row>
    <row r="6" spans="1:6">
      <c r="B6" s="219" t="str">
        <f>'4C'!AL9</f>
        <v>B0139FDWWNP</v>
      </c>
      <c r="C6" s="219" t="s">
        <v>2034</v>
      </c>
      <c r="E6" s="249" t="s">
        <v>634</v>
      </c>
      <c r="F6" s="255">
        <f>IF(ISBLANK('4C'!G9),"##BLANK",'4C'!G9)</f>
        <v>289.03399999999999</v>
      </c>
    </row>
    <row r="7" spans="1:6">
      <c r="B7" s="219" t="str">
        <f>'4C'!AM9</f>
        <v>B0139FDBIO</v>
      </c>
      <c r="C7" s="219" t="s">
        <v>2035</v>
      </c>
      <c r="E7" s="249" t="s">
        <v>634</v>
      </c>
      <c r="F7" s="255">
        <f>IF(ISBLANK('4C'!H9),"##BLANK",'4C'!H9)</f>
        <v>29.338000000000001</v>
      </c>
    </row>
    <row r="8" spans="1:6">
      <c r="B8" s="219" t="str">
        <f>'4C'!AN9</f>
        <v>B0139FDTTTH</v>
      </c>
      <c r="C8" s="219" t="s">
        <v>2036</v>
      </c>
      <c r="E8" s="249" t="s">
        <v>634</v>
      </c>
      <c r="F8" s="255">
        <f>IF(ISBLANK('4C'!I9),"##BLANK",'4C'!I9)</f>
        <v>0</v>
      </c>
    </row>
    <row r="9" spans="1:6">
      <c r="B9" s="219" t="str">
        <f>'4C'!AO9</f>
        <v>B0139FDCWR</v>
      </c>
      <c r="C9" s="219" t="s">
        <v>2037</v>
      </c>
      <c r="E9" s="249" t="s">
        <v>634</v>
      </c>
      <c r="F9" s="255">
        <f>IF(ISBLANK('4C'!J9),"##BLANK",'4C'!J9)</f>
        <v>168.584</v>
      </c>
    </row>
    <row r="10" spans="1:6">
      <c r="B10" s="219" t="str">
        <f>'4C'!AP9</f>
        <v>B0139FDCWNP</v>
      </c>
      <c r="C10" s="219" t="s">
        <v>2038</v>
      </c>
      <c r="E10" s="249" t="s">
        <v>634</v>
      </c>
      <c r="F10" s="255">
        <f>IF(ISBLANK('4C'!K9),"##BLANK",'4C'!K9)</f>
        <v>687.41599999999994</v>
      </c>
    </row>
    <row r="11" spans="1:6">
      <c r="B11" s="219" t="str">
        <f>'4C'!AQ9</f>
        <v>B0139FDCWWNP</v>
      </c>
      <c r="C11" s="219" t="s">
        <v>2039</v>
      </c>
      <c r="E11" s="249" t="s">
        <v>634</v>
      </c>
      <c r="F11" s="255">
        <f>IF(ISBLANK('4C'!L9),"##BLANK",'4C'!L9)</f>
        <v>814.91</v>
      </c>
    </row>
    <row r="12" spans="1:6">
      <c r="B12" s="219" t="str">
        <f>'4C'!AR9</f>
        <v>B0139FDCBIO</v>
      </c>
      <c r="C12" s="219" t="s">
        <v>2040</v>
      </c>
      <c r="E12" s="249" t="s">
        <v>634</v>
      </c>
      <c r="F12" s="255">
        <f>IF(ISBLANK('4C'!M9),"##BLANK",'4C'!M9)</f>
        <v>82.222999999999999</v>
      </c>
    </row>
    <row r="13" spans="1:6">
      <c r="B13" s="219" t="str">
        <f>'4C'!AS9</f>
        <v>B0139FDCTTTH</v>
      </c>
      <c r="C13" s="219" t="s">
        <v>2041</v>
      </c>
      <c r="E13" s="249" t="s">
        <v>634</v>
      </c>
      <c r="F13" s="255">
        <f>IF(ISBLANK('4C'!N9),"##BLANK",'4C'!N9)</f>
        <v>0</v>
      </c>
    </row>
    <row r="14" spans="1:6">
      <c r="B14" s="219" t="str">
        <f>'4C'!AJ10</f>
        <v>B0140ACWR</v>
      </c>
      <c r="C14" s="219" t="s">
        <v>2042</v>
      </c>
      <c r="E14" s="249" t="s">
        <v>634</v>
      </c>
      <c r="F14" s="255">
        <f>IF(ISBLANK('4C'!E10),"##BLANK",'4C'!E10)</f>
        <v>60.048999999999999</v>
      </c>
    </row>
    <row r="15" spans="1:6">
      <c r="B15" s="219" t="str">
        <f>'4C'!AK10</f>
        <v>B0140ACWNP</v>
      </c>
      <c r="C15" s="219" t="s">
        <v>2043</v>
      </c>
      <c r="E15" s="249" t="s">
        <v>634</v>
      </c>
      <c r="F15" s="255">
        <f>IF(ISBLANK('4C'!F10),"##BLANK",'4C'!F10)</f>
        <v>305.64699999999999</v>
      </c>
    </row>
    <row r="16" spans="1:6">
      <c r="B16" s="219" t="str">
        <f>'4C'!AL10</f>
        <v>B0140ACWWNP</v>
      </c>
      <c r="C16" s="219" t="s">
        <v>2044</v>
      </c>
      <c r="E16" s="249" t="s">
        <v>634</v>
      </c>
      <c r="F16" s="255">
        <f>IF(ISBLANK('4C'!G10),"##BLANK",'4C'!G10)</f>
        <v>277.47399999999999</v>
      </c>
    </row>
    <row r="17" spans="2:6">
      <c r="B17" s="219" t="str">
        <f>'4C'!AM10</f>
        <v>B0140ACBIO</v>
      </c>
      <c r="C17" s="219" t="s">
        <v>2045</v>
      </c>
      <c r="E17" s="249" t="s">
        <v>634</v>
      </c>
      <c r="F17" s="255">
        <f>IF(ISBLANK('4C'!H10),"##BLANK",'4C'!H10)</f>
        <v>33.225000000000001</v>
      </c>
    </row>
    <row r="18" spans="2:6">
      <c r="B18" s="219" t="str">
        <f>'4C'!AN10</f>
        <v>B0140ACTTTH</v>
      </c>
      <c r="C18" s="219" t="s">
        <v>2046</v>
      </c>
      <c r="E18" s="249" t="s">
        <v>634</v>
      </c>
      <c r="F18" s="255">
        <f>IF(ISBLANK('4C'!I10),"##BLANK",'4C'!I10)</f>
        <v>0</v>
      </c>
    </row>
    <row r="19" spans="2:6">
      <c r="B19" s="219" t="str">
        <f>'4C'!AO10</f>
        <v>B0140ACCWR</v>
      </c>
      <c r="C19" s="219" t="s">
        <v>2047</v>
      </c>
      <c r="E19" s="249" t="s">
        <v>634</v>
      </c>
      <c r="F19" s="255">
        <f>IF(ISBLANK('4C'!J10),"##BLANK",'4C'!J10)</f>
        <v>157.32599999999999</v>
      </c>
    </row>
    <row r="20" spans="2:6">
      <c r="B20" s="219" t="str">
        <f>'4C'!AP10</f>
        <v>B0140ACCWNP</v>
      </c>
      <c r="C20" s="219" t="s">
        <v>2048</v>
      </c>
      <c r="E20" s="249" t="s">
        <v>634</v>
      </c>
      <c r="F20" s="255">
        <f>IF(ISBLANK('4C'!K10),"##BLANK",'4C'!K10)</f>
        <v>780.52700000000004</v>
      </c>
    </row>
    <row r="21" spans="2:6">
      <c r="B21" s="219" t="str">
        <f>'4C'!AQ10</f>
        <v>B0140ACCWWNP</v>
      </c>
      <c r="C21" s="219" t="s">
        <v>2049</v>
      </c>
      <c r="E21" s="249" t="s">
        <v>634</v>
      </c>
      <c r="F21" s="255">
        <f>IF(ISBLANK('4C'!L10),"##BLANK",'4C'!L10)</f>
        <v>764.89700000000005</v>
      </c>
    </row>
    <row r="22" spans="2:6">
      <c r="B22" s="219" t="str">
        <f>'4C'!AR10</f>
        <v>B0140ACCBIO</v>
      </c>
      <c r="C22" s="219" t="s">
        <v>2050</v>
      </c>
      <c r="E22" s="249" t="s">
        <v>634</v>
      </c>
      <c r="F22" s="255">
        <f>IF(ISBLANK('4C'!M10),"##BLANK",'4C'!M10)</f>
        <v>102.02799999999999</v>
      </c>
    </row>
    <row r="23" spans="2:6">
      <c r="B23" s="219" t="str">
        <f>'4C'!AS10</f>
        <v>B0140ACCTTTH</v>
      </c>
      <c r="C23" s="219" t="s">
        <v>2051</v>
      </c>
      <c r="E23" s="249" t="s">
        <v>634</v>
      </c>
      <c r="F23" s="255">
        <f>IF(ISBLANK('4C'!N10),"##BLANK",'4C'!N10)</f>
        <v>0</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25.751999999999999</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0</v>
      </c>
    </row>
    <row r="34" spans="2:6">
      <c r="B34" s="219" t="str">
        <f>'4C'!AJ12</f>
        <v>B0142DCWR</v>
      </c>
      <c r="C34" s="219" t="s">
        <v>2062</v>
      </c>
      <c r="E34" s="249" t="s">
        <v>634</v>
      </c>
      <c r="F34" s="255">
        <f>IF(ISBLANK('4C'!E12),"##BLANK",'4C'!E12)</f>
        <v>9.5790000000000006</v>
      </c>
    </row>
    <row r="35" spans="2:6">
      <c r="B35" s="219" t="str">
        <f>'4C'!AK12</f>
        <v>B0142DCWNP</v>
      </c>
      <c r="C35" s="219" t="s">
        <v>2063</v>
      </c>
      <c r="E35" s="249" t="s">
        <v>634</v>
      </c>
      <c r="F35" s="255">
        <f>IF(ISBLANK('4C'!F12),"##BLANK",'4C'!F12)</f>
        <v>21.96</v>
      </c>
    </row>
    <row r="36" spans="2:6">
      <c r="B36" s="219" t="str">
        <f>'4C'!AL12</f>
        <v>B0142DCWWNP</v>
      </c>
      <c r="C36" s="219" t="s">
        <v>2064</v>
      </c>
      <c r="E36" s="249" t="s">
        <v>634</v>
      </c>
      <c r="F36" s="255">
        <f>IF(ISBLANK('4C'!G12),"##BLANK",'4C'!G12)</f>
        <v>10.693000000000001</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16.432000000000002</v>
      </c>
    </row>
    <row r="40" spans="2:6">
      <c r="B40" s="219" t="str">
        <f>'4C'!AP12</f>
        <v>B0142DCCWNP</v>
      </c>
      <c r="C40" s="219" t="s">
        <v>2068</v>
      </c>
      <c r="E40" s="249" t="s">
        <v>634</v>
      </c>
      <c r="F40" s="255">
        <f>IF(ISBLANK('4C'!K12),"##BLANK",'4C'!K12)</f>
        <v>64.819999999999993</v>
      </c>
    </row>
    <row r="41" spans="2:6">
      <c r="B41" s="219" t="str">
        <f>'4C'!AQ12</f>
        <v>B0142DCCWWNP</v>
      </c>
      <c r="C41" s="219" t="s">
        <v>2069</v>
      </c>
      <c r="E41" s="249" t="s">
        <v>634</v>
      </c>
      <c r="F41" s="255">
        <f>IF(ISBLANK('4C'!L12),"##BLANK",'4C'!L12)</f>
        <v>26.333000000000002</v>
      </c>
    </row>
    <row r="42" spans="2:6">
      <c r="B42" s="219" t="str">
        <f>'4C'!AR12</f>
        <v>B0142DCCBIO</v>
      </c>
      <c r="C42" s="219" t="s">
        <v>2070</v>
      </c>
      <c r="E42" s="249" t="s">
        <v>634</v>
      </c>
      <c r="F42" s="255">
        <f>IF(ISBLANK('4C'!M12),"##BLANK",'4C'!M12)</f>
        <v>0.82500000000000007</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50.47</v>
      </c>
    </row>
    <row r="45" spans="2:6">
      <c r="B45" s="219" t="str">
        <f>'4C'!AK13</f>
        <v>B0143TAWNP</v>
      </c>
      <c r="C45" s="219" t="s">
        <v>2073</v>
      </c>
      <c r="E45" s="249" t="s">
        <v>634</v>
      </c>
      <c r="F45" s="255">
        <f>IF(ISBLANK('4C'!F13),"##BLANK",'4C'!F13)</f>
        <v>283.68700000000001</v>
      </c>
    </row>
    <row r="46" spans="2:6">
      <c r="B46" s="219" t="str">
        <f>'4C'!AL13</f>
        <v>B0143TAWWNP</v>
      </c>
      <c r="C46" s="219" t="s">
        <v>2074</v>
      </c>
      <c r="E46" s="249" t="s">
        <v>634</v>
      </c>
      <c r="F46" s="255">
        <f>IF(ISBLANK('4C'!G13),"##BLANK",'4C'!G13)</f>
        <v>266.78100000000001</v>
      </c>
    </row>
    <row r="47" spans="2:6">
      <c r="B47" s="219" t="str">
        <f>'4C'!AM13</f>
        <v>B0143TABIO</v>
      </c>
      <c r="C47" s="219" t="s">
        <v>2075</v>
      </c>
      <c r="E47" s="249" t="s">
        <v>634</v>
      </c>
      <c r="F47" s="255">
        <f>IF(ISBLANK('4C'!H13),"##BLANK",'4C'!H13)</f>
        <v>33.225000000000001</v>
      </c>
    </row>
    <row r="48" spans="2:6">
      <c r="B48" s="219" t="str">
        <f>'4C'!AN13</f>
        <v>B0143TATTTH</v>
      </c>
      <c r="C48" s="219" t="s">
        <v>2076</v>
      </c>
      <c r="E48" s="249" t="s">
        <v>634</v>
      </c>
      <c r="F48" s="255">
        <f>IF(ISBLANK('4C'!I13),"##BLANK",'4C'!I13)</f>
        <v>0</v>
      </c>
    </row>
    <row r="49" spans="2:6">
      <c r="B49" s="219" t="str">
        <f>'4C'!AO13</f>
        <v>B0143TACWR</v>
      </c>
      <c r="C49" s="219" t="s">
        <v>2077</v>
      </c>
      <c r="E49" s="249" t="s">
        <v>634</v>
      </c>
      <c r="F49" s="255">
        <f>IF(ISBLANK('4C'!J13),"##BLANK",'4C'!J13)</f>
        <v>140.89400000000001</v>
      </c>
    </row>
    <row r="50" spans="2:6">
      <c r="B50" s="219" t="str">
        <f>'4C'!AP13</f>
        <v>B0143TACWNP</v>
      </c>
      <c r="C50" s="219" t="s">
        <v>2078</v>
      </c>
      <c r="E50" s="249" t="s">
        <v>634</v>
      </c>
      <c r="F50" s="255">
        <f>IF(ISBLANK('4C'!K13),"##BLANK",'4C'!K13)</f>
        <v>715.70700000000011</v>
      </c>
    </row>
    <row r="51" spans="2:6">
      <c r="B51" s="219" t="str">
        <f>'4C'!AQ13</f>
        <v>B0143TACWWNP</v>
      </c>
      <c r="C51" s="219" t="s">
        <v>2079</v>
      </c>
      <c r="E51" s="249" t="s">
        <v>634</v>
      </c>
      <c r="F51" s="255">
        <f>IF(ISBLANK('4C'!L13),"##BLANK",'4C'!L13)</f>
        <v>764.31600000000003</v>
      </c>
    </row>
    <row r="52" spans="2:6">
      <c r="B52" s="219" t="str">
        <f>'4C'!AR13</f>
        <v>B0143TACBIO</v>
      </c>
      <c r="C52" s="219" t="s">
        <v>2080</v>
      </c>
      <c r="E52" s="249" t="s">
        <v>634</v>
      </c>
      <c r="F52" s="255">
        <f>IF(ISBLANK('4C'!M13),"##BLANK",'4C'!M13)</f>
        <v>101.20299999999999</v>
      </c>
    </row>
    <row r="53" spans="2:6">
      <c r="B53" s="219" t="str">
        <f>'4C'!AS13</f>
        <v>B0143TACTTTH</v>
      </c>
      <c r="C53" s="219" t="s">
        <v>2081</v>
      </c>
      <c r="E53" s="249" t="s">
        <v>634</v>
      </c>
      <c r="F53" s="255">
        <f>IF(ISBLANK('4C'!N13),"##BLANK",'4C'!N13)</f>
        <v>0</v>
      </c>
    </row>
    <row r="54" spans="2:6">
      <c r="B54" s="219" t="str">
        <f>'4C'!AJ14</f>
        <v>B0144VRWR</v>
      </c>
      <c r="C54" s="219" t="s">
        <v>2082</v>
      </c>
      <c r="E54" s="249" t="s">
        <v>634</v>
      </c>
      <c r="F54" s="255">
        <f>IF(ISBLANK('4C'!E14),"##BLANK",'4C'!E14)</f>
        <v>-9.9250000000000043</v>
      </c>
    </row>
    <row r="55" spans="2:6">
      <c r="B55" s="219" t="str">
        <f>'4C'!AK14</f>
        <v>B0144VRWNP</v>
      </c>
      <c r="C55" s="219" t="s">
        <v>2083</v>
      </c>
      <c r="E55" s="249" t="s">
        <v>634</v>
      </c>
      <c r="F55" s="255">
        <f>IF(ISBLANK('4C'!F14),"##BLANK",'4C'!F14)</f>
        <v>49.652000000000015</v>
      </c>
    </row>
    <row r="56" spans="2:6">
      <c r="B56" s="219" t="str">
        <f>'4C'!AL14</f>
        <v>B0144VRWWNP</v>
      </c>
      <c r="C56" s="219" t="s">
        <v>2084</v>
      </c>
      <c r="E56" s="249" t="s">
        <v>634</v>
      </c>
      <c r="F56" s="255">
        <f>IF(ISBLANK('4C'!G14),"##BLANK",'4C'!G14)</f>
        <v>-22.252999999999986</v>
      </c>
    </row>
    <row r="57" spans="2:6">
      <c r="B57" s="219" t="str">
        <f>'4C'!AM14</f>
        <v>B0144VRBIO</v>
      </c>
      <c r="C57" s="219" t="s">
        <v>2085</v>
      </c>
      <c r="E57" s="249" t="s">
        <v>634</v>
      </c>
      <c r="F57" s="255">
        <f>IF(ISBLANK('4C'!H14),"##BLANK",'4C'!H14)</f>
        <v>3.8870000000000005</v>
      </c>
    </row>
    <row r="58" spans="2:6">
      <c r="B58" s="219" t="str">
        <f>'4C'!AN14</f>
        <v>B0144VRTTTH</v>
      </c>
      <c r="C58" s="219" t="s">
        <v>2086</v>
      </c>
      <c r="E58" s="249" t="s">
        <v>634</v>
      </c>
      <c r="F58" s="255">
        <f>IF(ISBLANK('4C'!I14),"##BLANK",'4C'!I14)</f>
        <v>0</v>
      </c>
    </row>
    <row r="59" spans="2:6">
      <c r="B59" s="219" t="str">
        <f>'4C'!AO14</f>
        <v>B0144VRCWR</v>
      </c>
      <c r="C59" s="219" t="s">
        <v>2087</v>
      </c>
      <c r="E59" s="249" t="s">
        <v>634</v>
      </c>
      <c r="F59" s="255">
        <f>IF(ISBLANK('4C'!J14),"##BLANK",'4C'!J14)</f>
        <v>-27.689999999999998</v>
      </c>
    </row>
    <row r="60" spans="2:6">
      <c r="B60" s="219" t="str">
        <f>'4C'!AP14</f>
        <v>B0144VRCWNP</v>
      </c>
      <c r="C60" s="219" t="s">
        <v>2088</v>
      </c>
      <c r="E60" s="249" t="s">
        <v>634</v>
      </c>
      <c r="F60" s="255">
        <f>IF(ISBLANK('4C'!K14),"##BLANK",'4C'!K14)</f>
        <v>28.291000000000167</v>
      </c>
    </row>
    <row r="61" spans="2:6">
      <c r="B61" s="219" t="str">
        <f>'4C'!AQ14</f>
        <v>B0144VRCWWNP</v>
      </c>
      <c r="C61" s="219" t="s">
        <v>2089</v>
      </c>
      <c r="E61" s="249" t="s">
        <v>634</v>
      </c>
      <c r="F61" s="255">
        <f>IF(ISBLANK('4C'!L14),"##BLANK",'4C'!L14)</f>
        <v>-50.593999999999937</v>
      </c>
    </row>
    <row r="62" spans="2:6">
      <c r="B62" s="219" t="str">
        <f>'4C'!AR14</f>
        <v>B0144VRCBIO</v>
      </c>
      <c r="C62" s="219" t="s">
        <v>2090</v>
      </c>
      <c r="E62" s="249" t="s">
        <v>634</v>
      </c>
      <c r="F62" s="255">
        <f>IF(ISBLANK('4C'!M14),"##BLANK",'4C'!M14)</f>
        <v>18.97999999999999</v>
      </c>
    </row>
    <row r="63" spans="2:6">
      <c r="B63" s="219" t="str">
        <f>'4C'!AS14</f>
        <v>B0144VRCTTTH</v>
      </c>
      <c r="C63" s="219" t="s">
        <v>2091</v>
      </c>
      <c r="E63" s="249" t="s">
        <v>634</v>
      </c>
      <c r="F63" s="255">
        <f>IF(ISBLANK('4C'!N14),"##BLANK",'4C'!N14)</f>
        <v>0</v>
      </c>
    </row>
    <row r="64" spans="2:6">
      <c r="B64" s="219" t="str">
        <f>'4C'!AJ15</f>
        <v>B0145VTWR</v>
      </c>
      <c r="C64" s="219" t="s">
        <v>2092</v>
      </c>
      <c r="E64" s="249" t="s">
        <v>634</v>
      </c>
      <c r="F64" s="255">
        <f>IF(ISBLANK('4C'!E15),"##BLANK",'4C'!E15)</f>
        <v>0.68</v>
      </c>
    </row>
    <row r="65" spans="2:6">
      <c r="B65" s="219" t="str">
        <f>'4C'!AK15</f>
        <v>B0145VTWNP</v>
      </c>
      <c r="C65" s="219" t="s">
        <v>2093</v>
      </c>
      <c r="E65" s="249" t="s">
        <v>634</v>
      </c>
      <c r="F65" s="255">
        <f>IF(ISBLANK('4C'!F15),"##BLANK",'4C'!F15)</f>
        <v>-7.74</v>
      </c>
    </row>
    <row r="66" spans="2:6">
      <c r="B66" s="219" t="str">
        <f>'4C'!AL15</f>
        <v>B0145VTWWNP</v>
      </c>
      <c r="C66" s="219" t="s">
        <v>2094</v>
      </c>
      <c r="E66" s="249" t="s">
        <v>634</v>
      </c>
      <c r="F66" s="255">
        <f>IF(ISBLANK('4C'!G15),"##BLANK",'4C'!G15)</f>
        <v>-29.38</v>
      </c>
    </row>
    <row r="67" spans="2:6">
      <c r="B67" s="219" t="str">
        <f>'4C'!AM15</f>
        <v>B0145VTBIO</v>
      </c>
      <c r="C67" s="219" t="s">
        <v>2095</v>
      </c>
      <c r="E67" s="249" t="s">
        <v>634</v>
      </c>
      <c r="F67" s="255">
        <f>IF(ISBLANK('4C'!H15),"##BLANK",'4C'!H15)</f>
        <v>0.72</v>
      </c>
    </row>
    <row r="68" spans="2:6">
      <c r="B68" s="219" t="str">
        <f>'4C'!AN15</f>
        <v>B0145VTTTTH</v>
      </c>
      <c r="C68" s="219" t="s">
        <v>2096</v>
      </c>
      <c r="E68" s="249" t="s">
        <v>634</v>
      </c>
      <c r="F68" s="255">
        <f>IF(ISBLANK('4C'!I15),"##BLANK",'4C'!I15)</f>
        <v>0</v>
      </c>
    </row>
    <row r="69" spans="2:6">
      <c r="B69" s="219" t="str">
        <f>'4C'!AO15</f>
        <v>B0145VTCWR</v>
      </c>
      <c r="C69" s="219" t="s">
        <v>2097</v>
      </c>
      <c r="E69" s="249" t="s">
        <v>634</v>
      </c>
      <c r="F69" s="255">
        <f>IF(ISBLANK('4C'!J15),"##BLANK",'4C'!J15)</f>
        <v>6.931</v>
      </c>
    </row>
    <row r="70" spans="2:6">
      <c r="B70" s="219" t="str">
        <f>'4C'!AP15</f>
        <v>B0145VTCWNP</v>
      </c>
      <c r="C70" s="219" t="s">
        <v>2098</v>
      </c>
      <c r="E70" s="249" t="s">
        <v>634</v>
      </c>
      <c r="F70" s="255">
        <f>IF(ISBLANK('4C'!K15),"##BLANK",'4C'!K15)</f>
        <v>-40.862000000000002</v>
      </c>
    </row>
    <row r="71" spans="2:6">
      <c r="B71" s="219" t="str">
        <f>'4C'!AQ15</f>
        <v>B0145VTCWWNP</v>
      </c>
      <c r="C71" s="219" t="s">
        <v>2099</v>
      </c>
      <c r="E71" s="249" t="s">
        <v>634</v>
      </c>
      <c r="F71" s="255">
        <f>IF(ISBLANK('4C'!L15),"##BLANK",'4C'!L15)</f>
        <v>-67.256</v>
      </c>
    </row>
    <row r="72" spans="2:6">
      <c r="B72" s="219" t="str">
        <f>'4C'!AR15</f>
        <v>B0145VTCBIO</v>
      </c>
      <c r="C72" s="219" t="s">
        <v>2100</v>
      </c>
      <c r="E72" s="249" t="s">
        <v>634</v>
      </c>
      <c r="F72" s="255">
        <f>IF(ISBLANK('4C'!M15),"##BLANK",'4C'!M15)</f>
        <v>1.06</v>
      </c>
    </row>
    <row r="73" spans="2:6">
      <c r="B73" s="219" t="str">
        <f>'4C'!AS15</f>
        <v>B0145VTCTTTH</v>
      </c>
      <c r="C73" s="219" t="s">
        <v>2101</v>
      </c>
      <c r="E73" s="249" t="s">
        <v>634</v>
      </c>
      <c r="F73" s="255">
        <f>IF(ISBLANK('4C'!N15),"##BLANK",'4C'!N15)</f>
        <v>0</v>
      </c>
    </row>
    <row r="74" spans="2:6">
      <c r="B74" s="219" t="str">
        <f>'4C'!AJ16</f>
        <v>B0146VDWR</v>
      </c>
      <c r="C74" s="219" t="s">
        <v>2102</v>
      </c>
      <c r="E74" s="249" t="s">
        <v>634</v>
      </c>
      <c r="F74" s="255">
        <f>IF(ISBLANK('4C'!E16),"##BLANK",'4C'!E16)</f>
        <v>-10.605000000000004</v>
      </c>
    </row>
    <row r="75" spans="2:6">
      <c r="B75" s="219" t="str">
        <f>'4C'!AK16</f>
        <v>B0146VDWNP</v>
      </c>
      <c r="C75" s="219" t="s">
        <v>2103</v>
      </c>
      <c r="E75" s="249" t="s">
        <v>634</v>
      </c>
      <c r="F75" s="255">
        <f>IF(ISBLANK('4C'!F16),"##BLANK",'4C'!F16)</f>
        <v>57.392000000000017</v>
      </c>
    </row>
    <row r="76" spans="2:6">
      <c r="B76" s="219" t="str">
        <f>'4C'!AL16</f>
        <v>B0146VDWWNP</v>
      </c>
      <c r="C76" s="219" t="s">
        <v>2104</v>
      </c>
      <c r="E76" s="249" t="s">
        <v>634</v>
      </c>
      <c r="F76" s="255">
        <f>IF(ISBLANK('4C'!G16),"##BLANK",'4C'!G16)</f>
        <v>7.1270000000000131</v>
      </c>
    </row>
    <row r="77" spans="2:6">
      <c r="B77" s="219" t="str">
        <f>'4C'!AM16</f>
        <v>B0146VDBIO</v>
      </c>
      <c r="C77" s="219" t="s">
        <v>2105</v>
      </c>
      <c r="E77" s="249" t="s">
        <v>634</v>
      </c>
      <c r="F77" s="255">
        <f>IF(ISBLANK('4C'!H16),"##BLANK",'4C'!H16)</f>
        <v>3.1670000000000007</v>
      </c>
    </row>
    <row r="78" spans="2:6">
      <c r="B78" s="219" t="str">
        <f>'4C'!AN16</f>
        <v>B0146VDTTTH</v>
      </c>
      <c r="C78" s="219" t="s">
        <v>2106</v>
      </c>
      <c r="E78" s="249" t="s">
        <v>634</v>
      </c>
      <c r="F78" s="255">
        <f>IF(ISBLANK('4C'!I16),"##BLANK",'4C'!I16)</f>
        <v>0</v>
      </c>
    </row>
    <row r="79" spans="2:6">
      <c r="B79" s="219" t="str">
        <f>'4C'!AO16</f>
        <v>B0146VDCWR</v>
      </c>
      <c r="C79" s="219" t="s">
        <v>2107</v>
      </c>
      <c r="E79" s="249" t="s">
        <v>634</v>
      </c>
      <c r="F79" s="255">
        <f>IF(ISBLANK('4C'!J16),"##BLANK",'4C'!J16)</f>
        <v>-34.620999999999995</v>
      </c>
    </row>
    <row r="80" spans="2:6">
      <c r="B80" s="219" t="str">
        <f>'4C'!AP16</f>
        <v>B0146VDCWNP</v>
      </c>
      <c r="C80" s="219" t="s">
        <v>2108</v>
      </c>
      <c r="E80" s="249" t="s">
        <v>634</v>
      </c>
      <c r="F80" s="255">
        <f>IF(ISBLANK('4C'!K16),"##BLANK",'4C'!K16)</f>
        <v>69.153000000000162</v>
      </c>
    </row>
    <row r="81" spans="2:6">
      <c r="B81" s="219" t="str">
        <f>'4C'!AQ16</f>
        <v>B0146VDCWWNP</v>
      </c>
      <c r="C81" s="219" t="s">
        <v>2109</v>
      </c>
      <c r="E81" s="249" t="s">
        <v>634</v>
      </c>
      <c r="F81" s="255">
        <f>IF(ISBLANK('4C'!L16),"##BLANK",'4C'!L16)</f>
        <v>16.662000000000063</v>
      </c>
    </row>
    <row r="82" spans="2:6">
      <c r="B82" s="219" t="str">
        <f>'4C'!AR16</f>
        <v>B0146VDCBIO</v>
      </c>
      <c r="C82" s="219" t="s">
        <v>2110</v>
      </c>
      <c r="E82" s="249" t="s">
        <v>634</v>
      </c>
      <c r="F82" s="255">
        <f>IF(ISBLANK('4C'!M16),"##BLANK",'4C'!M16)</f>
        <v>17.919999999999991</v>
      </c>
    </row>
    <row r="83" spans="2:6">
      <c r="B83" s="219" t="str">
        <f>'4C'!AS16</f>
        <v>B0146VDCTTTH</v>
      </c>
      <c r="C83" s="219" t="s">
        <v>2111</v>
      </c>
      <c r="E83" s="249" t="s">
        <v>634</v>
      </c>
      <c r="F83" s="255">
        <f>IF(ISBLANK('4C'!N16),"##BLANK",'4C'!N16)</f>
        <v>0</v>
      </c>
    </row>
    <row r="84" spans="2:6">
      <c r="B84" s="254" t="str">
        <f>'4C'!AJ17</f>
        <v>B0166OWR</v>
      </c>
      <c r="C84" s="219" t="s">
        <v>2112</v>
      </c>
      <c r="E84" s="249" t="s">
        <v>634</v>
      </c>
      <c r="F84" s="255">
        <f>IF(ISBLANK('4C'!E17),"##BLANK",'4C'!E17)</f>
        <v>0.57340000000000002</v>
      </c>
    </row>
    <row r="85" spans="2:6">
      <c r="B85" s="254" t="str">
        <f>'4C'!AK17</f>
        <v>B0166OWNP</v>
      </c>
      <c r="C85" s="219" t="s">
        <v>2113</v>
      </c>
      <c r="E85" s="249" t="s">
        <v>634</v>
      </c>
      <c r="F85" s="255">
        <f>IF(ISBLANK('4C'!F17),"##BLANK",'4C'!F17)</f>
        <v>0.57340000000000002</v>
      </c>
    </row>
    <row r="86" spans="2:6">
      <c r="B86" s="254" t="str">
        <f>'4C'!AL17</f>
        <v>B0166OWWNP</v>
      </c>
      <c r="C86" s="219" t="s">
        <v>2114</v>
      </c>
      <c r="E86" s="249" t="s">
        <v>634</v>
      </c>
      <c r="F86" s="255">
        <f>IF(ISBLANK('4C'!G17),"##BLANK",'4C'!G17)</f>
        <v>0.58489999999999998</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0.57340000000000002</v>
      </c>
    </row>
    <row r="90" spans="2:6">
      <c r="B90" s="254" t="str">
        <f>'4C'!AP17</f>
        <v>B0166OCWNP</v>
      </c>
      <c r="C90" s="219" t="s">
        <v>2118</v>
      </c>
      <c r="E90" s="249" t="s">
        <v>634</v>
      </c>
      <c r="F90" s="255">
        <f>IF(ISBLANK('4C'!K17),"##BLANK",'4C'!K17)</f>
        <v>0.57340000000000002</v>
      </c>
    </row>
    <row r="91" spans="2:6">
      <c r="B91" s="254" t="str">
        <f>'4C'!AQ17</f>
        <v>B0166OCWWNP</v>
      </c>
      <c r="C91" s="219" t="s">
        <v>2119</v>
      </c>
      <c r="E91" s="249" t="s">
        <v>634</v>
      </c>
      <c r="F91" s="255">
        <f>IF(ISBLANK('4C'!L17),"##BLANK",'4C'!L17)</f>
        <v>0.58489999999999998</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0.42659999999999998</v>
      </c>
    </row>
    <row r="95" spans="2:6">
      <c r="B95" s="254" t="str">
        <f>'4C'!AK18</f>
        <v>B0167UWNP</v>
      </c>
      <c r="C95" s="219" t="s">
        <v>2123</v>
      </c>
      <c r="E95" s="249" t="s">
        <v>634</v>
      </c>
      <c r="F95" s="255">
        <f>IF(ISBLANK('4C'!F18),"##BLANK",'4C'!F18)</f>
        <v>0.42659999999999998</v>
      </c>
    </row>
    <row r="96" spans="2:6">
      <c r="B96" s="254" t="str">
        <f>'4C'!AL18</f>
        <v>B0167UWWNP</v>
      </c>
      <c r="C96" s="219" t="s">
        <v>2124</v>
      </c>
      <c r="E96" s="249" t="s">
        <v>634</v>
      </c>
      <c r="F96" s="255">
        <f>IF(ISBLANK('4C'!G18),"##BLANK",'4C'!G18)</f>
        <v>0.41510000000000002</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0.42659999999999998</v>
      </c>
    </row>
    <row r="100" spans="2:6">
      <c r="B100" s="254" t="str">
        <f>'4C'!AP18</f>
        <v>B0167UCWNP</v>
      </c>
      <c r="C100" s="219" t="s">
        <v>2128</v>
      </c>
      <c r="E100" s="249" t="s">
        <v>634</v>
      </c>
      <c r="F100" s="255">
        <f>IF(ISBLANK('4C'!K18),"##BLANK",'4C'!K18)</f>
        <v>0.42659999999999998</v>
      </c>
    </row>
    <row r="101" spans="2:6">
      <c r="B101" s="254" t="str">
        <f>'4C'!AQ18</f>
        <v>B0167UCWWNP</v>
      </c>
      <c r="C101" s="219" t="s">
        <v>2129</v>
      </c>
      <c r="E101" s="249" t="s">
        <v>634</v>
      </c>
      <c r="F101" s="255">
        <f>IF(ISBLANK('4C'!L18),"##BLANK",'4C'!L18)</f>
        <v>0.41510000000000002</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v>
      </c>
    </row>
    <row r="105" spans="2:6">
      <c r="B105" s="219" t="str">
        <f>'4C'!AK19</f>
        <v>B0168OWNP</v>
      </c>
      <c r="C105" s="219" t="s">
        <v>2133</v>
      </c>
      <c r="E105" s="249" t="s">
        <v>634</v>
      </c>
      <c r="F105" s="255">
        <f>IF(ISBLANK('4C'!F19),"##BLANK",'4C'!F19)</f>
        <v>24.483427200000005</v>
      </c>
    </row>
    <row r="106" spans="2:6">
      <c r="B106" s="219" t="str">
        <f>'4C'!AL19</f>
        <v>B0168OWWNP</v>
      </c>
      <c r="C106" s="219" t="s">
        <v>2134</v>
      </c>
      <c r="E106" s="249" t="s">
        <v>634</v>
      </c>
      <c r="F106" s="255">
        <f>IF(ISBLANK('4C'!G19),"##BLANK",'4C'!G19)</f>
        <v>2.9584177000000058</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v>
      </c>
    </row>
    <row r="110" spans="2:6">
      <c r="B110" s="219" t="str">
        <f>'4C'!AP19</f>
        <v>B0168OCWNP</v>
      </c>
      <c r="C110" s="219" t="s">
        <v>2138</v>
      </c>
      <c r="E110" s="249" t="s">
        <v>634</v>
      </c>
      <c r="F110" s="255">
        <f>IF(ISBLANK('4C'!K19),"##BLANK",'4C'!K19)</f>
        <v>29.500669800000068</v>
      </c>
    </row>
    <row r="111" spans="2:6">
      <c r="B111" s="219" t="str">
        <f>'4C'!AQ19</f>
        <v>B0168OCWWNP</v>
      </c>
      <c r="C111" s="219" t="s">
        <v>2139</v>
      </c>
      <c r="E111" s="249" t="s">
        <v>634</v>
      </c>
      <c r="F111" s="255">
        <f>IF(ISBLANK('4C'!L19),"##BLANK",'4C'!L19)</f>
        <v>6.916396200000027</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-6.0809070000000025</v>
      </c>
    </row>
    <row r="115" spans="2:6">
      <c r="B115" s="219" t="str">
        <f>'4C'!AK20</f>
        <v>B0169UWNP</v>
      </c>
      <c r="C115" s="219" t="s">
        <v>2143</v>
      </c>
      <c r="E115" s="249" t="s">
        <v>634</v>
      </c>
      <c r="F115" s="255">
        <f>IF(ISBLANK('4C'!F20),"##BLANK",'4C'!F20)</f>
        <v>0</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-19.851681399999997</v>
      </c>
    </row>
    <row r="120" spans="2:6">
      <c r="B120" s="219" t="str">
        <f>'4C'!AP20</f>
        <v>B0169UCWNP</v>
      </c>
      <c r="C120" s="219" t="s">
        <v>2148</v>
      </c>
      <c r="E120" s="249" t="s">
        <v>634</v>
      </c>
      <c r="F120" s="255">
        <f>IF(ISBLANK('4C'!K20),"##BLANK",'4C'!K20)</f>
        <v>0</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v>
      </c>
    </row>
    <row r="125" spans="2:6">
      <c r="B125" s="219" t="str">
        <f>'4C'!AK21</f>
        <v>B0170OWNP</v>
      </c>
      <c r="C125" s="219" t="s">
        <v>2153</v>
      </c>
      <c r="E125" s="249" t="s">
        <v>634</v>
      </c>
      <c r="F125" s="255">
        <f>IF(ISBLANK('4C'!F21),"##BLANK",'4C'!F21)</f>
        <v>32.908572800000016</v>
      </c>
    </row>
    <row r="126" spans="2:6">
      <c r="B126" s="219" t="str">
        <f>'4C'!AL21</f>
        <v>B0170OWWNP</v>
      </c>
      <c r="C126" s="219" t="s">
        <v>2154</v>
      </c>
      <c r="E126" s="249" t="s">
        <v>634</v>
      </c>
      <c r="F126" s="255">
        <f>IF(ISBLANK('4C'!G21),"##BLANK",'4C'!G21)</f>
        <v>4.1685823000000077</v>
      </c>
    </row>
    <row r="127" spans="2:6">
      <c r="B127" s="219" t="str">
        <f>'4C'!AM21</f>
        <v>B0170OBIO</v>
      </c>
      <c r="C127" s="219" t="s">
        <v>2155</v>
      </c>
      <c r="E127" s="249" t="s">
        <v>634</v>
      </c>
      <c r="F127" s="255">
        <f>IF(ISBLANK('4C'!H21),"##BLANK",'4C'!H21)</f>
        <v>3.1670000000000007</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v>
      </c>
    </row>
    <row r="130" spans="2:6">
      <c r="B130" s="219" t="str">
        <f>'4C'!AP21</f>
        <v>B0170OCWNP</v>
      </c>
      <c r="C130" s="219" t="s">
        <v>2158</v>
      </c>
      <c r="E130" s="249" t="s">
        <v>634</v>
      </c>
      <c r="F130" s="255">
        <f>IF(ISBLANK('4C'!K21),"##BLANK",'4C'!K21)</f>
        <v>39.652330200000094</v>
      </c>
    </row>
    <row r="131" spans="2:6">
      <c r="B131" s="219" t="str">
        <f>'4C'!AQ21</f>
        <v>B0170OCWWNP</v>
      </c>
      <c r="C131" s="219" t="s">
        <v>2159</v>
      </c>
      <c r="E131" s="249" t="s">
        <v>634</v>
      </c>
      <c r="F131" s="255">
        <f>IF(ISBLANK('4C'!L21),"##BLANK",'4C'!L21)</f>
        <v>9.7456038000000369</v>
      </c>
    </row>
    <row r="132" spans="2:6">
      <c r="B132" s="219" t="str">
        <f>'4C'!AR21</f>
        <v>B0170OCBIO</v>
      </c>
      <c r="C132" s="219" t="s">
        <v>2160</v>
      </c>
      <c r="E132" s="249" t="s">
        <v>634</v>
      </c>
      <c r="F132" s="255">
        <f>IF(ISBLANK('4C'!M21),"##BLANK",'4C'!M21)</f>
        <v>17.919999999999991</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-4.5240930000000015</v>
      </c>
    </row>
    <row r="135" spans="2:6">
      <c r="B135" s="219" t="str">
        <f>'4C'!AK22</f>
        <v>B0171UWNP</v>
      </c>
      <c r="C135" s="219" t="s">
        <v>2163</v>
      </c>
      <c r="E135" s="249" t="s">
        <v>634</v>
      </c>
      <c r="F135" s="255">
        <f>IF(ISBLANK('4C'!F22),"##BLANK",'4C'!F22)</f>
        <v>0</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-14.769318599999998</v>
      </c>
    </row>
    <row r="140" spans="2:6">
      <c r="B140" s="219" t="str">
        <f>'4C'!AP22</f>
        <v>B0171UCWNP</v>
      </c>
      <c r="C140" s="219" t="s">
        <v>2168</v>
      </c>
      <c r="E140" s="249" t="s">
        <v>634</v>
      </c>
      <c r="F140" s="255">
        <f>IF(ISBLANK('4C'!K22),"##BLANK",'4C'!K22)</f>
        <v>0</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9.9339999999999993</v>
      </c>
    </row>
    <row r="145" spans="2:6">
      <c r="B145" s="219" t="str">
        <f>'4C'!AK25</f>
        <v>B0150FDWNP</v>
      </c>
      <c r="C145" s="219" t="s">
        <v>2173</v>
      </c>
      <c r="E145" s="249" t="s">
        <v>634</v>
      </c>
      <c r="F145" s="255">
        <f>IF(ISBLANK('4C'!F25),"##BLANK",'4C'!F25)</f>
        <v>17.399000000000001</v>
      </c>
    </row>
    <row r="146" spans="2:6">
      <c r="B146" s="219" t="str">
        <f>'4C'!AL25</f>
        <v>B0150FDWWNP</v>
      </c>
      <c r="C146" s="219" t="s">
        <v>2174</v>
      </c>
      <c r="E146" s="249" t="s">
        <v>634</v>
      </c>
      <c r="F146" s="255">
        <f>IF(ISBLANK('4C'!G25),"##BLANK",'4C'!G25)</f>
        <v>10.343</v>
      </c>
    </row>
    <row r="147" spans="2:6">
      <c r="B147" s="219" t="str">
        <f>'4C'!AM25</f>
        <v>B0150FDBIO</v>
      </c>
      <c r="C147" s="219" t="s">
        <v>2175</v>
      </c>
      <c r="E147" s="249" t="s">
        <v>634</v>
      </c>
      <c r="F147" s="255">
        <f>IF(ISBLANK('4C'!H25),"##BLANK",'4C'!H25)</f>
        <v>0.58799999999999997</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27.876999999999995</v>
      </c>
    </row>
    <row r="150" spans="2:6">
      <c r="B150" s="219" t="str">
        <f>'4C'!AP25</f>
        <v>B0150FDCWNP</v>
      </c>
      <c r="C150" s="219" t="s">
        <v>2178</v>
      </c>
      <c r="E150" s="249" t="s">
        <v>634</v>
      </c>
      <c r="F150" s="255">
        <f>IF(ISBLANK('4C'!K25),"##BLANK",'4C'!K25)</f>
        <v>48.825000000000003</v>
      </c>
    </row>
    <row r="151" spans="2:6">
      <c r="B151" s="219" t="str">
        <f>'4C'!AQ25</f>
        <v>B0150FDCWWNP</v>
      </c>
      <c r="C151" s="219" t="s">
        <v>2179</v>
      </c>
      <c r="E151" s="249" t="s">
        <v>634</v>
      </c>
      <c r="F151" s="255">
        <f>IF(ISBLANK('4C'!L25),"##BLANK",'4C'!L25)</f>
        <v>29.025000000000002</v>
      </c>
    </row>
    <row r="152" spans="2:6">
      <c r="B152" s="219" t="str">
        <f>'4C'!AR25</f>
        <v>B0150FDCBIO</v>
      </c>
      <c r="C152" s="219" t="s">
        <v>2180</v>
      </c>
      <c r="E152" s="249" t="s">
        <v>634</v>
      </c>
      <c r="F152" s="255">
        <f>IF(ISBLANK('4C'!M25),"##BLANK",'4C'!M25)</f>
        <v>1.6510000000000002</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11.894</v>
      </c>
    </row>
    <row r="155" spans="2:6">
      <c r="B155" s="219" t="str">
        <f>'4C'!AK26</f>
        <v>B0151ATWNP</v>
      </c>
      <c r="C155" s="219" t="s">
        <v>2183</v>
      </c>
      <c r="E155" s="249" t="s">
        <v>634</v>
      </c>
      <c r="F155" s="255">
        <f>IF(ISBLANK('4C'!F26),"##BLANK",'4C'!F26)</f>
        <v>14.153</v>
      </c>
    </row>
    <row r="156" spans="2:6">
      <c r="B156" s="219" t="str">
        <f>'4C'!AL26</f>
        <v>B0151ATWWNP</v>
      </c>
      <c r="C156" s="219" t="s">
        <v>2184</v>
      </c>
      <c r="E156" s="249" t="s">
        <v>634</v>
      </c>
      <c r="F156" s="255">
        <f>IF(ISBLANK('4C'!G26),"##BLANK",'4C'!G26)</f>
        <v>8.2910000000000004</v>
      </c>
    </row>
    <row r="157" spans="2:6">
      <c r="B157" s="219" t="str">
        <f>'4C'!AM26</f>
        <v>B0151ATBIO</v>
      </c>
      <c r="C157" s="219" t="s">
        <v>2185</v>
      </c>
      <c r="E157" s="249" t="s">
        <v>634</v>
      </c>
      <c r="F157" s="255">
        <f>IF(ISBLANK('4C'!H26),"##BLANK",'4C'!H26)</f>
        <v>0.64</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32.481999999999999</v>
      </c>
    </row>
    <row r="160" spans="2:6">
      <c r="B160" s="219" t="str">
        <f>'4C'!AP26</f>
        <v>B0151ATCWNP</v>
      </c>
      <c r="C160" s="219" t="s">
        <v>2188</v>
      </c>
      <c r="E160" s="249" t="s">
        <v>634</v>
      </c>
      <c r="F160" s="255">
        <f>IF(ISBLANK('4C'!K26),"##BLANK",'4C'!K26)</f>
        <v>45.408999999999999</v>
      </c>
    </row>
    <row r="161" spans="2:6">
      <c r="B161" s="219" t="str">
        <f>'4C'!AQ26</f>
        <v>B0151ATCWWNP</v>
      </c>
      <c r="C161" s="219" t="s">
        <v>2189</v>
      </c>
      <c r="E161" s="249" t="s">
        <v>634</v>
      </c>
      <c r="F161" s="255">
        <f>IF(ISBLANK('4C'!L26),"##BLANK",'4C'!L26)</f>
        <v>24.295999999999999</v>
      </c>
    </row>
    <row r="162" spans="2:6">
      <c r="B162" s="219" t="str">
        <f>'4C'!AR26</f>
        <v>B0151ATCBIO</v>
      </c>
      <c r="C162" s="219" t="s">
        <v>2190</v>
      </c>
      <c r="E162" s="249" t="s">
        <v>634</v>
      </c>
      <c r="F162" s="255">
        <f>IF(ISBLANK('4C'!M26),"##BLANK",'4C'!M26)</f>
        <v>1.8520000000000001</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1.9600000000000009</v>
      </c>
    </row>
    <row r="165" spans="2:6">
      <c r="B165" s="219" t="str">
        <f>'4C'!AK27</f>
        <v>B0152VBWNP</v>
      </c>
      <c r="C165" s="219" t="s">
        <v>2193</v>
      </c>
      <c r="E165" s="249" t="s">
        <v>634</v>
      </c>
      <c r="F165" s="255">
        <f>IF(ISBLANK('4C'!F27),"##BLANK",'4C'!F27)</f>
        <v>-3.2460000000000004</v>
      </c>
    </row>
    <row r="166" spans="2:6">
      <c r="B166" s="219" t="str">
        <f>'4C'!AL27</f>
        <v>B0152VBWWNP</v>
      </c>
      <c r="C166" s="219" t="s">
        <v>2194</v>
      </c>
      <c r="E166" s="249" t="s">
        <v>634</v>
      </c>
      <c r="F166" s="255">
        <f>IF(ISBLANK('4C'!G27),"##BLANK",'4C'!G27)</f>
        <v>-2.0519999999999996</v>
      </c>
    </row>
    <row r="167" spans="2:6">
      <c r="B167" s="219" t="str">
        <f>'4C'!AM27</f>
        <v>B0152VBBIO</v>
      </c>
      <c r="C167" s="219" t="s">
        <v>2195</v>
      </c>
      <c r="E167" s="249" t="s">
        <v>634</v>
      </c>
      <c r="F167" s="255">
        <f>IF(ISBLANK('4C'!H27),"##BLANK",'4C'!H27)</f>
        <v>5.2000000000000046E-2</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4.605000000000004</v>
      </c>
    </row>
    <row r="170" spans="2:6">
      <c r="B170" s="219" t="str">
        <f>'4C'!AP27</f>
        <v>B0152VBCWNP</v>
      </c>
      <c r="C170" s="219" t="s">
        <v>2198</v>
      </c>
      <c r="E170" s="249" t="s">
        <v>634</v>
      </c>
      <c r="F170" s="255">
        <f>IF(ISBLANK('4C'!K27),"##BLANK",'4C'!K27)</f>
        <v>-3.4160000000000039</v>
      </c>
    </row>
    <row r="171" spans="2:6">
      <c r="B171" s="219" t="str">
        <f>'4C'!AQ27</f>
        <v>B0152VBCWWNP</v>
      </c>
      <c r="C171" s="219" t="s">
        <v>2199</v>
      </c>
      <c r="E171" s="249" t="s">
        <v>634</v>
      </c>
      <c r="F171" s="255">
        <f>IF(ISBLANK('4C'!L27),"##BLANK",'4C'!L27)</f>
        <v>-4.7290000000000028</v>
      </c>
    </row>
    <row r="172" spans="2:6">
      <c r="B172" s="219" t="str">
        <f>'4C'!AR27</f>
        <v>B0152VBCBIO</v>
      </c>
      <c r="C172" s="219" t="s">
        <v>2200</v>
      </c>
      <c r="E172" s="249" t="s">
        <v>634</v>
      </c>
      <c r="F172" s="255">
        <f>IF(ISBLANK('4C'!M27),"##BLANK",'4C'!M27)</f>
        <v>0.20099999999999985</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0.75</v>
      </c>
    </row>
    <row r="177" spans="2:6">
      <c r="B177" s="254" t="str">
        <f>'4C'!AM28</f>
        <v>B0172BRBIO</v>
      </c>
      <c r="C177" s="219" t="s">
        <v>2205</v>
      </c>
      <c r="E177" s="249" t="s">
        <v>634</v>
      </c>
      <c r="F177" s="255">
        <f>IF(ISBLANK('4C'!H28),"##BLANK",'4C'!H28)</f>
        <v>0.75</v>
      </c>
    </row>
    <row r="178" spans="2:6">
      <c r="B178" s="254" t="str">
        <f>'4C'!AN28</f>
        <v>B0172BRTTTH</v>
      </c>
      <c r="C178" s="219" t="s">
        <v>2206</v>
      </c>
      <c r="E178" s="249" t="s">
        <v>634</v>
      </c>
      <c r="F178" s="255">
        <f>IF(ISBLANK('4C'!I28),"##BLANK",'4C'!I28)</f>
        <v>0.75</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0.75</v>
      </c>
    </row>
    <row r="182" spans="2:6">
      <c r="B182" s="254" t="str">
        <f>'4C'!AR28</f>
        <v>B0172CBRBIO</v>
      </c>
      <c r="C182" s="219" t="s">
        <v>2210</v>
      </c>
      <c r="E182" s="249" t="s">
        <v>634</v>
      </c>
      <c r="F182" s="241">
        <f>IF(ISBLANK('4C'!M28),"##BLANK",'4C'!M28)</f>
        <v>0.75</v>
      </c>
    </row>
    <row r="183" spans="2:6">
      <c r="B183" s="254" t="str">
        <f>'4C'!AS28</f>
        <v>B0172CBRTTTH</v>
      </c>
      <c r="C183" s="219" t="s">
        <v>2211</v>
      </c>
      <c r="E183" s="249" t="s">
        <v>634</v>
      </c>
      <c r="F183" s="255">
        <f>IF(ISBLANK('4C'!N28),"##BLANK",'4C'!N28)</f>
        <v>0.75</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0.75</v>
      </c>
    </row>
    <row r="187" spans="2:6">
      <c r="B187" s="254" t="str">
        <f>'4C'!AM29</f>
        <v>B0173ALFBIO</v>
      </c>
      <c r="C187" s="219" t="s">
        <v>2215</v>
      </c>
      <c r="E187" s="249" t="s">
        <v>634</v>
      </c>
      <c r="F187" s="255">
        <f>IF(ISBLANK('4C'!H29),"##BLANK",'4C'!H29)</f>
        <v>0.75</v>
      </c>
    </row>
    <row r="188" spans="2:6">
      <c r="B188" s="254" t="str">
        <f>'4C'!AN29</f>
        <v>B0173ALFTTTH</v>
      </c>
      <c r="C188" s="219" t="s">
        <v>2216</v>
      </c>
      <c r="E188" s="249" t="s">
        <v>634</v>
      </c>
      <c r="F188" s="255">
        <f>IF(ISBLANK('4C'!I29),"##BLANK",'4C'!I29)</f>
        <v>0.75</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0.75</v>
      </c>
    </row>
    <row r="192" spans="2:6">
      <c r="B192" s="254" t="str">
        <f>'4C'!AR29</f>
        <v>B0173CALFBIO</v>
      </c>
      <c r="C192" s="219" t="s">
        <v>2220</v>
      </c>
      <c r="E192" s="249" t="s">
        <v>634</v>
      </c>
      <c r="F192" s="255">
        <f>IF(ISBLANK('4C'!M29),"##BLANK",'4C'!M29)</f>
        <v>0.75</v>
      </c>
    </row>
    <row r="193" spans="2:6">
      <c r="B193" s="254" t="str">
        <f>'4C'!AS29</f>
        <v>B0173CALFTTTH</v>
      </c>
      <c r="C193" s="219" t="s">
        <v>2221</v>
      </c>
      <c r="E193" s="249" t="s">
        <v>634</v>
      </c>
      <c r="F193" s="255">
        <f>IF(ISBLANK('4C'!N29),"##BLANK",'4C'!N29)</f>
        <v>0.75</v>
      </c>
    </row>
    <row r="194" spans="2:6">
      <c r="B194" s="219" t="str">
        <f>'4C'!AJ30</f>
        <v>B0154CWR</v>
      </c>
      <c r="C194" s="219" t="s">
        <v>2222</v>
      </c>
      <c r="E194" s="249" t="s">
        <v>634</v>
      </c>
      <c r="F194" s="255">
        <f>IF(ISBLANK('4C'!E30),"##BLANK",'4C'!E30)</f>
        <v>1.4700000000000006</v>
      </c>
    </row>
    <row r="195" spans="2:6">
      <c r="B195" s="219" t="str">
        <f>'4C'!AK30</f>
        <v>B0154CWWNP</v>
      </c>
      <c r="C195" s="219" t="s">
        <v>2223</v>
      </c>
      <c r="E195" s="249" t="s">
        <v>634</v>
      </c>
      <c r="F195" s="255">
        <f>IF(ISBLANK('4C'!F30),"##BLANK",'4C'!F30)</f>
        <v>-2.4345000000000003</v>
      </c>
    </row>
    <row r="196" spans="2:6">
      <c r="B196" s="219" t="str">
        <f>'4C'!AL30</f>
        <v>B0154CWWWNP</v>
      </c>
      <c r="C196" s="219" t="s">
        <v>2224</v>
      </c>
      <c r="E196" s="249" t="s">
        <v>634</v>
      </c>
      <c r="F196" s="255">
        <f>IF(ISBLANK('4C'!G30),"##BLANK",'4C'!G30)</f>
        <v>-1.5389999999999997</v>
      </c>
    </row>
    <row r="197" spans="2:6">
      <c r="B197" s="219" t="str">
        <f>'4C'!AM30</f>
        <v>B0154CWBIO</v>
      </c>
      <c r="C197" s="219" t="s">
        <v>2225</v>
      </c>
      <c r="E197" s="249" t="s">
        <v>634</v>
      </c>
      <c r="F197" s="255">
        <f>IF(ISBLANK('4C'!H30),"##BLANK",'4C'!H30)</f>
        <v>3.9000000000000035E-2</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3.453750000000003</v>
      </c>
    </row>
    <row r="200" spans="2:6">
      <c r="B200" s="219" t="str">
        <f>'4C'!AP30</f>
        <v>B0154CWCWNP</v>
      </c>
      <c r="C200" s="219" t="s">
        <v>2228</v>
      </c>
      <c r="E200" s="249" t="s">
        <v>634</v>
      </c>
      <c r="F200" s="255">
        <f>IF(ISBLANK('4C'!K30),"##BLANK",'4C'!K30)</f>
        <v>-2.5620000000000029</v>
      </c>
    </row>
    <row r="201" spans="2:6">
      <c r="B201" s="219" t="str">
        <f>'4C'!AQ30</f>
        <v>B0154CWCWWNP</v>
      </c>
      <c r="C201" s="219" t="s">
        <v>2229</v>
      </c>
      <c r="E201" s="249" t="s">
        <v>634</v>
      </c>
      <c r="F201" s="255">
        <f>IF(ISBLANK('4C'!L30),"##BLANK",'4C'!L30)</f>
        <v>-3.5467500000000021</v>
      </c>
    </row>
    <row r="202" spans="2:6">
      <c r="B202" s="219" t="str">
        <f>'4C'!AR30</f>
        <v>B0154CWCBIO</v>
      </c>
      <c r="C202" s="219" t="s">
        <v>2230</v>
      </c>
      <c r="E202" s="249" t="s">
        <v>634</v>
      </c>
      <c r="F202" s="255">
        <f>IF(ISBLANK('4C'!M30),"##BLANK",'4C'!M30)</f>
        <v>0.15074999999999988</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0.49000000000000021</v>
      </c>
    </row>
    <row r="205" spans="2:6">
      <c r="B205" s="219" t="str">
        <f>'4C'!AK31</f>
        <v>B0155CTWNP</v>
      </c>
      <c r="C205" s="219" t="s">
        <v>2233</v>
      </c>
      <c r="E205" s="249" t="s">
        <v>634</v>
      </c>
      <c r="F205" s="255">
        <f>IF(ISBLANK('4C'!F31),"##BLANK",'4C'!F31)</f>
        <v>-0.81150000000000011</v>
      </c>
    </row>
    <row r="206" spans="2:6">
      <c r="B206" s="219" t="str">
        <f>'4C'!AL31</f>
        <v>B0155CTWWNP</v>
      </c>
      <c r="C206" s="219" t="s">
        <v>2234</v>
      </c>
      <c r="E206" s="249" t="s">
        <v>634</v>
      </c>
      <c r="F206" s="255">
        <f>IF(ISBLANK('4C'!G31),"##BLANK",'4C'!G31)</f>
        <v>-0.5129999999999999</v>
      </c>
    </row>
    <row r="207" spans="2:6">
      <c r="B207" s="219" t="str">
        <f>'4C'!AM31</f>
        <v>B0155CTBIO</v>
      </c>
      <c r="C207" s="219" t="s">
        <v>2235</v>
      </c>
      <c r="E207" s="249" t="s">
        <v>634</v>
      </c>
      <c r="F207" s="255">
        <f>IF(ISBLANK('4C'!H31),"##BLANK",'4C'!H31)</f>
        <v>1.3000000000000012E-2</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1.151250000000001</v>
      </c>
    </row>
    <row r="210" spans="2:6">
      <c r="B210" s="219" t="str">
        <f>'4C'!AP31</f>
        <v>B0155CTCWNP</v>
      </c>
      <c r="C210" s="219" t="s">
        <v>2238</v>
      </c>
      <c r="E210" s="249" t="s">
        <v>634</v>
      </c>
      <c r="F210" s="255">
        <f>IF(ISBLANK('4C'!K31),"##BLANK",'4C'!K31)</f>
        <v>-0.85400000000000098</v>
      </c>
    </row>
    <row r="211" spans="2:6">
      <c r="B211" s="219" t="str">
        <f>'4C'!AQ31</f>
        <v>B0155CTCWWNP</v>
      </c>
      <c r="C211" s="219" t="s">
        <v>2239</v>
      </c>
      <c r="E211" s="249" t="s">
        <v>634</v>
      </c>
      <c r="F211" s="255">
        <f>IF(ISBLANK('4C'!L31),"##BLANK",'4C'!L31)</f>
        <v>-1.1822500000000007</v>
      </c>
    </row>
    <row r="212" spans="2:6">
      <c r="B212" s="219" t="str">
        <f>'4C'!AR31</f>
        <v>B0155CTCBIO</v>
      </c>
      <c r="C212" s="219" t="s">
        <v>2240</v>
      </c>
      <c r="E212" s="249" t="s">
        <v>634</v>
      </c>
      <c r="F212" s="255">
        <f>IF(ISBLANK('4C'!M31),"##BLANK",'4C'!M31)</f>
        <v>5.0249999999999961E-2</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10.497</v>
      </c>
    </row>
    <row r="215" spans="2:6">
      <c r="B215" s="219" t="str">
        <f>'4C'!AK34</f>
        <v>B0156FDWNP</v>
      </c>
      <c r="C215" s="219" t="s">
        <v>2243</v>
      </c>
      <c r="E215" s="249" t="s">
        <v>634</v>
      </c>
      <c r="F215" s="255">
        <f>IF(ISBLANK('4C'!F34),"##BLANK",'4C'!F34)</f>
        <v>9.6769999999999996</v>
      </c>
    </row>
    <row r="216" spans="2:6">
      <c r="B216" s="219" t="str">
        <f>'4C'!AL34</f>
        <v>B0156FDWWNP</v>
      </c>
      <c r="C216" s="219" t="s">
        <v>2244</v>
      </c>
      <c r="E216" s="249" t="s">
        <v>634</v>
      </c>
      <c r="F216" s="255">
        <f>IF(ISBLANK('4C'!G34),"##BLANK",'4C'!G34)</f>
        <v>2.2949999999999999</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29.457000000000001</v>
      </c>
    </row>
    <row r="220" spans="2:6">
      <c r="B220" s="219" t="str">
        <f>'4C'!AP34</f>
        <v>B0156FDCWNP</v>
      </c>
      <c r="C220" s="219" t="s">
        <v>2248</v>
      </c>
      <c r="E220" s="249" t="s">
        <v>634</v>
      </c>
      <c r="F220" s="255">
        <f>IF(ISBLANK('4C'!K34),"##BLANK",'4C'!K34)</f>
        <v>26.851999999999997</v>
      </c>
    </row>
    <row r="221" spans="2:6">
      <c r="B221" s="219" t="str">
        <f>'4C'!AQ34</f>
        <v>B0156FDCWWNP</v>
      </c>
      <c r="C221" s="219" t="s">
        <v>2249</v>
      </c>
      <c r="E221" s="249" t="s">
        <v>634</v>
      </c>
      <c r="F221" s="255">
        <f>IF(ISBLANK('4C'!L34),"##BLANK",'4C'!L34)</f>
        <v>6.4030000000000005</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17.271000000000001</v>
      </c>
    </row>
    <row r="225" spans="2:6">
      <c r="B225" s="219" t="str">
        <f>'4C'!AK35</f>
        <v>B0157ATWNP</v>
      </c>
      <c r="C225" s="219" t="s">
        <v>2253</v>
      </c>
      <c r="E225" s="249" t="s">
        <v>634</v>
      </c>
      <c r="F225" s="255">
        <f>IF(ISBLANK('4C'!F35),"##BLANK",'4C'!F35)</f>
        <v>36.956000000000003</v>
      </c>
    </row>
    <row r="226" spans="2:6">
      <c r="B226" s="219" t="str">
        <f>'4C'!AL35</f>
        <v>B0157ATWWNP</v>
      </c>
      <c r="C226" s="219" t="s">
        <v>2254</v>
      </c>
      <c r="E226" s="249" t="s">
        <v>634</v>
      </c>
      <c r="F226" s="255">
        <f>IF(ISBLANK('4C'!G35),"##BLANK",'4C'!G35)</f>
        <v>14.89</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35.063000000000002</v>
      </c>
    </row>
    <row r="230" spans="2:6">
      <c r="B230" s="219" t="str">
        <f>'4C'!AP35</f>
        <v>B0157ATCWNP</v>
      </c>
      <c r="C230" s="219" t="s">
        <v>2258</v>
      </c>
      <c r="E230" s="249" t="s">
        <v>634</v>
      </c>
      <c r="F230" s="255">
        <f>IF(ISBLANK('4C'!K35),"##BLANK",'4C'!K35)</f>
        <v>92.305000000000007</v>
      </c>
    </row>
    <row r="231" spans="2:6">
      <c r="B231" s="219" t="str">
        <f>'4C'!AQ35</f>
        <v>B0157ATCWWNP</v>
      </c>
      <c r="C231" s="219" t="s">
        <v>2259</v>
      </c>
      <c r="E231" s="249" t="s">
        <v>634</v>
      </c>
      <c r="F231" s="255">
        <f>IF(ISBLANK('4C'!L35),"##BLANK",'4C'!L35)</f>
        <v>33.927</v>
      </c>
    </row>
    <row r="232" spans="2:6">
      <c r="B232" s="219" t="str">
        <f>'4C'!AR35</f>
        <v>B0157ATCBIO</v>
      </c>
      <c r="C232" s="219" t="s">
        <v>2260</v>
      </c>
      <c r="E232" s="249" t="s">
        <v>634</v>
      </c>
      <c r="F232" s="255">
        <f>IF(ISBLANK('4C'!M35),"##BLANK",'4C'!M35)</f>
        <v>0.82499999999999996</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6.7740000000000009</v>
      </c>
    </row>
    <row r="235" spans="2:6">
      <c r="B235" s="219" t="str">
        <f>'4C'!AK36</f>
        <v>B0158VRWNP</v>
      </c>
      <c r="C235" s="219" t="s">
        <v>2263</v>
      </c>
      <c r="E235" s="249" t="s">
        <v>634</v>
      </c>
      <c r="F235" s="255">
        <f>IF(ISBLANK('4C'!F36),"##BLANK",'4C'!F36)</f>
        <v>27.279000000000003</v>
      </c>
    </row>
    <row r="236" spans="2:6">
      <c r="B236" s="219" t="str">
        <f>'4C'!AL36</f>
        <v>B0158VRWWNP</v>
      </c>
      <c r="C236" s="219" t="s">
        <v>2264</v>
      </c>
      <c r="E236" s="249" t="s">
        <v>634</v>
      </c>
      <c r="F236" s="255">
        <f>IF(ISBLANK('4C'!G36),"##BLANK",'4C'!G36)</f>
        <v>12.595000000000001</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5.6060000000000016</v>
      </c>
    </row>
    <row r="240" spans="2:6">
      <c r="B240" s="219" t="str">
        <f>'4C'!AP36</f>
        <v>B0158VRCWNP</v>
      </c>
      <c r="C240" s="219" t="s">
        <v>2268</v>
      </c>
      <c r="E240" s="249" t="s">
        <v>634</v>
      </c>
      <c r="F240" s="255">
        <f>IF(ISBLANK('4C'!K36),"##BLANK",'4C'!K36)</f>
        <v>65.453000000000003</v>
      </c>
    </row>
    <row r="241" spans="2:6">
      <c r="B241" s="219" t="str">
        <f>'4C'!AQ36</f>
        <v>B0158VRCWWNP</v>
      </c>
      <c r="C241" s="219" t="s">
        <v>2269</v>
      </c>
      <c r="E241" s="249" t="s">
        <v>634</v>
      </c>
      <c r="F241" s="255">
        <f>IF(ISBLANK('4C'!L36),"##BLANK",'4C'!L36)</f>
        <v>27.524000000000001</v>
      </c>
    </row>
    <row r="242" spans="2:6">
      <c r="B242" s="219" t="str">
        <f>'4C'!AR36</f>
        <v>B0158VRCBIO</v>
      </c>
      <c r="C242" s="219" t="s">
        <v>2270</v>
      </c>
      <c r="E242" s="249" t="s">
        <v>634</v>
      </c>
      <c r="F242" s="255">
        <f>IF(ISBLANK('4C'!M36),"##BLANK",'4C'!M36)</f>
        <v>0.82499999999999996</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-4.6109070000000019</v>
      </c>
    </row>
    <row r="245" spans="2:6">
      <c r="B245" s="219" t="str">
        <f>'4C'!AK38</f>
        <v>B0159CTWNP</v>
      </c>
      <c r="C245" s="219" t="s">
        <v>2273</v>
      </c>
      <c r="E245" s="249" t="s">
        <v>634</v>
      </c>
      <c r="F245" s="255">
        <f>IF(ISBLANK('4C'!F38),"##BLANK",'4C'!F38)</f>
        <v>22.048927200000005</v>
      </c>
    </row>
    <row r="246" spans="2:6">
      <c r="B246" s="219" t="str">
        <f>'4C'!AL38</f>
        <v>B0159CTWWNP</v>
      </c>
      <c r="C246" s="219" t="s">
        <v>2274</v>
      </c>
      <c r="E246" s="249" t="s">
        <v>634</v>
      </c>
      <c r="F246" s="255">
        <f>IF(ISBLANK('4C'!G38),"##BLANK",'4C'!G38)</f>
        <v>1.4194177000000061</v>
      </c>
    </row>
    <row r="247" spans="2:6">
      <c r="B247" s="219" t="str">
        <f>'4C'!AM38</f>
        <v>B0159CTBIO</v>
      </c>
      <c r="C247" s="219" t="s">
        <v>2275</v>
      </c>
      <c r="E247" s="249" t="s">
        <v>634</v>
      </c>
      <c r="F247" s="255">
        <f>IF(ISBLANK('4C'!H38),"##BLANK",'4C'!H38)</f>
        <v>3.9000000000000035E-2</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-16.397931399999994</v>
      </c>
    </row>
    <row r="250" spans="2:6">
      <c r="B250" s="219" t="str">
        <f>'4C'!AP38</f>
        <v>B0159CTCWNP</v>
      </c>
      <c r="C250" s="219" t="s">
        <v>2278</v>
      </c>
      <c r="E250" s="249" t="s">
        <v>634</v>
      </c>
      <c r="F250" s="255">
        <f>IF(ISBLANK('4C'!K38),"##BLANK",'4C'!K38)</f>
        <v>26.938669800000064</v>
      </c>
    </row>
    <row r="251" spans="2:6">
      <c r="B251" s="219" t="str">
        <f>'4C'!AQ38</f>
        <v>B0159CTCWWNP</v>
      </c>
      <c r="C251" s="219" t="s">
        <v>2279</v>
      </c>
      <c r="E251" s="249" t="s">
        <v>634</v>
      </c>
      <c r="F251" s="255">
        <f>IF(ISBLANK('4C'!L38),"##BLANK",'4C'!L38)</f>
        <v>3.3696462000000249</v>
      </c>
    </row>
    <row r="252" spans="2:6">
      <c r="B252" s="219" t="str">
        <f>'4C'!AR38</f>
        <v>B0159CTCBIO</v>
      </c>
      <c r="C252" s="219" t="s">
        <v>2280</v>
      </c>
      <c r="E252" s="249" t="s">
        <v>634</v>
      </c>
      <c r="F252" s="255">
        <f>IF(ISBLANK('4C'!M38),"##BLANK",'4C'!M38)</f>
        <v>0.15074999999999988</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0.55549999999999999</v>
      </c>
    </row>
    <row r="255" spans="2:6">
      <c r="B255" s="219" t="str">
        <f>'4C'!AK42</f>
        <v>B0161PGWNP</v>
      </c>
      <c r="C255" s="219" t="s">
        <v>2283</v>
      </c>
      <c r="E255" s="249" t="s">
        <v>634</v>
      </c>
      <c r="F255" s="255">
        <f>IF(ISBLANK('4C'!F42),"##BLANK",'4C'!F42)</f>
        <v>0.54910000000000003</v>
      </c>
    </row>
    <row r="256" spans="2:6">
      <c r="B256" s="219" t="str">
        <f>'4C'!AL42</f>
        <v>B0161PGWWNP</v>
      </c>
      <c r="C256" s="219" t="s">
        <v>2284</v>
      </c>
      <c r="E256" s="249" t="s">
        <v>634</v>
      </c>
      <c r="F256" s="255">
        <f>IF(ISBLANK('4C'!G42),"##BLANK",'4C'!G42)</f>
        <v>0.55569999999999997</v>
      </c>
    </row>
    <row r="257" spans="2:6">
      <c r="B257" s="219" t="str">
        <f>'4C'!AM42</f>
        <v>B0161PGBIO</v>
      </c>
      <c r="C257" s="219" t="s">
        <v>2285</v>
      </c>
      <c r="E257" s="249" t="s">
        <v>634</v>
      </c>
      <c r="F257" s="255">
        <f>IF(ISBLANK('4C'!H42),"##BLANK",'4C'!H42)</f>
        <v>0.62029999999999996</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0.54520000000000002</v>
      </c>
    </row>
    <row r="260" spans="2:6">
      <c r="B260" s="219" t="str">
        <f>'4C'!AP42</f>
        <v>B0161PGCWNP</v>
      </c>
      <c r="C260" s="219" t="s">
        <v>2288</v>
      </c>
      <c r="E260" s="249" t="s">
        <v>634</v>
      </c>
      <c r="F260" s="256">
        <f>IF(ISBLANK('4C'!K42),"##BLANK",'4C'!K42)</f>
        <v>0.54390000000000005</v>
      </c>
    </row>
    <row r="261" spans="2:6">
      <c r="B261" s="219" t="str">
        <f>'4C'!AQ42</f>
        <v>B0161PGCWWNP</v>
      </c>
      <c r="C261" s="219" t="s">
        <v>2289</v>
      </c>
      <c r="E261" s="249" t="s">
        <v>634</v>
      </c>
      <c r="F261" s="256">
        <f>IF(ISBLANK('4C'!L42),"##BLANK",'4C'!L42)</f>
        <v>0.54200000000000004</v>
      </c>
    </row>
    <row r="262" spans="2:6">
      <c r="B262" s="219" t="str">
        <f>'4C'!AR42</f>
        <v>B0161PGCBIO</v>
      </c>
      <c r="C262" s="219" t="s">
        <v>2290</v>
      </c>
      <c r="E262" s="249" t="s">
        <v>634</v>
      </c>
      <c r="F262" s="256">
        <f>IF(ISBLANK('4C'!M42),"##BLANK",'4C'!M42)</f>
        <v>0.61950000000000005</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-2.0495481615000011</v>
      </c>
    </row>
    <row r="265" spans="2:6">
      <c r="B265" s="219" t="str">
        <f>'4C'!AK43</f>
        <v>B0162RVWNP</v>
      </c>
      <c r="C265" s="219" t="s">
        <v>2293</v>
      </c>
      <c r="E265" s="249" t="s">
        <v>634</v>
      </c>
      <c r="F265" s="256">
        <f>IF(ISBLANK('4C'!F43),"##BLANK",'4C'!F43)</f>
        <v>9.9418612744800008</v>
      </c>
    </row>
    <row r="266" spans="2:6">
      <c r="B266" s="219" t="str">
        <f>'4C'!AL43</f>
        <v>B0162RVWWNP</v>
      </c>
      <c r="C266" s="219" t="s">
        <v>2294</v>
      </c>
      <c r="E266" s="249" t="s">
        <v>634</v>
      </c>
      <c r="F266" s="256">
        <f>IF(ISBLANK('4C'!G43),"##BLANK",'4C'!G43)</f>
        <v>0.6306472841100027</v>
      </c>
    </row>
    <row r="267" spans="2:6">
      <c r="B267" s="219" t="str">
        <f>'4C'!AM43</f>
        <v>B0162RVBIO</v>
      </c>
      <c r="C267" s="219" t="s">
        <v>2295</v>
      </c>
      <c r="E267" s="249" t="s">
        <v>634</v>
      </c>
      <c r="F267" s="256">
        <f>IF(ISBLANK('4C'!H43),"##BLANK",'4C'!H43)</f>
        <v>1.4808300000000014E-2</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-7.4577792007199966</v>
      </c>
    </row>
    <row r="270" spans="2:6">
      <c r="B270" s="219" t="str">
        <f>'4C'!AP43</f>
        <v>B0162RVCWNP</v>
      </c>
      <c r="C270" s="219" t="s">
        <v>2298</v>
      </c>
      <c r="E270" s="249" t="s">
        <v>634</v>
      </c>
      <c r="F270" s="256">
        <f>IF(ISBLANK('4C'!K43),"##BLANK",'4C'!K43)</f>
        <v>12.286727295780027</v>
      </c>
    </row>
    <row r="271" spans="2:6">
      <c r="B271" s="219" t="str">
        <f>'4C'!AQ43</f>
        <v>B0162RVCWWNP</v>
      </c>
      <c r="C271" s="219" t="s">
        <v>2299</v>
      </c>
      <c r="E271" s="249" t="s">
        <v>634</v>
      </c>
      <c r="F271" s="256">
        <f>IF(ISBLANK('4C'!L43),"##BLANK",'4C'!L43)</f>
        <v>1.5432979596000114</v>
      </c>
    </row>
    <row r="272" spans="2:6">
      <c r="B272" s="219" t="str">
        <f>'4C'!AR43</f>
        <v>B0162RVCBIO</v>
      </c>
      <c r="C272" s="219" t="s">
        <v>2300</v>
      </c>
      <c r="E272" s="249" t="s">
        <v>634</v>
      </c>
      <c r="F272" s="256">
        <f>IF(ISBLANK('4C'!M43),"##BLANK",'4C'!M43)</f>
        <v>5.736037499999995E-2</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322.33999999999997</v>
      </c>
    </row>
    <row r="280" spans="2:6">
      <c r="B280" s="219" t="str">
        <f>'4C'!AP46</f>
        <v>B0164RCCWNP</v>
      </c>
      <c r="C280" s="219" t="s">
        <v>2308</v>
      </c>
      <c r="E280" s="249" t="s">
        <v>634</v>
      </c>
      <c r="F280" s="256">
        <f>IF(ISBLANK('4C'!K46),"##BLANK",'4C'!K46)</f>
        <v>2146.268</v>
      </c>
    </row>
    <row r="281" spans="2:6">
      <c r="B281" s="219" t="str">
        <f>'4C'!AQ46</f>
        <v>B0164RCCWWNP</v>
      </c>
      <c r="C281" s="219" t="s">
        <v>2309</v>
      </c>
      <c r="E281" s="249" t="s">
        <v>634</v>
      </c>
      <c r="F281" s="256">
        <f>IF(ISBLANK('4C'!L46),"##BLANK",'4C'!L46)</f>
        <v>4435.5600000000004</v>
      </c>
    </row>
    <row r="282" spans="2:6">
      <c r="B282" s="219" t="str">
        <f>'4C'!AR46</f>
        <v>B0164RCCBIO</v>
      </c>
      <c r="C282" s="219" t="s">
        <v>2310</v>
      </c>
      <c r="E282" s="249" t="s">
        <v>634</v>
      </c>
      <c r="F282" s="256">
        <f>IF(ISBLANK('4C'!M46),"##BLANK",'4C'!M46)</f>
        <v>256.43799999999999</v>
      </c>
    </row>
    <row r="283" spans="2:6">
      <c r="B283" s="219" t="str">
        <f>'4C'!AS46</f>
        <v>RCT00586TTT</v>
      </c>
      <c r="C283" s="219" t="s">
        <v>2311</v>
      </c>
      <c r="E283" s="249" t="s">
        <v>634</v>
      </c>
      <c r="F283" s="256">
        <f>IF(ISBLANK('4C'!N46),"##BLANK",'4C'!N46)</f>
        <v>0</v>
      </c>
    </row>
    <row r="284" spans="2:6">
      <c r="B284" s="219" t="str">
        <f>'4C'!AO47</f>
        <v>B0165SRVWR</v>
      </c>
      <c r="C284" s="219" t="s">
        <v>2312</v>
      </c>
      <c r="E284" s="249" t="s">
        <v>634</v>
      </c>
      <c r="F284" s="256">
        <f>IF(ISBLANK('4C'!J47),"##BLANK",'4C'!J47)</f>
        <v>314.88222079927999</v>
      </c>
    </row>
    <row r="285" spans="2:6">
      <c r="B285" s="219" t="str">
        <f>'4C'!AP47</f>
        <v>B0165SRCWNP</v>
      </c>
      <c r="C285" s="219" t="s">
        <v>2313</v>
      </c>
      <c r="E285" s="249" t="s">
        <v>634</v>
      </c>
      <c r="F285" s="256">
        <f>IF(ISBLANK('4C'!K47),"##BLANK",'4C'!K47)</f>
        <v>2158.5547272957801</v>
      </c>
    </row>
    <row r="286" spans="2:6">
      <c r="B286" s="219" t="str">
        <f>'4C'!AQ47</f>
        <v>B0165SRCWWNP</v>
      </c>
      <c r="C286" s="219" t="s">
        <v>2314</v>
      </c>
      <c r="E286" s="249" t="s">
        <v>634</v>
      </c>
      <c r="F286" s="256">
        <f>IF(ISBLANK('4C'!L47),"##BLANK",'4C'!L47)</f>
        <v>4437.1032979596002</v>
      </c>
    </row>
    <row r="287" spans="2:6">
      <c r="B287" s="219" t="str">
        <f>'4C'!AR47</f>
        <v>B0165SRCBIO</v>
      </c>
      <c r="C287" s="219" t="s">
        <v>2315</v>
      </c>
      <c r="E287" s="249" t="s">
        <v>634</v>
      </c>
      <c r="F287" s="256">
        <f>IF(ISBLANK('4C'!M47),"##BLANK",'4C'!M47)</f>
        <v>256.49536037499996</v>
      </c>
    </row>
    <row r="288" spans="2:6">
      <c r="B288" s="219" t="str">
        <f>'4C'!AS47</f>
        <v>RCT00589TTT</v>
      </c>
      <c r="C288" s="219" t="s">
        <v>2316</v>
      </c>
      <c r="E288" s="249" t="s">
        <v>634</v>
      </c>
      <c r="F288" s="256">
        <f>IF(ISBLANK('4C'!N47),"##BLANK",'4C'!N47)</f>
        <v>0</v>
      </c>
    </row>
    <row r="289" spans="2:6">
      <c r="B289" s="219" t="str">
        <f>'4D'!AF9</f>
        <v>B0203TAS</v>
      </c>
      <c r="C289" s="219" t="s">
        <v>2317</v>
      </c>
      <c r="E289" s="249" t="s">
        <v>634</v>
      </c>
      <c r="F289" s="256">
        <f>IF(ISBLANK('4D'!J9),"##BLANK",'4D'!J9)</f>
        <v>224.05699999999999</v>
      </c>
    </row>
    <row r="290" spans="2:6">
      <c r="B290" s="219" t="str">
        <f>'4D'!AF10</f>
        <v>B0204TAS</v>
      </c>
      <c r="C290" s="219" t="s">
        <v>2318</v>
      </c>
      <c r="E290" s="249" t="s">
        <v>634</v>
      </c>
      <c r="F290" s="256">
        <f>IF(ISBLANK('4D'!J10),"##BLANK",'4D'!J10)</f>
        <v>0.16799999999999998</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25.757000000000001</v>
      </c>
    </row>
    <row r="296" spans="2:6">
      <c r="B296" s="219" t="str">
        <f>'4D'!AF11</f>
        <v>BM320TTAS_DS</v>
      </c>
      <c r="C296" s="219" t="s">
        <v>2324</v>
      </c>
      <c r="E296" s="249" t="s">
        <v>634</v>
      </c>
      <c r="F296" s="256">
        <f>IF(ISBLANK('4D'!J11),"##BLANK",'4D'!J11)</f>
        <v>25.757000000000001</v>
      </c>
    </row>
    <row r="297" spans="2:6">
      <c r="B297" s="219" t="str">
        <f>'4D'!AA12</f>
        <v>BM319WR_4D</v>
      </c>
      <c r="C297" s="219" t="s">
        <v>2325</v>
      </c>
      <c r="E297" s="249" t="s">
        <v>634</v>
      </c>
      <c r="F297" s="256">
        <f>IF(ISBLANK('4D'!E12),"##BLANK",'4D'!E12)</f>
        <v>30.992999999999999</v>
      </c>
    </row>
    <row r="298" spans="2:6">
      <c r="B298" s="219" t="str">
        <f>'4D'!AB12</f>
        <v>BM319RWT</v>
      </c>
      <c r="C298" s="219" t="s">
        <v>2326</v>
      </c>
      <c r="E298" s="249" t="s">
        <v>634</v>
      </c>
      <c r="F298" s="256">
        <f>IF(ISBLANK('4D'!F12),"##BLANK",'4D'!F12)</f>
        <v>4.6289999999999996</v>
      </c>
    </row>
    <row r="299" spans="2:6">
      <c r="B299" s="219" t="str">
        <f>'4D'!AC12</f>
        <v>BM319RWS</v>
      </c>
      <c r="C299" s="219" t="s">
        <v>2327</v>
      </c>
      <c r="E299" s="249" t="s">
        <v>634</v>
      </c>
      <c r="F299" s="256">
        <f>IF(ISBLANK('4D'!G12),"##BLANK",'4D'!G12)</f>
        <v>1.1930000000000001</v>
      </c>
    </row>
    <row r="300" spans="2:6">
      <c r="B300" s="219" t="str">
        <f>'4D'!AD12</f>
        <v>BM319WT</v>
      </c>
      <c r="C300" s="219" t="s">
        <v>2328</v>
      </c>
      <c r="E300" s="249" t="s">
        <v>634</v>
      </c>
      <c r="F300" s="256">
        <f>IF(ISBLANK('4D'!H12),"##BLANK",'4D'!H12)</f>
        <v>54.597999999999999</v>
      </c>
    </row>
    <row r="301" spans="2:6">
      <c r="B301" s="219" t="str">
        <f>'4D'!AE12</f>
        <v>BM319TWD</v>
      </c>
      <c r="C301" s="219" t="s">
        <v>2329</v>
      </c>
      <c r="E301" s="249" t="s">
        <v>634</v>
      </c>
      <c r="F301" s="256">
        <f>IF(ISBLANK('4D'!I12),"##BLANK",'4D'!I12)</f>
        <v>158.56899999999999</v>
      </c>
    </row>
    <row r="302" spans="2:6">
      <c r="B302" s="219" t="str">
        <f>'4D'!AF12</f>
        <v>BM319TAS</v>
      </c>
      <c r="C302" s="219" t="s">
        <v>2330</v>
      </c>
      <c r="E302" s="249" t="s">
        <v>634</v>
      </c>
      <c r="F302" s="256">
        <f>IF(ISBLANK('4D'!J12),"##BLANK",'4D'!J12)</f>
        <v>249.98199999999997</v>
      </c>
    </row>
    <row r="303" spans="2:6">
      <c r="B303" s="219" t="str">
        <f>'4D'!AA13</f>
        <v>BM323WR</v>
      </c>
      <c r="C303" s="219" t="s">
        <v>2331</v>
      </c>
      <c r="E303" s="249" t="s">
        <v>634</v>
      </c>
      <c r="F303" s="256">
        <f>IF(ISBLANK('4D'!E13),"##BLANK",'4D'!E13)</f>
        <v>3.7189999999999999</v>
      </c>
    </row>
    <row r="304" spans="2:6">
      <c r="B304" s="219" t="str">
        <f>'4D'!AB13</f>
        <v>BM323RWT</v>
      </c>
      <c r="C304" s="219" t="s">
        <v>2332</v>
      </c>
      <c r="E304" s="249" t="s">
        <v>634</v>
      </c>
      <c r="F304" s="256">
        <f>IF(ISBLANK('4D'!F13),"##BLANK",'4D'!F13)</f>
        <v>1.373</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0.221</v>
      </c>
    </row>
    <row r="307" spans="2:6">
      <c r="B307" s="219" t="str">
        <f>'4D'!AE13</f>
        <v>BM323TWD</v>
      </c>
      <c r="C307" s="219" t="s">
        <v>2335</v>
      </c>
      <c r="E307" s="249" t="s">
        <v>634</v>
      </c>
      <c r="F307" s="256">
        <f>IF(ISBLANK('4D'!I13),"##BLANK",'4D'!I13)</f>
        <v>1.534</v>
      </c>
    </row>
    <row r="308" spans="2:6">
      <c r="B308" s="219" t="str">
        <f>'4D'!AF13</f>
        <v>BM323TAS</v>
      </c>
      <c r="C308" s="219" t="s">
        <v>2336</v>
      </c>
      <c r="E308" s="249" t="s">
        <v>634</v>
      </c>
      <c r="F308" s="256">
        <f>IF(ISBLANK('4D'!J13),"##BLANK",'4D'!J13)</f>
        <v>6.8469999999999995</v>
      </c>
    </row>
    <row r="309" spans="2:6">
      <c r="B309" s="219" t="str">
        <f>'4D'!AA14</f>
        <v>BM351WRT</v>
      </c>
      <c r="C309" s="219" t="s">
        <v>2337</v>
      </c>
      <c r="E309" s="249" t="s">
        <v>634</v>
      </c>
      <c r="F309" s="256">
        <f>IF(ISBLANK('4D'!E14),"##BLANK",'4D'!E14)</f>
        <v>34.711999999999996</v>
      </c>
    </row>
    <row r="310" spans="2:6">
      <c r="B310" s="219" t="str">
        <f>'4D'!AB14</f>
        <v>BM351RWT</v>
      </c>
      <c r="C310" s="219" t="s">
        <v>2338</v>
      </c>
      <c r="E310" s="249" t="s">
        <v>634</v>
      </c>
      <c r="F310" s="256">
        <f>IF(ISBLANK('4D'!F14),"##BLANK",'4D'!F14)</f>
        <v>6.0019999999999998</v>
      </c>
    </row>
    <row r="311" spans="2:6">
      <c r="B311" s="219" t="str">
        <f>'4D'!AC14</f>
        <v>BM351RWS</v>
      </c>
      <c r="C311" s="219" t="s">
        <v>2339</v>
      </c>
      <c r="E311" s="249" t="s">
        <v>634</v>
      </c>
      <c r="F311" s="256">
        <f>IF(ISBLANK('4D'!G14),"##BLANK",'4D'!G14)</f>
        <v>1.1930000000000001</v>
      </c>
    </row>
    <row r="312" spans="2:6">
      <c r="B312" s="219" t="str">
        <f>'4D'!AD14</f>
        <v>BM351WT</v>
      </c>
      <c r="C312" s="219" t="s">
        <v>2340</v>
      </c>
      <c r="E312" s="249" t="s">
        <v>634</v>
      </c>
      <c r="F312" s="256">
        <f>IF(ISBLANK('4D'!H14),"##BLANK",'4D'!H14)</f>
        <v>54.818999999999996</v>
      </c>
    </row>
    <row r="313" spans="2:6">
      <c r="B313" s="219" t="str">
        <f>'4D'!AE14</f>
        <v>BM351TWD</v>
      </c>
      <c r="C313" s="219" t="s">
        <v>2341</v>
      </c>
      <c r="E313" s="249" t="s">
        <v>634</v>
      </c>
      <c r="F313" s="256">
        <f>IF(ISBLANK('4D'!I14),"##BLANK",'4D'!I14)</f>
        <v>160.10299999999998</v>
      </c>
    </row>
    <row r="314" spans="2:6">
      <c r="B314" s="219" t="str">
        <f>'4D'!AF14</f>
        <v>BM351TAS</v>
      </c>
      <c r="C314" s="219" t="s">
        <v>2342</v>
      </c>
      <c r="E314" s="249" t="s">
        <v>634</v>
      </c>
      <c r="F314" s="256">
        <f>IF(ISBLANK('4D'!J14),"##BLANK",'4D'!J14)</f>
        <v>256.82899999999995</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16.260000000000002</v>
      </c>
    </row>
    <row r="320" spans="2:6">
      <c r="B320" s="219" t="str">
        <f>'4D'!AF17</f>
        <v>B0206TAS</v>
      </c>
      <c r="C320" s="219" t="s">
        <v>2348</v>
      </c>
      <c r="E320" s="249" t="s">
        <v>634</v>
      </c>
      <c r="F320" s="256">
        <f>IF(ISBLANK('4D'!J17),"##BLANK",'4D'!J17)</f>
        <v>16.260000000000002</v>
      </c>
    </row>
    <row r="321" spans="2:6">
      <c r="B321" s="219" t="str">
        <f>'4D'!AF20</f>
        <v>B0207TAS</v>
      </c>
      <c r="C321" s="219" t="s">
        <v>2349</v>
      </c>
      <c r="E321" s="249" t="s">
        <v>634</v>
      </c>
      <c r="F321" s="256">
        <f>IF(ISBLANK('4D'!J20),"##BLANK",'4D'!J20)</f>
        <v>104.821</v>
      </c>
    </row>
    <row r="322" spans="2:6">
      <c r="B322" s="219" t="str">
        <f>'4D'!AF21</f>
        <v>B0208TAS</v>
      </c>
      <c r="C322" s="219" t="s">
        <v>2350</v>
      </c>
      <c r="E322" s="249" t="s">
        <v>634</v>
      </c>
      <c r="F322" s="256">
        <f>IF(ISBLANK('4D'!J21),"##BLANK",'4D'!J21)</f>
        <v>60.809999999999995</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11.419</v>
      </c>
    </row>
    <row r="328" spans="2:6">
      <c r="B328" s="219" t="str">
        <f>'4D'!AF22</f>
        <v>B0291TAS</v>
      </c>
      <c r="C328" s="219" t="s">
        <v>2356</v>
      </c>
      <c r="E328" s="249" t="s">
        <v>634</v>
      </c>
      <c r="F328" s="256">
        <f>IF(ISBLANK('4D'!J22),"##BLANK",'4D'!J22)</f>
        <v>11.419</v>
      </c>
    </row>
    <row r="329" spans="2:6">
      <c r="B329" s="219" t="str">
        <f>'4D'!AA23</f>
        <v>BC30498WR_4D</v>
      </c>
      <c r="C329" s="219" t="s">
        <v>2357</v>
      </c>
      <c r="E329" s="249" t="s">
        <v>634</v>
      </c>
      <c r="F329" s="256">
        <f>IF(ISBLANK('4D'!E23),"##BLANK",'4D'!E23)</f>
        <v>43.065999999999995</v>
      </c>
    </row>
    <row r="330" spans="2:6">
      <c r="B330" s="219" t="str">
        <f>'4D'!AB23</f>
        <v>BC30498RWT</v>
      </c>
      <c r="C330" s="219" t="s">
        <v>2358</v>
      </c>
      <c r="E330" s="249" t="s">
        <v>634</v>
      </c>
      <c r="F330" s="256">
        <f>IF(ISBLANK('4D'!F23),"##BLANK",'4D'!F23)</f>
        <v>5.234</v>
      </c>
    </row>
    <row r="331" spans="2:6">
      <c r="B331" s="219" t="str">
        <f>'4D'!AC23</f>
        <v>BC30498RWS</v>
      </c>
      <c r="C331" s="219" t="s">
        <v>2359</v>
      </c>
      <c r="E331" s="249" t="s">
        <v>634</v>
      </c>
      <c r="F331" s="256">
        <f>IF(ISBLANK('4D'!G23),"##BLANK",'4D'!G23)</f>
        <v>6.0000000000000005E-2</v>
      </c>
    </row>
    <row r="332" spans="2:6">
      <c r="B332" s="219" t="str">
        <f>'4D'!AD23</f>
        <v>BC30498WT</v>
      </c>
      <c r="C332" s="219" t="s">
        <v>2360</v>
      </c>
      <c r="E332" s="249" t="s">
        <v>634</v>
      </c>
      <c r="F332" s="256">
        <f>IF(ISBLANK('4D'!H23),"##BLANK",'4D'!H23)</f>
        <v>40.44</v>
      </c>
    </row>
    <row r="333" spans="2:6">
      <c r="B333" s="219" t="str">
        <f>'4D'!AE23</f>
        <v>BC30498TWD</v>
      </c>
      <c r="C333" s="219" t="s">
        <v>2361</v>
      </c>
      <c r="E333" s="249" t="s">
        <v>634</v>
      </c>
      <c r="F333" s="256">
        <f>IF(ISBLANK('4D'!I23),"##BLANK",'4D'!I23)</f>
        <v>88.249999999999986</v>
      </c>
    </row>
    <row r="334" spans="2:6">
      <c r="B334" s="219" t="str">
        <f>'4D'!AF23</f>
        <v>BC30498TAS</v>
      </c>
      <c r="C334" s="219" t="s">
        <v>2362</v>
      </c>
      <c r="E334" s="249" t="s">
        <v>634</v>
      </c>
      <c r="F334" s="256">
        <f>IF(ISBLANK('4D'!J23),"##BLANK",'4D'!J23)</f>
        <v>177.04999999999998</v>
      </c>
    </row>
    <row r="335" spans="2:6">
      <c r="B335" s="219" t="str">
        <f>'4D'!AA24</f>
        <v>BM333WR</v>
      </c>
      <c r="C335" s="219" t="s">
        <v>2331</v>
      </c>
      <c r="E335" s="249" t="s">
        <v>634</v>
      </c>
      <c r="F335" s="256">
        <f>IF(ISBLANK('4D'!E24),"##BLANK",'4D'!E24)</f>
        <v>3.9180000000000001</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5.3999999999999999E-2</v>
      </c>
    </row>
    <row r="339" spans="2:6">
      <c r="B339" s="219" t="str">
        <f>'4D'!AE24</f>
        <v>BM333TWD</v>
      </c>
      <c r="C339" s="219" t="s">
        <v>2364</v>
      </c>
      <c r="E339" s="249" t="s">
        <v>634</v>
      </c>
      <c r="F339" s="256">
        <f>IF(ISBLANK('4D'!I24),"##BLANK",'4D'!I24)</f>
        <v>2E-3</v>
      </c>
    </row>
    <row r="340" spans="2:6">
      <c r="B340" s="219" t="str">
        <f>'4D'!AF24</f>
        <v>BM333TAS</v>
      </c>
      <c r="C340" s="219" t="s">
        <v>2365</v>
      </c>
      <c r="E340" s="249" t="s">
        <v>634</v>
      </c>
      <c r="F340" s="256">
        <f>IF(ISBLANK('4D'!J24),"##BLANK",'4D'!J24)</f>
        <v>3.9739999999999998</v>
      </c>
    </row>
    <row r="341" spans="2:6">
      <c r="B341" s="219" t="str">
        <f>'4D'!AA25</f>
        <v>BA1070WR_4D</v>
      </c>
      <c r="C341" s="219" t="s">
        <v>2366</v>
      </c>
      <c r="E341" s="249" t="s">
        <v>634</v>
      </c>
      <c r="F341" s="256">
        <f>IF(ISBLANK('4D'!E25),"##BLANK",'4D'!E25)</f>
        <v>46.983999999999995</v>
      </c>
    </row>
    <row r="342" spans="2:6">
      <c r="B342" s="219" t="str">
        <f>'4D'!AB25</f>
        <v>BA1070RWT</v>
      </c>
      <c r="C342" s="219" t="s">
        <v>2367</v>
      </c>
      <c r="E342" s="249" t="s">
        <v>634</v>
      </c>
      <c r="F342" s="256">
        <f>IF(ISBLANK('4D'!F25),"##BLANK",'4D'!F25)</f>
        <v>5.234</v>
      </c>
    </row>
    <row r="343" spans="2:6">
      <c r="B343" s="219" t="str">
        <f>'4D'!AC25</f>
        <v>BA1070RWS</v>
      </c>
      <c r="C343" s="219" t="s">
        <v>2368</v>
      </c>
      <c r="E343" s="249" t="s">
        <v>634</v>
      </c>
      <c r="F343" s="256">
        <f>IF(ISBLANK('4D'!G25),"##BLANK",'4D'!G25)</f>
        <v>6.0000000000000005E-2</v>
      </c>
    </row>
    <row r="344" spans="2:6">
      <c r="B344" s="219" t="str">
        <f>'4D'!AD25</f>
        <v>BA1070WT</v>
      </c>
      <c r="C344" s="219" t="s">
        <v>2369</v>
      </c>
      <c r="E344" s="249" t="s">
        <v>634</v>
      </c>
      <c r="F344" s="256">
        <f>IF(ISBLANK('4D'!H25),"##BLANK",'4D'!H25)</f>
        <v>40.494</v>
      </c>
    </row>
    <row r="345" spans="2:6">
      <c r="B345" s="219" t="str">
        <f>'4D'!AE25</f>
        <v>BA1070TWD</v>
      </c>
      <c r="C345" s="219" t="s">
        <v>2370</v>
      </c>
      <c r="E345" s="249" t="s">
        <v>634</v>
      </c>
      <c r="F345" s="256">
        <f>IF(ISBLANK('4D'!I25),"##BLANK",'4D'!I25)</f>
        <v>88.251999999999981</v>
      </c>
    </row>
    <row r="346" spans="2:6">
      <c r="B346" s="219" t="str">
        <f>'4D'!AF25</f>
        <v>BA1070TAS</v>
      </c>
      <c r="C346" s="219" t="s">
        <v>2371</v>
      </c>
      <c r="E346" s="249" t="s">
        <v>634</v>
      </c>
      <c r="F346" s="256">
        <f>IF(ISBLANK('4D'!J25),"##BLANK",'4D'!J25)</f>
        <v>181.02399999999997</v>
      </c>
    </row>
    <row r="347" spans="2:6">
      <c r="B347" s="219" t="str">
        <f>'4D'!AA28</f>
        <v>B0500WR</v>
      </c>
      <c r="C347" s="219" t="s">
        <v>2372</v>
      </c>
      <c r="E347" s="249" t="s">
        <v>634</v>
      </c>
      <c r="F347" s="256">
        <f>IF(ISBLANK('4D'!E28),"##BLANK",'4D'!E28)</f>
        <v>2.0609999999999999</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0.40500000000000003</v>
      </c>
    </row>
    <row r="351" spans="2:6">
      <c r="B351" s="219" t="str">
        <f>'4D'!AE28</f>
        <v>B0500TWD</v>
      </c>
      <c r="C351" s="219" t="s">
        <v>2376</v>
      </c>
      <c r="E351" s="249" t="s">
        <v>634</v>
      </c>
      <c r="F351" s="256">
        <f>IF(ISBLANK('4D'!I28),"##BLANK",'4D'!I28)</f>
        <v>4.6959999999999997</v>
      </c>
    </row>
    <row r="352" spans="2:6">
      <c r="B352" s="219" t="str">
        <f>'4D'!AF28</f>
        <v>B0500TAS</v>
      </c>
      <c r="C352" s="219" t="s">
        <v>2377</v>
      </c>
      <c r="E352" s="249" t="s">
        <v>634</v>
      </c>
      <c r="F352" s="256">
        <f>IF(ISBLANK('4D'!J28),"##BLANK",'4D'!J28)</f>
        <v>7.1619999999999999</v>
      </c>
    </row>
    <row r="353" spans="2:6">
      <c r="B353" s="219" t="str">
        <f>'4D'!AA30</f>
        <v>BM325WRT</v>
      </c>
      <c r="C353" s="219" t="s">
        <v>2378</v>
      </c>
      <c r="E353" s="249" t="s">
        <v>634</v>
      </c>
      <c r="F353" s="256">
        <f>IF(ISBLANK('4D'!E30),"##BLANK",'4D'!E30)</f>
        <v>79.634999999999991</v>
      </c>
    </row>
    <row r="354" spans="2:6">
      <c r="B354" s="219" t="str">
        <f>'4D'!AB30</f>
        <v>BM325RWT</v>
      </c>
      <c r="C354" s="219" t="s">
        <v>2379</v>
      </c>
      <c r="E354" s="249" t="s">
        <v>634</v>
      </c>
      <c r="F354" s="256">
        <f>IF(ISBLANK('4D'!F30),"##BLANK",'4D'!F30)</f>
        <v>11.236000000000001</v>
      </c>
    </row>
    <row r="355" spans="2:6">
      <c r="B355" s="219" t="str">
        <f>'4D'!AC30</f>
        <v>BM325RWS</v>
      </c>
      <c r="C355" s="219" t="s">
        <v>2380</v>
      </c>
      <c r="E355" s="249" t="s">
        <v>634</v>
      </c>
      <c r="F355" s="256">
        <f>IF(ISBLANK('4D'!G30),"##BLANK",'4D'!G30)</f>
        <v>1.2530000000000001</v>
      </c>
    </row>
    <row r="356" spans="2:6">
      <c r="B356" s="219" t="str">
        <f>'4D'!AD30</f>
        <v>BM325WT</v>
      </c>
      <c r="C356" s="219" t="s">
        <v>2381</v>
      </c>
      <c r="E356" s="249" t="s">
        <v>634</v>
      </c>
      <c r="F356" s="256">
        <f>IF(ISBLANK('4D'!H30),"##BLANK",'4D'!H30)</f>
        <v>94.907999999999987</v>
      </c>
    </row>
    <row r="357" spans="2:6">
      <c r="B357" s="219" t="str">
        <f>'4D'!AE30</f>
        <v>BM325TWD</v>
      </c>
      <c r="C357" s="219" t="s">
        <v>2382</v>
      </c>
      <c r="E357" s="249" t="s">
        <v>634</v>
      </c>
      <c r="F357" s="256">
        <f>IF(ISBLANK('4D'!I30),"##BLANK",'4D'!I30)</f>
        <v>227.39899999999997</v>
      </c>
    </row>
    <row r="358" spans="2:6">
      <c r="B358" s="219" t="str">
        <f>'4D'!AF30</f>
        <v>BM325TAS</v>
      </c>
      <c r="C358" s="219" t="s">
        <v>2383</v>
      </c>
      <c r="E358" s="249" t="s">
        <v>634</v>
      </c>
      <c r="F358" s="256">
        <f>IF(ISBLANK('4D'!J30),"##BLANK",'4D'!J30)</f>
        <v>414.43099999999993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79.634999999999991</v>
      </c>
    </row>
    <row r="372" spans="2:6">
      <c r="B372" s="219" t="str">
        <f>'4D'!AB35</f>
        <v>W3026RWT</v>
      </c>
      <c r="C372" s="219" t="s">
        <v>2397</v>
      </c>
      <c r="E372" s="249" t="s">
        <v>634</v>
      </c>
      <c r="F372" s="256">
        <f>IF(ISBLANK('4D'!F35),"##BLANK",'4D'!F35)</f>
        <v>11.236000000000001</v>
      </c>
    </row>
    <row r="373" spans="2:6">
      <c r="B373" s="219" t="str">
        <f>'4D'!AC35</f>
        <v>W3026RWS</v>
      </c>
      <c r="C373" s="219" t="s">
        <v>2398</v>
      </c>
      <c r="E373" s="249" t="s">
        <v>634</v>
      </c>
      <c r="F373" s="255">
        <f>IF(ISBLANK('4D'!G35),"##BLANK",'4D'!G35)</f>
        <v>1.2530000000000001</v>
      </c>
    </row>
    <row r="374" spans="2:6">
      <c r="B374" s="219" t="str">
        <f>'4D'!AD35</f>
        <v>W3026WT</v>
      </c>
      <c r="C374" s="219" t="s">
        <v>2399</v>
      </c>
      <c r="E374" s="249" t="s">
        <v>634</v>
      </c>
      <c r="F374" s="255">
        <f>IF(ISBLANK('4D'!H35),"##BLANK",'4D'!H35)</f>
        <v>94.907999999999987</v>
      </c>
    </row>
    <row r="375" spans="2:6">
      <c r="B375" s="219" t="str">
        <f>'4D'!AE35</f>
        <v>W3026TWD</v>
      </c>
      <c r="C375" s="219" t="s">
        <v>2400</v>
      </c>
      <c r="E375" s="249" t="s">
        <v>634</v>
      </c>
      <c r="F375" s="255">
        <f>IF(ISBLANK('4D'!I35),"##BLANK",'4D'!I35)</f>
        <v>227.39899999999997</v>
      </c>
    </row>
    <row r="376" spans="2:6">
      <c r="B376" s="219" t="str">
        <f>'4D'!AF35</f>
        <v>W3026TOT</v>
      </c>
      <c r="C376" s="219" t="s">
        <v>2401</v>
      </c>
      <c r="E376" s="249" t="s">
        <v>634</v>
      </c>
      <c r="F376" s="255">
        <f>IF(ISBLANK('4D'!J35),"##BLANK",'4D'!J35)</f>
        <v>414.43099999999993</v>
      </c>
    </row>
    <row r="377" spans="2:6">
      <c r="B377" s="219" t="str">
        <f>'4D'!AA41</f>
        <v>BP3357001WR</v>
      </c>
      <c r="C377" s="219" t="s">
        <v>1138</v>
      </c>
      <c r="E377" s="249" t="s">
        <v>634</v>
      </c>
      <c r="F377" s="255">
        <f>IF(ISBLANK('4D'!E41),"##BLANK",'4D'!E41)</f>
        <v>3.7229999999999999</v>
      </c>
    </row>
    <row r="378" spans="2:6">
      <c r="B378" s="219" t="str">
        <f>'4D'!AB41</f>
        <v>BP3357001RWT</v>
      </c>
      <c r="C378" s="219" t="s">
        <v>2402</v>
      </c>
      <c r="E378" s="249" t="s">
        <v>634</v>
      </c>
      <c r="F378" s="255">
        <f>IF(ISBLANK('4D'!F41),"##BLANK",'4D'!F41)</f>
        <v>0.31</v>
      </c>
    </row>
    <row r="379" spans="2:6">
      <c r="B379" s="219" t="str">
        <f>'4D'!AC41</f>
        <v>BP3357001RWS</v>
      </c>
      <c r="C379" s="219" t="s">
        <v>2403</v>
      </c>
      <c r="E379" s="249" t="s">
        <v>634</v>
      </c>
      <c r="F379" s="255">
        <f>IF(ISBLANK('4D'!G41),"##BLANK",'4D'!G41)</f>
        <v>0.11700000000000001</v>
      </c>
    </row>
    <row r="380" spans="2:6">
      <c r="B380" s="219" t="str">
        <f>'4D'!AD41</f>
        <v>BP3357001WT</v>
      </c>
      <c r="C380" s="219" t="s">
        <v>2404</v>
      </c>
      <c r="E380" s="249" t="s">
        <v>634</v>
      </c>
      <c r="F380" s="255">
        <f>IF(ISBLANK('4D'!H41),"##BLANK",'4D'!H41)</f>
        <v>5.2830000000000004</v>
      </c>
    </row>
    <row r="381" spans="2:6">
      <c r="B381" s="219" t="str">
        <f>'4D'!AE41</f>
        <v>BP3357001TWD</v>
      </c>
      <c r="C381" s="219" t="s">
        <v>2405</v>
      </c>
      <c r="E381" s="249" t="s">
        <v>634</v>
      </c>
      <c r="F381" s="255">
        <f>IF(ISBLANK('4D'!I41),"##BLANK",'4D'!I41)</f>
        <v>9.5210000000000008</v>
      </c>
    </row>
    <row r="382" spans="2:6">
      <c r="B382" s="219" t="str">
        <f>'4D'!AF41</f>
        <v>BP3357001CAW</v>
      </c>
      <c r="C382" s="219" t="s">
        <v>2406</v>
      </c>
      <c r="E382" s="249" t="s">
        <v>634</v>
      </c>
      <c r="F382" s="255">
        <f>IF(ISBLANK('4D'!J41),"##BLANK",'4D'!J41)</f>
        <v>18.954000000000001</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2.62</v>
      </c>
    </row>
    <row r="388" spans="2:6">
      <c r="B388" s="219" t="str">
        <f>'4D'!AF42</f>
        <v>BP3357002CAW</v>
      </c>
      <c r="C388" s="219" t="s">
        <v>2411</v>
      </c>
      <c r="E388" s="249" t="s">
        <v>634</v>
      </c>
      <c r="F388" s="255">
        <f>IF(ISBLANK('4D'!J42),"##BLANK",'4D'!J42)</f>
        <v>2.62</v>
      </c>
    </row>
    <row r="389" spans="2:6">
      <c r="B389" s="219" t="str">
        <f>'4D'!AA43</f>
        <v>BP3357003WR</v>
      </c>
      <c r="C389" s="219" t="s">
        <v>1138</v>
      </c>
      <c r="E389" s="249" t="s">
        <v>634</v>
      </c>
      <c r="F389" s="255">
        <f>IF(ISBLANK('4D'!E43),"##BLANK",'4D'!E43)</f>
        <v>0.28599999999999998</v>
      </c>
    </row>
    <row r="390" spans="2:6">
      <c r="B390" s="219" t="str">
        <f>'4D'!AB43</f>
        <v>BP3357003RWT</v>
      </c>
      <c r="C390" s="219" t="s">
        <v>2412</v>
      </c>
      <c r="E390" s="249" t="s">
        <v>634</v>
      </c>
      <c r="F390" s="255">
        <f>IF(ISBLANK('4D'!F43),"##BLANK",'4D'!F43)</f>
        <v>5.8000000000000003E-2</v>
      </c>
    </row>
    <row r="391" spans="2:6">
      <c r="B391" s="219" t="str">
        <f>'4D'!AC43</f>
        <v>BP3357003RWS</v>
      </c>
      <c r="C391" s="219" t="s">
        <v>2413</v>
      </c>
      <c r="E391" s="249" t="s">
        <v>634</v>
      </c>
      <c r="F391" s="255">
        <f>IF(ISBLANK('4D'!G43),"##BLANK",'4D'!G43)</f>
        <v>2.1999999999999999E-2</v>
      </c>
    </row>
    <row r="392" spans="2:6">
      <c r="B392" s="219" t="str">
        <f>'4D'!AD43</f>
        <v>BP3357003WT</v>
      </c>
      <c r="C392" s="219" t="s">
        <v>2414</v>
      </c>
      <c r="E392" s="249" t="s">
        <v>634</v>
      </c>
      <c r="F392" s="255">
        <f>IF(ISBLANK('4D'!H43),"##BLANK",'4D'!H43)</f>
        <v>0.94</v>
      </c>
    </row>
    <row r="393" spans="2:6">
      <c r="B393" s="219" t="str">
        <f>'4D'!AE43</f>
        <v>BP3357003TWD</v>
      </c>
      <c r="C393" s="219" t="s">
        <v>2415</v>
      </c>
      <c r="E393" s="249" t="s">
        <v>634</v>
      </c>
      <c r="F393" s="255">
        <f>IF(ISBLANK('4D'!I43),"##BLANK",'4D'!I43)</f>
        <v>1.679</v>
      </c>
    </row>
    <row r="394" spans="2:6">
      <c r="B394" s="219" t="str">
        <f>'4D'!AF43</f>
        <v>BP3357003CAW</v>
      </c>
      <c r="C394" s="219" t="s">
        <v>2416</v>
      </c>
      <c r="E394" s="249" t="s">
        <v>634</v>
      </c>
      <c r="F394" s="255">
        <f>IF(ISBLANK('4D'!J43),"##BLANK",'4D'!J43)</f>
        <v>2.9850000000000003</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0.91300000000000003</v>
      </c>
    </row>
    <row r="400" spans="2:6">
      <c r="B400" s="219" t="str">
        <f>'4D'!AF44</f>
        <v>BP3357004CAW</v>
      </c>
      <c r="C400" s="219" t="s">
        <v>2421</v>
      </c>
      <c r="E400" s="249" t="s">
        <v>634</v>
      </c>
      <c r="F400" s="255">
        <f>IF(ISBLANK('4D'!J44),"##BLANK",'4D'!J44)</f>
        <v>0.91300000000000003</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4.0089999999999995</v>
      </c>
    </row>
    <row r="408" spans="2:6">
      <c r="B408" s="219" t="str">
        <f>'4D'!AB46</f>
        <v>BP3357020RWT</v>
      </c>
      <c r="C408" s="219" t="s">
        <v>2428</v>
      </c>
      <c r="E408" s="249" t="s">
        <v>634</v>
      </c>
      <c r="F408" s="255">
        <f>IF(ISBLANK('4D'!F46),"##BLANK",'4D'!F46)</f>
        <v>0.36799999999999999</v>
      </c>
    </row>
    <row r="409" spans="2:6">
      <c r="B409" s="219" t="str">
        <f>'4D'!AC46</f>
        <v>BP3357020RWS</v>
      </c>
      <c r="C409" s="219" t="s">
        <v>2429</v>
      </c>
      <c r="E409" s="249" t="s">
        <v>634</v>
      </c>
      <c r="F409" s="255">
        <f>IF(ISBLANK('4D'!G46),"##BLANK",'4D'!G46)</f>
        <v>0.13900000000000001</v>
      </c>
    </row>
    <row r="410" spans="2:6">
      <c r="B410" s="219" t="str">
        <f>'4D'!AD46</f>
        <v>BP3357020WT</v>
      </c>
      <c r="C410" s="219" t="s">
        <v>2430</v>
      </c>
      <c r="E410" s="249" t="s">
        <v>634</v>
      </c>
      <c r="F410" s="255">
        <f>IF(ISBLANK('4D'!H46),"##BLANK",'4D'!H46)</f>
        <v>6.2230000000000008</v>
      </c>
    </row>
    <row r="411" spans="2:6">
      <c r="B411" s="219" t="str">
        <f>'4D'!AE46</f>
        <v>BP3357020TWD</v>
      </c>
      <c r="C411" s="219" t="s">
        <v>2431</v>
      </c>
      <c r="E411" s="249" t="s">
        <v>634</v>
      </c>
      <c r="F411" s="255">
        <f>IF(ISBLANK('4D'!I46),"##BLANK",'4D'!I46)</f>
        <v>14.733000000000002</v>
      </c>
    </row>
    <row r="412" spans="2:6">
      <c r="B412" s="219" t="str">
        <f>'4D'!AF46</f>
        <v>BP3357020CAW</v>
      </c>
      <c r="C412" s="219" t="s">
        <v>2432</v>
      </c>
      <c r="E412" s="249" t="s">
        <v>634</v>
      </c>
      <c r="F412" s="255">
        <f>IF(ISBLANK('4D'!J46),"##BLANK",'4D'!J46)</f>
        <v>25.472000000000001</v>
      </c>
    </row>
    <row r="413" spans="2:6">
      <c r="B413" s="219" t="str">
        <f>'4E'!AO9</f>
        <v>B0501TAS</v>
      </c>
      <c r="C413" s="219" t="s">
        <v>2317</v>
      </c>
      <c r="E413" s="249" t="s">
        <v>634</v>
      </c>
      <c r="F413" s="255">
        <f>IF(ISBLANK('4E'!M9),"##BLANK",'4E'!M9)</f>
        <v>173.85899999999998</v>
      </c>
    </row>
    <row r="414" spans="2:6">
      <c r="B414" s="219" t="str">
        <f>'4E'!AO10</f>
        <v>B0502TAS</v>
      </c>
      <c r="C414" s="219" t="s">
        <v>2318</v>
      </c>
      <c r="E414" s="249" t="s">
        <v>634</v>
      </c>
      <c r="F414" s="255">
        <f>IF(ISBLANK('4E'!M10),"##BLANK",'4E'!M10)</f>
        <v>0.93800000000000006</v>
      </c>
    </row>
    <row r="415" spans="2:6">
      <c r="B415" s="219" t="str">
        <f>'4E'!AG11</f>
        <v>B0372DSOE_F</v>
      </c>
      <c r="C415" s="219" t="s">
        <v>2433</v>
      </c>
      <c r="E415" s="249" t="s">
        <v>634</v>
      </c>
      <c r="F415" s="255">
        <f>IF(ISBLANK('4E'!E11),"##BLANK",'4E'!E11)</f>
        <v>4.4059999999999997</v>
      </c>
    </row>
    <row r="416" spans="2:6">
      <c r="B416" s="219" t="str">
        <f>'4E'!AH11</f>
        <v>B0372DSOE_SWD</v>
      </c>
      <c r="C416" s="219" t="s">
        <v>2434</v>
      </c>
      <c r="E416" s="249" t="s">
        <v>634</v>
      </c>
      <c r="F416" s="255">
        <f>IF(ISBLANK('4E'!F11),"##BLANK",'4E'!F11)</f>
        <v>0.59199999999999997</v>
      </c>
    </row>
    <row r="417" spans="2:6">
      <c r="B417" s="219" t="str">
        <f>'4E'!AI11</f>
        <v>B0372DSOE_HD</v>
      </c>
      <c r="C417" s="219" t="s">
        <v>2435</v>
      </c>
      <c r="E417" s="249" t="s">
        <v>634</v>
      </c>
      <c r="F417" s="255">
        <f>IF(ISBLANK('4E'!G11),"##BLANK",'4E'!G11)</f>
        <v>0</v>
      </c>
    </row>
    <row r="418" spans="2:6">
      <c r="B418" s="219" t="str">
        <f>'4E'!AJ11</f>
        <v>B0372DSOE_STD</v>
      </c>
      <c r="C418" s="219" t="s">
        <v>2436</v>
      </c>
      <c r="E418" s="249" t="s">
        <v>634</v>
      </c>
      <c r="F418" s="255">
        <f>IF(ISBLANK('4E'!H11),"##BLANK",'4E'!H11)</f>
        <v>0</v>
      </c>
    </row>
    <row r="419" spans="2:6">
      <c r="B419" s="219" t="str">
        <f>'4E'!AK11</f>
        <v>B0372DSOE_SLT</v>
      </c>
      <c r="C419" s="219" t="s">
        <v>2437</v>
      </c>
      <c r="E419" s="249" t="s">
        <v>634</v>
      </c>
      <c r="F419" s="255">
        <f>IF(ISBLANK('4E'!I11),"##BLANK",'4E'!I11)</f>
        <v>0</v>
      </c>
    </row>
    <row r="420" spans="2:6">
      <c r="B420" s="219" t="str">
        <f>'4E'!AL11</f>
        <v>B0372DSOE_STP</v>
      </c>
      <c r="C420" s="219" t="s">
        <v>2438</v>
      </c>
      <c r="E420" s="249" t="s">
        <v>634</v>
      </c>
      <c r="F420" s="255">
        <f>IF(ISBLANK('4E'!J11),"##BLANK",'4E'!J11)</f>
        <v>0</v>
      </c>
    </row>
    <row r="421" spans="2:6">
      <c r="B421" s="219" t="str">
        <f>'4E'!AM11</f>
        <v>B0372DSOE_SDT</v>
      </c>
      <c r="C421" s="219" t="s">
        <v>2439</v>
      </c>
      <c r="E421" s="249" t="s">
        <v>634</v>
      </c>
      <c r="F421" s="255">
        <f>IF(ISBLANK('4E'!K11),"##BLANK",'4E'!K11)</f>
        <v>0</v>
      </c>
    </row>
    <row r="422" spans="2:6">
      <c r="B422" s="219" t="str">
        <f>'4E'!AN11</f>
        <v>B0372DSOE_SD</v>
      </c>
      <c r="C422" s="219" t="s">
        <v>2440</v>
      </c>
      <c r="E422" s="249" t="s">
        <v>634</v>
      </c>
      <c r="F422" s="255">
        <f>IF(ISBLANK('4E'!L11),"##BLANK",'4E'!L11)</f>
        <v>0</v>
      </c>
    </row>
    <row r="423" spans="2:6">
      <c r="B423" s="219" t="str">
        <f>'4E'!AO11</f>
        <v>B0599TAS</v>
      </c>
      <c r="C423" s="219" t="s">
        <v>2441</v>
      </c>
      <c r="E423" s="249" t="s">
        <v>634</v>
      </c>
      <c r="F423" s="255">
        <f>IF(ISBLANK('4E'!M11),"##BLANK",'4E'!M11)</f>
        <v>4.9979999999999993</v>
      </c>
    </row>
    <row r="424" spans="2:6">
      <c r="B424" s="219" t="str">
        <f>'4E'!AG12</f>
        <v>BM844F</v>
      </c>
      <c r="C424" s="219" t="s">
        <v>2442</v>
      </c>
      <c r="E424" s="249" t="s">
        <v>634</v>
      </c>
      <c r="F424" s="255">
        <f>IF(ISBLANK('4E'!E12),"##BLANK",'4E'!E12)</f>
        <v>41.032000000000004</v>
      </c>
    </row>
    <row r="425" spans="2:6">
      <c r="B425" s="219" t="str">
        <f>'4E'!AH12</f>
        <v>BM844SWD</v>
      </c>
      <c r="C425" s="219" t="s">
        <v>2443</v>
      </c>
      <c r="E425" s="249" t="s">
        <v>634</v>
      </c>
      <c r="F425" s="255">
        <f>IF(ISBLANK('4E'!F12),"##BLANK",'4E'!F12)</f>
        <v>18.484999999999999</v>
      </c>
    </row>
    <row r="426" spans="2:6">
      <c r="B426" s="219" t="str">
        <f>'4E'!AI12</f>
        <v>BM844HD</v>
      </c>
      <c r="C426" s="219" t="s">
        <v>2444</v>
      </c>
      <c r="E426" s="249" t="s">
        <v>634</v>
      </c>
      <c r="F426" s="255">
        <f>IF(ISBLANK('4E'!G12),"##BLANK",'4E'!G12)</f>
        <v>8.7740000000000009</v>
      </c>
    </row>
    <row r="427" spans="2:6">
      <c r="B427" s="219" t="str">
        <f>'4E'!AJ12</f>
        <v>BM844STD</v>
      </c>
      <c r="C427" s="219" t="s">
        <v>2445</v>
      </c>
      <c r="E427" s="249" t="s">
        <v>634</v>
      </c>
      <c r="F427" s="255">
        <f>IF(ISBLANK('4E'!H12),"##BLANK",'4E'!H12)</f>
        <v>86.221999999999994</v>
      </c>
    </row>
    <row r="428" spans="2:6">
      <c r="B428" s="219" t="str">
        <f>'4E'!AK12</f>
        <v>BM844SLT</v>
      </c>
      <c r="C428" s="219" t="s">
        <v>2446</v>
      </c>
      <c r="E428" s="249" t="s">
        <v>634</v>
      </c>
      <c r="F428" s="255">
        <f>IF(ISBLANK('4E'!I12),"##BLANK",'4E'!I12)</f>
        <v>5.5890000000000004</v>
      </c>
    </row>
    <row r="429" spans="2:6">
      <c r="B429" s="219" t="str">
        <f>'4E'!AL12</f>
        <v>BM844STP</v>
      </c>
      <c r="C429" s="219" t="s">
        <v>2447</v>
      </c>
      <c r="E429" s="249" t="s">
        <v>634</v>
      </c>
      <c r="F429" s="255">
        <f>IF(ISBLANK('4E'!J12),"##BLANK",'4E'!J12)</f>
        <v>7.0909999999999993</v>
      </c>
    </row>
    <row r="430" spans="2:6">
      <c r="B430" s="219" t="str">
        <f>'4E'!AM12</f>
        <v>BM844SDT</v>
      </c>
      <c r="C430" s="219" t="s">
        <v>2448</v>
      </c>
      <c r="E430" s="249" t="s">
        <v>634</v>
      </c>
      <c r="F430" s="255">
        <f>IF(ISBLANK('4E'!K12),"##BLANK",'4E'!K12)</f>
        <v>7.4379999999999997</v>
      </c>
    </row>
    <row r="431" spans="2:6">
      <c r="B431" s="219" t="str">
        <f>'4E'!AN12</f>
        <v>BM844SDD</v>
      </c>
      <c r="C431" s="219" t="s">
        <v>2449</v>
      </c>
      <c r="E431" s="249" t="s">
        <v>634</v>
      </c>
      <c r="F431" s="255">
        <f>IF(ISBLANK('4E'!L12),"##BLANK",'4E'!L12)</f>
        <v>5.1639999999999997</v>
      </c>
    </row>
    <row r="432" spans="2:6">
      <c r="B432" s="219" t="str">
        <f>'4E'!AO12</f>
        <v>BM844TAS</v>
      </c>
      <c r="C432" s="219" t="s">
        <v>2450</v>
      </c>
      <c r="E432" s="249" t="s">
        <v>634</v>
      </c>
      <c r="F432" s="255">
        <f>IF(ISBLANK('4E'!M12),"##BLANK",'4E'!M12)</f>
        <v>179.79499999999996</v>
      </c>
    </row>
    <row r="433" spans="2:6">
      <c r="B433" s="219" t="str">
        <f>'4E'!AG13</f>
        <v>BM823F</v>
      </c>
      <c r="C433" s="219" t="s">
        <v>2451</v>
      </c>
      <c r="E433" s="249" t="s">
        <v>634</v>
      </c>
      <c r="F433" s="255">
        <f>IF(ISBLANK('4E'!E13),"##BLANK",'4E'!E13)</f>
        <v>0.59899999999999998</v>
      </c>
    </row>
    <row r="434" spans="2:6">
      <c r="B434" s="219" t="str">
        <f>'4E'!AH13</f>
        <v>BM823SWD</v>
      </c>
      <c r="C434" s="219" t="s">
        <v>2452</v>
      </c>
      <c r="E434" s="249" t="s">
        <v>634</v>
      </c>
      <c r="F434" s="255">
        <f>IF(ISBLANK('4E'!F13),"##BLANK",'4E'!F13)</f>
        <v>0.13</v>
      </c>
    </row>
    <row r="435" spans="2:6">
      <c r="B435" s="219" t="str">
        <f>'4E'!AI13</f>
        <v>BM823HD</v>
      </c>
      <c r="C435" s="219" t="s">
        <v>2453</v>
      </c>
      <c r="E435" s="249" t="s">
        <v>634</v>
      </c>
      <c r="F435" s="255">
        <f>IF(ISBLANK('4E'!G13),"##BLANK",'4E'!G13)</f>
        <v>6.9000000000000006E-2</v>
      </c>
    </row>
    <row r="436" spans="2:6">
      <c r="B436" s="219" t="str">
        <f>'4E'!AJ13</f>
        <v>BM823STD</v>
      </c>
      <c r="C436" s="219" t="s">
        <v>2454</v>
      </c>
      <c r="E436" s="249" t="s">
        <v>634</v>
      </c>
      <c r="F436" s="255">
        <f>IF(ISBLANK('4E'!H13),"##BLANK",'4E'!H13)</f>
        <v>0</v>
      </c>
    </row>
    <row r="437" spans="2:6">
      <c r="B437" s="219" t="str">
        <f>'4E'!AK13</f>
        <v>BM823SLT</v>
      </c>
      <c r="C437" s="219" t="s">
        <v>2455</v>
      </c>
      <c r="E437" s="249" t="s">
        <v>634</v>
      </c>
      <c r="F437" s="255">
        <f>IF(ISBLANK('4E'!I13),"##BLANK",'4E'!I13)</f>
        <v>0</v>
      </c>
    </row>
    <row r="438" spans="2:6">
      <c r="B438" s="219" t="str">
        <f>'4E'!AL13</f>
        <v>BM823STP</v>
      </c>
      <c r="C438" s="219" t="s">
        <v>2456</v>
      </c>
      <c r="E438" s="249" t="s">
        <v>634</v>
      </c>
      <c r="F438" s="255">
        <f>IF(ISBLANK('4E'!J13),"##BLANK",'4E'!J13)</f>
        <v>0</v>
      </c>
    </row>
    <row r="439" spans="2:6">
      <c r="B439" s="219" t="str">
        <f>'4E'!AM13</f>
        <v>BM823SDT</v>
      </c>
      <c r="C439" s="219" t="s">
        <v>2457</v>
      </c>
      <c r="E439" s="249" t="s">
        <v>634</v>
      </c>
      <c r="F439" s="255">
        <f>IF(ISBLANK('4E'!K13),"##BLANK",'4E'!K13)</f>
        <v>0</v>
      </c>
    </row>
    <row r="440" spans="2:6">
      <c r="B440" s="219" t="str">
        <f>'4E'!AN13</f>
        <v>BM823SDD</v>
      </c>
      <c r="C440" s="219" t="s">
        <v>2458</v>
      </c>
      <c r="E440" s="249" t="s">
        <v>634</v>
      </c>
      <c r="F440" s="255">
        <f>IF(ISBLANK('4E'!L13),"##BLANK",'4E'!L13)</f>
        <v>0</v>
      </c>
    </row>
    <row r="441" spans="2:6">
      <c r="B441" s="219" t="str">
        <f>'4E'!AO13</f>
        <v>BM823TAS</v>
      </c>
      <c r="C441" s="219" t="s">
        <v>2459</v>
      </c>
      <c r="E441" s="249" t="s">
        <v>634</v>
      </c>
      <c r="F441" s="255">
        <f>IF(ISBLANK('4E'!M13),"##BLANK",'4E'!M13)</f>
        <v>0.79800000000000004</v>
      </c>
    </row>
    <row r="442" spans="2:6">
      <c r="B442" s="219" t="str">
        <f>'4E'!AG14</f>
        <v>BM850F</v>
      </c>
      <c r="C442" s="219" t="s">
        <v>2460</v>
      </c>
      <c r="E442" s="249" t="s">
        <v>634</v>
      </c>
      <c r="F442" s="255">
        <f>IF(ISBLANK('4E'!E14),"##BLANK",'4E'!E14)</f>
        <v>41.631</v>
      </c>
    </row>
    <row r="443" spans="2:6">
      <c r="B443" s="219" t="str">
        <f>'4E'!AH14</f>
        <v>BM850SWD</v>
      </c>
      <c r="C443" s="219" t="s">
        <v>2461</v>
      </c>
      <c r="E443" s="249" t="s">
        <v>634</v>
      </c>
      <c r="F443" s="255">
        <f>IF(ISBLANK('4E'!F14),"##BLANK",'4E'!F14)</f>
        <v>18.614999999999998</v>
      </c>
    </row>
    <row r="444" spans="2:6">
      <c r="B444" s="219" t="str">
        <f>'4E'!AI14</f>
        <v>BM850HD</v>
      </c>
      <c r="C444" s="219" t="s">
        <v>2462</v>
      </c>
      <c r="E444" s="249" t="s">
        <v>634</v>
      </c>
      <c r="F444" s="255">
        <f>IF(ISBLANK('4E'!G14),"##BLANK",'4E'!G14)</f>
        <v>8.8430000000000017</v>
      </c>
    </row>
    <row r="445" spans="2:6">
      <c r="B445" s="219" t="str">
        <f>'4E'!AJ14</f>
        <v>BM850STD</v>
      </c>
      <c r="C445" s="219" t="s">
        <v>2463</v>
      </c>
      <c r="E445" s="249" t="s">
        <v>634</v>
      </c>
      <c r="F445" s="255">
        <f>IF(ISBLANK('4E'!H14),"##BLANK",'4E'!H14)</f>
        <v>86.221999999999994</v>
      </c>
    </row>
    <row r="446" spans="2:6">
      <c r="B446" s="219" t="str">
        <f>'4E'!AK14</f>
        <v>BM850SLT</v>
      </c>
      <c r="C446" s="219" t="s">
        <v>2464</v>
      </c>
      <c r="E446" s="249" t="s">
        <v>634</v>
      </c>
      <c r="F446" s="255">
        <f>IF(ISBLANK('4E'!I14),"##BLANK",'4E'!I14)</f>
        <v>5.5890000000000004</v>
      </c>
    </row>
    <row r="447" spans="2:6">
      <c r="B447" s="219" t="str">
        <f>'4E'!AL14</f>
        <v>BM850STP</v>
      </c>
      <c r="C447" s="219" t="s">
        <v>2465</v>
      </c>
      <c r="E447" s="249" t="s">
        <v>634</v>
      </c>
      <c r="F447" s="255">
        <f>IF(ISBLANK('4E'!J14),"##BLANK",'4E'!J14)</f>
        <v>7.0909999999999993</v>
      </c>
    </row>
    <row r="448" spans="2:6">
      <c r="B448" s="219" t="str">
        <f>'4E'!AM14</f>
        <v>BM850SDT</v>
      </c>
      <c r="C448" s="219" t="s">
        <v>2466</v>
      </c>
      <c r="E448" s="249" t="s">
        <v>634</v>
      </c>
      <c r="F448" s="255">
        <f>IF(ISBLANK('4E'!K14),"##BLANK",'4E'!K14)</f>
        <v>7.4379999999999997</v>
      </c>
    </row>
    <row r="449" spans="2:6">
      <c r="B449" s="219" t="str">
        <f>'4E'!AN14</f>
        <v>BM850SDD</v>
      </c>
      <c r="C449" s="219" t="s">
        <v>2467</v>
      </c>
      <c r="E449" s="249" t="s">
        <v>634</v>
      </c>
      <c r="F449" s="255">
        <f>IF(ISBLANK('4E'!L14),"##BLANK",'4E'!L14)</f>
        <v>5.1639999999999997</v>
      </c>
    </row>
    <row r="450" spans="2:6">
      <c r="B450" s="219" t="str">
        <f>'4E'!AO14</f>
        <v>BM850TAS</v>
      </c>
      <c r="C450" s="219" t="s">
        <v>2468</v>
      </c>
      <c r="E450" s="249" t="s">
        <v>634</v>
      </c>
      <c r="F450" s="255">
        <f>IF(ISBLANK('4E'!M14),"##BLANK",'4E'!M14)</f>
        <v>180.59299999999996</v>
      </c>
    </row>
    <row r="451" spans="2:6">
      <c r="B451" s="219" t="str">
        <f>'4E'!AG17</f>
        <v>B0504F</v>
      </c>
      <c r="C451" s="219" t="s">
        <v>2469</v>
      </c>
      <c r="E451" s="249" t="s">
        <v>634</v>
      </c>
      <c r="F451" s="255">
        <f>IF(ISBLANK('4E'!E17),"##BLANK",'4E'!E17)</f>
        <v>2.089</v>
      </c>
    </row>
    <row r="452" spans="2:6">
      <c r="B452" s="219" t="str">
        <f>'4E'!AH17</f>
        <v>B0504SWD</v>
      </c>
      <c r="C452" s="219" t="s">
        <v>2470</v>
      </c>
      <c r="E452" s="249" t="s">
        <v>634</v>
      </c>
      <c r="F452" s="255">
        <f>IF(ISBLANK('4E'!F17),"##BLANK",'4E'!F17)</f>
        <v>0.51800000000000002</v>
      </c>
    </row>
    <row r="453" spans="2:6">
      <c r="B453" s="219" t="str">
        <f>'4E'!AI17</f>
        <v>B0504HD</v>
      </c>
      <c r="C453" s="219" t="s">
        <v>2471</v>
      </c>
      <c r="E453" s="249" t="s">
        <v>634</v>
      </c>
      <c r="F453" s="255">
        <f>IF(ISBLANK('4E'!G17),"##BLANK",'4E'!G17)</f>
        <v>0.26900000000000002</v>
      </c>
    </row>
    <row r="454" spans="2:6">
      <c r="B454" s="219" t="str">
        <f>'4E'!AJ17</f>
        <v>B0504STD</v>
      </c>
      <c r="C454" s="219" t="s">
        <v>2472</v>
      </c>
      <c r="E454" s="249" t="s">
        <v>634</v>
      </c>
      <c r="F454" s="255">
        <f>IF(ISBLANK('4E'!H17),"##BLANK",'4E'!H17)</f>
        <v>0</v>
      </c>
    </row>
    <row r="455" spans="2:6">
      <c r="B455" s="219" t="str">
        <f>'4E'!AK17</f>
        <v>B0504SLT</v>
      </c>
      <c r="C455" s="219" t="s">
        <v>2473</v>
      </c>
      <c r="E455" s="249" t="s">
        <v>634</v>
      </c>
      <c r="F455" s="255">
        <f>IF(ISBLANK('4E'!I17),"##BLANK",'4E'!I17)</f>
        <v>0</v>
      </c>
    </row>
    <row r="456" spans="2:6">
      <c r="B456" s="219" t="str">
        <f>'4E'!AL17</f>
        <v>B0504STP</v>
      </c>
      <c r="C456" s="219" t="s">
        <v>2474</v>
      </c>
      <c r="E456" s="249" t="s">
        <v>634</v>
      </c>
      <c r="F456" s="255">
        <f>IF(ISBLANK('4E'!J17),"##BLANK",'4E'!J17)</f>
        <v>0</v>
      </c>
    </row>
    <row r="457" spans="2:6">
      <c r="B457" s="219" t="str">
        <f>'4E'!AM17</f>
        <v>B0504SDT</v>
      </c>
      <c r="C457" s="219" t="s">
        <v>2475</v>
      </c>
      <c r="E457" s="249" t="s">
        <v>634</v>
      </c>
      <c r="F457" s="255">
        <f>IF(ISBLANK('4E'!K17),"##BLANK",'4E'!K17)</f>
        <v>0</v>
      </c>
    </row>
    <row r="458" spans="2:6">
      <c r="B458" s="219" t="str">
        <f>'4E'!AN17</f>
        <v>B0504SDD</v>
      </c>
      <c r="C458" s="219" t="s">
        <v>2476</v>
      </c>
      <c r="E458" s="249" t="s">
        <v>634</v>
      </c>
      <c r="F458" s="255">
        <f>IF(ISBLANK('4E'!L17),"##BLANK",'4E'!L17)</f>
        <v>0</v>
      </c>
    </row>
    <row r="459" spans="2:6">
      <c r="B459" s="219" t="str">
        <f>'4E'!AO17</f>
        <v>B0504TAS</v>
      </c>
      <c r="C459" s="219" t="s">
        <v>2348</v>
      </c>
      <c r="E459" s="249" t="s">
        <v>634</v>
      </c>
      <c r="F459" s="255">
        <f>IF(ISBLANK('4E'!M17),"##BLANK",'4E'!M17)</f>
        <v>2.8760000000000003</v>
      </c>
    </row>
    <row r="460" spans="2:6">
      <c r="B460" s="219" t="str">
        <f>'4E'!AO20</f>
        <v>B0505TAS</v>
      </c>
      <c r="C460" s="219" t="s">
        <v>2349</v>
      </c>
      <c r="E460" s="249" t="s">
        <v>634</v>
      </c>
      <c r="F460" s="255">
        <f>IF(ISBLANK('4E'!M20),"##BLANK",'4E'!M20)</f>
        <v>80.327000000000012</v>
      </c>
    </row>
    <row r="461" spans="2:6">
      <c r="B461" s="219" t="str">
        <f>'4E'!AO21</f>
        <v>B0506TAS</v>
      </c>
      <c r="C461" s="219" t="s">
        <v>2350</v>
      </c>
      <c r="E461" s="249" t="s">
        <v>634</v>
      </c>
      <c r="F461" s="255">
        <f>IF(ISBLANK('4E'!M21),"##BLANK",'4E'!M21)</f>
        <v>65.602999999999994</v>
      </c>
    </row>
    <row r="462" spans="2:6">
      <c r="B462" s="219" t="str">
        <f>'4E'!AG22</f>
        <v>B0371DSCE_F</v>
      </c>
      <c r="C462" s="219" t="s">
        <v>2477</v>
      </c>
      <c r="E462" s="249" t="s">
        <v>634</v>
      </c>
      <c r="F462" s="255">
        <f>IF(ISBLANK('4E'!E22),"##BLANK",'4E'!E22)</f>
        <v>9.1760000000000002</v>
      </c>
    </row>
    <row r="463" spans="2:6">
      <c r="B463" s="219" t="str">
        <f>'4E'!AH22</f>
        <v>B0371DSCE_SWD</v>
      </c>
      <c r="C463" s="219" t="s">
        <v>2478</v>
      </c>
      <c r="E463" s="249" t="s">
        <v>634</v>
      </c>
      <c r="F463" s="255">
        <f>IF(ISBLANK('4E'!F22),"##BLANK",'4E'!F22)</f>
        <v>0.93300000000000005</v>
      </c>
    </row>
    <row r="464" spans="2:6">
      <c r="B464" s="219" t="str">
        <f>'4E'!AI22</f>
        <v>B0371DSCE_HD</v>
      </c>
      <c r="C464" s="219" t="s">
        <v>2479</v>
      </c>
      <c r="E464" s="249" t="s">
        <v>634</v>
      </c>
      <c r="F464" s="255">
        <f>IF(ISBLANK('4E'!G22),"##BLANK",'4E'!G22)</f>
        <v>0</v>
      </c>
    </row>
    <row r="465" spans="2:6">
      <c r="B465" s="219" t="str">
        <f>'4E'!AJ22</f>
        <v>B0371DSCE_STD</v>
      </c>
      <c r="C465" s="219" t="s">
        <v>2480</v>
      </c>
      <c r="E465" s="249" t="s">
        <v>634</v>
      </c>
      <c r="F465" s="255">
        <f>IF(ISBLANK('4E'!H22),"##BLANK",'4E'!H22)</f>
        <v>0</v>
      </c>
    </row>
    <row r="466" spans="2:6">
      <c r="B466" s="219" t="str">
        <f>'4E'!AK22</f>
        <v>B0371DSCE_SLT</v>
      </c>
      <c r="C466" s="219" t="s">
        <v>2481</v>
      </c>
      <c r="E466" s="249" t="s">
        <v>634</v>
      </c>
      <c r="F466" s="255">
        <f>IF(ISBLANK('4E'!I22),"##BLANK",'4E'!I22)</f>
        <v>0</v>
      </c>
    </row>
    <row r="467" spans="2:6">
      <c r="B467" s="219" t="str">
        <f>'4E'!AL22</f>
        <v>B0371DSCE_STP</v>
      </c>
      <c r="C467" s="219" t="s">
        <v>2482</v>
      </c>
      <c r="E467" s="249" t="s">
        <v>634</v>
      </c>
      <c r="F467" s="255">
        <f>IF(ISBLANK('4E'!J22),"##BLANK",'4E'!J22)</f>
        <v>0</v>
      </c>
    </row>
    <row r="468" spans="2:6">
      <c r="B468" s="219" t="str">
        <f>'4E'!AM22</f>
        <v>B0371DSCE_SDT</v>
      </c>
      <c r="C468" s="219" t="s">
        <v>2483</v>
      </c>
      <c r="E468" s="249" t="s">
        <v>634</v>
      </c>
      <c r="F468" s="255">
        <f>IF(ISBLANK('4E'!K22),"##BLANK",'4E'!K22)</f>
        <v>0</v>
      </c>
    </row>
    <row r="469" spans="2:6">
      <c r="B469" s="219" t="str">
        <f>'4E'!AN22</f>
        <v>B0371DSCE_SD</v>
      </c>
      <c r="C469" s="219" t="s">
        <v>2484</v>
      </c>
      <c r="E469" s="249" t="s">
        <v>634</v>
      </c>
      <c r="F469" s="255">
        <f>IF(ISBLANK('4E'!L22),"##BLANK",'4E'!L22)</f>
        <v>0</v>
      </c>
    </row>
    <row r="470" spans="2:6">
      <c r="B470" s="219" t="str">
        <f>'4E'!AO22</f>
        <v>B0598TAS</v>
      </c>
      <c r="C470" s="219" t="s">
        <v>2485</v>
      </c>
      <c r="E470" s="249" t="s">
        <v>634</v>
      </c>
      <c r="F470" s="255">
        <f>IF(ISBLANK('4E'!M22),"##BLANK",'4E'!M22)</f>
        <v>10.109</v>
      </c>
    </row>
    <row r="471" spans="2:6">
      <c r="B471" s="219" t="str">
        <f>'4E'!AG23</f>
        <v>BC30998F</v>
      </c>
      <c r="C471" s="219" t="s">
        <v>2486</v>
      </c>
      <c r="E471" s="249" t="s">
        <v>634</v>
      </c>
      <c r="F471" s="255">
        <f>IF(ISBLANK('4E'!E23),"##BLANK",'4E'!E23)</f>
        <v>35.237000000000002</v>
      </c>
    </row>
    <row r="472" spans="2:6">
      <c r="B472" s="219" t="str">
        <f>'4E'!AH23</f>
        <v>BC30998SWD</v>
      </c>
      <c r="C472" s="219" t="s">
        <v>2487</v>
      </c>
      <c r="E472" s="249" t="s">
        <v>634</v>
      </c>
      <c r="F472" s="255">
        <f>IF(ISBLANK('4E'!F23),"##BLANK",'4E'!F23)</f>
        <v>9.9149999999999974</v>
      </c>
    </row>
    <row r="473" spans="2:6">
      <c r="B473" s="219" t="str">
        <f>'4E'!AI23</f>
        <v>BC30998HD</v>
      </c>
      <c r="C473" s="219" t="s">
        <v>2488</v>
      </c>
      <c r="E473" s="249" t="s">
        <v>634</v>
      </c>
      <c r="F473" s="255">
        <f>IF(ISBLANK('4E'!G23),"##BLANK",'4E'!G23)</f>
        <v>5.8770000000000007</v>
      </c>
    </row>
    <row r="474" spans="2:6">
      <c r="B474" s="219" t="str">
        <f>'4E'!AJ23</f>
        <v>BC30998STD</v>
      </c>
      <c r="C474" s="219" t="s">
        <v>2489</v>
      </c>
      <c r="E474" s="249" t="s">
        <v>634</v>
      </c>
      <c r="F474" s="255">
        <f>IF(ISBLANK('4E'!H23),"##BLANK",'4E'!H23)</f>
        <v>90.727000000000004</v>
      </c>
    </row>
    <row r="475" spans="2:6">
      <c r="B475" s="219" t="str">
        <f>'4E'!AK23</f>
        <v>BC30998SLT</v>
      </c>
      <c r="C475" s="219" t="s">
        <v>2490</v>
      </c>
      <c r="E475" s="249" t="s">
        <v>634</v>
      </c>
      <c r="F475" s="255">
        <f>IF(ISBLANK('4E'!I23),"##BLANK",'4E'!I23)</f>
        <v>0.111</v>
      </c>
    </row>
    <row r="476" spans="2:6">
      <c r="B476" s="219" t="str">
        <f>'4E'!AL23</f>
        <v>BC30998STP</v>
      </c>
      <c r="C476" s="219" t="s">
        <v>2491</v>
      </c>
      <c r="E476" s="249" t="s">
        <v>634</v>
      </c>
      <c r="F476" s="255">
        <f>IF(ISBLANK('4E'!J23),"##BLANK",'4E'!J23)</f>
        <v>0.39700000000000002</v>
      </c>
    </row>
    <row r="477" spans="2:6">
      <c r="B477" s="219" t="str">
        <f>'4E'!AM23</f>
        <v>BC30998SDT</v>
      </c>
      <c r="C477" s="219" t="s">
        <v>2492</v>
      </c>
      <c r="E477" s="249" t="s">
        <v>634</v>
      </c>
      <c r="F477" s="255">
        <f>IF(ISBLANK('4E'!K23),"##BLANK",'4E'!K23)</f>
        <v>13.495999999999999</v>
      </c>
    </row>
    <row r="478" spans="2:6">
      <c r="B478" s="219" t="str">
        <f>'4E'!AN23</f>
        <v>BC30998SDD</v>
      </c>
      <c r="C478" s="219" t="s">
        <v>2493</v>
      </c>
      <c r="E478" s="249" t="s">
        <v>634</v>
      </c>
      <c r="F478" s="255">
        <f>IF(ISBLANK('4E'!L23),"##BLANK",'4E'!L23)</f>
        <v>0.27900000000000003</v>
      </c>
    </row>
    <row r="479" spans="2:6">
      <c r="B479" s="219" t="str">
        <f>'4E'!AO23</f>
        <v>BC30998TAS</v>
      </c>
      <c r="C479" s="219" t="s">
        <v>2494</v>
      </c>
      <c r="E479" s="249" t="s">
        <v>634</v>
      </c>
      <c r="F479" s="255">
        <f>IF(ISBLANK('4E'!M23),"##BLANK",'4E'!M23)</f>
        <v>156.03899999999999</v>
      </c>
    </row>
    <row r="480" spans="2:6">
      <c r="B480" s="219" t="str">
        <f>'4E'!AG24</f>
        <v>BM833F</v>
      </c>
      <c r="C480" s="219" t="s">
        <v>2451</v>
      </c>
      <c r="E480" s="249" t="s">
        <v>634</v>
      </c>
      <c r="F480" s="255">
        <f>IF(ISBLANK('4E'!E24),"##BLANK",'4E'!E24)</f>
        <v>0</v>
      </c>
    </row>
    <row r="481" spans="2:6">
      <c r="B481" s="219" t="str">
        <f>'4E'!AH24</f>
        <v>BM833SWD</v>
      </c>
      <c r="C481" s="219" t="s">
        <v>2452</v>
      </c>
      <c r="E481" s="249" t="s">
        <v>634</v>
      </c>
      <c r="F481" s="255">
        <f>IF(ISBLANK('4E'!F24),"##BLANK",'4E'!F24)</f>
        <v>0</v>
      </c>
    </row>
    <row r="482" spans="2:6">
      <c r="B482" s="219" t="str">
        <f>'4E'!AI24</f>
        <v>BM833HD</v>
      </c>
      <c r="C482" s="219" t="s">
        <v>2453</v>
      </c>
      <c r="E482" s="249" t="s">
        <v>634</v>
      </c>
      <c r="F482" s="255">
        <f>IF(ISBLANK('4E'!G24),"##BLANK",'4E'!G24)</f>
        <v>0</v>
      </c>
    </row>
    <row r="483" spans="2:6">
      <c r="B483" s="219" t="str">
        <f>'4E'!AJ24</f>
        <v>BM833STD</v>
      </c>
      <c r="C483" s="219" t="s">
        <v>2454</v>
      </c>
      <c r="E483" s="249" t="s">
        <v>634</v>
      </c>
      <c r="F483" s="255">
        <f>IF(ISBLANK('4E'!H24),"##BLANK",'4E'!H24)</f>
        <v>0</v>
      </c>
    </row>
    <row r="484" spans="2:6">
      <c r="B484" s="219" t="str">
        <f>'4E'!AK24</f>
        <v>BM833SLT</v>
      </c>
      <c r="C484" s="219" t="s">
        <v>2455</v>
      </c>
      <c r="E484" s="249" t="s">
        <v>634</v>
      </c>
      <c r="F484" s="255">
        <f>IF(ISBLANK('4E'!I24),"##BLANK",'4E'!I24)</f>
        <v>0</v>
      </c>
    </row>
    <row r="485" spans="2:6">
      <c r="B485" s="219" t="str">
        <f>'4E'!AL24</f>
        <v>BM833STP</v>
      </c>
      <c r="C485" s="219" t="s">
        <v>2456</v>
      </c>
      <c r="E485" s="249" t="s">
        <v>634</v>
      </c>
      <c r="F485" s="255">
        <f>IF(ISBLANK('4E'!J24),"##BLANK",'4E'!J24)</f>
        <v>0</v>
      </c>
    </row>
    <row r="486" spans="2:6">
      <c r="B486" s="219" t="str">
        <f>'4E'!AM24</f>
        <v>BM833SDT</v>
      </c>
      <c r="C486" s="219" t="s">
        <v>2495</v>
      </c>
      <c r="E486" s="249" t="s">
        <v>634</v>
      </c>
      <c r="F486" s="255">
        <f>IF(ISBLANK('4E'!K24),"##BLANK",'4E'!K24)</f>
        <v>0</v>
      </c>
    </row>
    <row r="487" spans="2:6">
      <c r="B487" s="219" t="str">
        <f>'4E'!AN24</f>
        <v>BM833SDD</v>
      </c>
      <c r="C487" s="219" t="s">
        <v>2496</v>
      </c>
      <c r="E487" s="249" t="s">
        <v>634</v>
      </c>
      <c r="F487" s="255">
        <f>IF(ISBLANK('4E'!L24),"##BLANK",'4E'!L24)</f>
        <v>0</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35.237000000000002</v>
      </c>
    </row>
    <row r="490" spans="2:6">
      <c r="B490" s="219" t="str">
        <f>'4E'!AH25</f>
        <v>BA2120SWD</v>
      </c>
      <c r="C490" s="219" t="s">
        <v>2499</v>
      </c>
      <c r="E490" s="249" t="s">
        <v>634</v>
      </c>
      <c r="F490" s="255">
        <f>IF(ISBLANK('4E'!F25),"##BLANK",'4E'!F25)</f>
        <v>9.9149999999999974</v>
      </c>
    </row>
    <row r="491" spans="2:6">
      <c r="B491" s="219" t="str">
        <f>'4E'!AI25</f>
        <v>BA2120HD</v>
      </c>
      <c r="C491" s="219" t="s">
        <v>2500</v>
      </c>
      <c r="E491" s="249" t="s">
        <v>634</v>
      </c>
      <c r="F491" s="255">
        <f>IF(ISBLANK('4E'!G25),"##BLANK",'4E'!G25)</f>
        <v>5.8770000000000007</v>
      </c>
    </row>
    <row r="492" spans="2:6">
      <c r="B492" s="219" t="str">
        <f>'4E'!AJ25</f>
        <v>BA2120STD</v>
      </c>
      <c r="C492" s="219" t="s">
        <v>2501</v>
      </c>
      <c r="E492" s="249" t="s">
        <v>634</v>
      </c>
      <c r="F492" s="255">
        <f>IF(ISBLANK('4E'!H25),"##BLANK",'4E'!H25)</f>
        <v>90.727000000000004</v>
      </c>
    </row>
    <row r="493" spans="2:6">
      <c r="B493" s="219" t="str">
        <f>'4E'!AK25</f>
        <v>BA2120SLT</v>
      </c>
      <c r="C493" s="219" t="s">
        <v>2502</v>
      </c>
      <c r="E493" s="249" t="s">
        <v>634</v>
      </c>
      <c r="F493" s="255">
        <f>IF(ISBLANK('4E'!I25),"##BLANK",'4E'!I25)</f>
        <v>0.111</v>
      </c>
    </row>
    <row r="494" spans="2:6">
      <c r="B494" s="219" t="str">
        <f>'4E'!AL25</f>
        <v>BA2120STP</v>
      </c>
      <c r="C494" s="219" t="s">
        <v>2503</v>
      </c>
      <c r="E494" s="249" t="s">
        <v>634</v>
      </c>
      <c r="F494" s="255">
        <f>IF(ISBLANK('4E'!J25),"##BLANK",'4E'!J25)</f>
        <v>0.39700000000000002</v>
      </c>
    </row>
    <row r="495" spans="2:6">
      <c r="B495" s="219" t="str">
        <f>'4E'!AM25</f>
        <v>BA2120SDT</v>
      </c>
      <c r="C495" s="219" t="s">
        <v>2504</v>
      </c>
      <c r="E495" s="249" t="s">
        <v>634</v>
      </c>
      <c r="F495" s="255">
        <f>IF(ISBLANK('4E'!K25),"##BLANK",'4E'!K25)</f>
        <v>13.495999999999999</v>
      </c>
    </row>
    <row r="496" spans="2:6">
      <c r="B496" s="219" t="str">
        <f>'4E'!AN25</f>
        <v>BA2120SDD</v>
      </c>
      <c r="C496" s="219" t="s">
        <v>2505</v>
      </c>
      <c r="E496" s="249" t="s">
        <v>634</v>
      </c>
      <c r="F496" s="255">
        <f>IF(ISBLANK('4E'!L25),"##BLANK",'4E'!L25)</f>
        <v>0.27900000000000003</v>
      </c>
    </row>
    <row r="497" spans="2:6">
      <c r="B497" s="219" t="str">
        <f>'4E'!AO25</f>
        <v>BA2120TAS</v>
      </c>
      <c r="C497" s="219" t="s">
        <v>2506</v>
      </c>
      <c r="E497" s="249" t="s">
        <v>634</v>
      </c>
      <c r="F497" s="255">
        <f>IF(ISBLANK('4E'!M25),"##BLANK",'4E'!M25)</f>
        <v>156.03899999999999</v>
      </c>
    </row>
    <row r="498" spans="2:6">
      <c r="B498" s="219" t="str">
        <f>'4E'!AG28</f>
        <v>B0508F</v>
      </c>
      <c r="C498" s="219" t="s">
        <v>2507</v>
      </c>
      <c r="E498" s="249" t="s">
        <v>634</v>
      </c>
      <c r="F498" s="255">
        <f>IF(ISBLANK('4E'!E28),"##BLANK",'4E'!E28)</f>
        <v>9.0570000000000004</v>
      </c>
    </row>
    <row r="499" spans="2:6">
      <c r="B499" s="219" t="str">
        <f>'4E'!AH28</f>
        <v>B0508SWD</v>
      </c>
      <c r="C499" s="219" t="s">
        <v>2508</v>
      </c>
      <c r="E499" s="249" t="s">
        <v>634</v>
      </c>
      <c r="F499" s="255">
        <f>IF(ISBLANK('4E'!F28),"##BLANK",'4E'!F28)</f>
        <v>0.57899999999999996</v>
      </c>
    </row>
    <row r="500" spans="2:6">
      <c r="B500" s="219" t="str">
        <f>'4E'!AI28</f>
        <v>B0508HD</v>
      </c>
      <c r="C500" s="219" t="s">
        <v>2509</v>
      </c>
      <c r="E500" s="249" t="s">
        <v>634</v>
      </c>
      <c r="F500" s="255">
        <f>IF(ISBLANK('4E'!G28),"##BLANK",'4E'!G28)</f>
        <v>1.9E-2</v>
      </c>
    </row>
    <row r="501" spans="2:6">
      <c r="B501" s="219" t="str">
        <f>'4E'!AJ28</f>
        <v>B0508STD</v>
      </c>
      <c r="C501" s="219" t="s">
        <v>2510</v>
      </c>
      <c r="E501" s="249" t="s">
        <v>634</v>
      </c>
      <c r="F501" s="255">
        <f>IF(ISBLANK('4E'!H28),"##BLANK",'4E'!H28)</f>
        <v>0.27400000000000002</v>
      </c>
    </row>
    <row r="502" spans="2:6">
      <c r="B502" s="219" t="str">
        <f>'4E'!AK28</f>
        <v>B0508SLT</v>
      </c>
      <c r="C502" s="219" t="s">
        <v>2511</v>
      </c>
      <c r="E502" s="249" t="s">
        <v>634</v>
      </c>
      <c r="F502" s="255">
        <f>IF(ISBLANK('4E'!I28),"##BLANK",'4E'!I28)</f>
        <v>0</v>
      </c>
    </row>
    <row r="503" spans="2:6">
      <c r="B503" s="219" t="str">
        <f>'4E'!AL28</f>
        <v>B0508STP</v>
      </c>
      <c r="C503" s="219" t="s">
        <v>2512</v>
      </c>
      <c r="E503" s="249" t="s">
        <v>634</v>
      </c>
      <c r="F503" s="255">
        <f>IF(ISBLANK('4E'!J28),"##BLANK",'4E'!J28)</f>
        <v>0</v>
      </c>
    </row>
    <row r="504" spans="2:6">
      <c r="B504" s="219" t="str">
        <f>'4E'!AM28</f>
        <v>B0508SDT</v>
      </c>
      <c r="C504" s="219" t="s">
        <v>2513</v>
      </c>
      <c r="E504" s="249" t="s">
        <v>634</v>
      </c>
      <c r="F504" s="255">
        <f>IF(ISBLANK('4E'!K28),"##BLANK",'4E'!K28)</f>
        <v>0</v>
      </c>
    </row>
    <row r="505" spans="2:6">
      <c r="B505" s="219" t="str">
        <f>'4E'!AN28</f>
        <v>B0508SDD</v>
      </c>
      <c r="C505" s="219" t="s">
        <v>2514</v>
      </c>
      <c r="E505" s="249" t="s">
        <v>634</v>
      </c>
      <c r="F505" s="255">
        <f>IF(ISBLANK('4E'!L28),"##BLANK",'4E'!L28)</f>
        <v>0</v>
      </c>
    </row>
    <row r="506" spans="2:6">
      <c r="B506" s="219" t="str">
        <f>'4E'!AO28</f>
        <v>B0508TAS</v>
      </c>
      <c r="C506" s="219" t="s">
        <v>2377</v>
      </c>
      <c r="E506" s="249" t="s">
        <v>634</v>
      </c>
      <c r="F506" s="255">
        <f>IF(ISBLANK('4E'!M28),"##BLANK",'4E'!M28)</f>
        <v>9.929000000000002</v>
      </c>
    </row>
    <row r="507" spans="2:6">
      <c r="B507" s="219" t="str">
        <f>'4E'!AG30</f>
        <v>BM825F</v>
      </c>
      <c r="C507" s="219" t="s">
        <v>2515</v>
      </c>
      <c r="E507" s="249" t="s">
        <v>634</v>
      </c>
      <c r="F507" s="255">
        <f>IF(ISBLANK('4E'!E30),"##BLANK",'4E'!E30)</f>
        <v>65.721999999999994</v>
      </c>
    </row>
    <row r="508" spans="2:6">
      <c r="B508" s="219" t="str">
        <f>'4E'!AH30</f>
        <v>BM825SWD</v>
      </c>
      <c r="C508" s="219" t="s">
        <v>2516</v>
      </c>
      <c r="E508" s="249" t="s">
        <v>634</v>
      </c>
      <c r="F508" s="255">
        <f>IF(ISBLANK('4E'!F30),"##BLANK",'4E'!F30)</f>
        <v>27.432999999999993</v>
      </c>
    </row>
    <row r="509" spans="2:6">
      <c r="B509" s="219" t="str">
        <f>'4E'!AI30</f>
        <v>BM825HD</v>
      </c>
      <c r="C509" s="219" t="s">
        <v>2517</v>
      </c>
      <c r="E509" s="249" t="s">
        <v>634</v>
      </c>
      <c r="F509" s="255">
        <f>IF(ISBLANK('4E'!G30),"##BLANK",'4E'!G30)</f>
        <v>14.432000000000002</v>
      </c>
    </row>
    <row r="510" spans="2:6">
      <c r="B510" s="219" t="str">
        <f>'4E'!AJ30</f>
        <v>BM825STD</v>
      </c>
      <c r="C510" s="219" t="s">
        <v>2518</v>
      </c>
      <c r="E510" s="249" t="s">
        <v>634</v>
      </c>
      <c r="F510" s="255">
        <f>IF(ISBLANK('4E'!H30),"##BLANK",'4E'!H30)</f>
        <v>176.67500000000001</v>
      </c>
    </row>
    <row r="511" spans="2:6">
      <c r="B511" s="219" t="str">
        <f>'4E'!AK30</f>
        <v>BM825SLT</v>
      </c>
      <c r="C511" s="219" t="s">
        <v>2519</v>
      </c>
      <c r="E511" s="249" t="s">
        <v>634</v>
      </c>
      <c r="F511" s="255">
        <f>IF(ISBLANK('4E'!I30),"##BLANK",'4E'!I30)</f>
        <v>5.7</v>
      </c>
    </row>
    <row r="512" spans="2:6">
      <c r="B512" s="219" t="str">
        <f>'4E'!AL30</f>
        <v>BM825STP</v>
      </c>
      <c r="C512" s="219" t="s">
        <v>2520</v>
      </c>
      <c r="E512" s="249" t="s">
        <v>634</v>
      </c>
      <c r="F512" s="255">
        <f>IF(ISBLANK('4E'!J30),"##BLANK",'4E'!J30)</f>
        <v>7.4879999999999995</v>
      </c>
    </row>
    <row r="513" spans="2:6">
      <c r="B513" s="219" t="str">
        <f>'4E'!AM30</f>
        <v>BM825SDT</v>
      </c>
      <c r="C513" s="219" t="s">
        <v>2521</v>
      </c>
      <c r="E513" s="249" t="s">
        <v>634</v>
      </c>
      <c r="F513" s="255">
        <f>IF(ISBLANK('4E'!K30),"##BLANK",'4E'!K30)</f>
        <v>20.933999999999997</v>
      </c>
    </row>
    <row r="514" spans="2:6">
      <c r="B514" s="219" t="str">
        <f>'4E'!AN30</f>
        <v>BM825SDD</v>
      </c>
      <c r="C514" s="219" t="s">
        <v>2522</v>
      </c>
      <c r="E514" s="249" t="s">
        <v>634</v>
      </c>
      <c r="F514" s="255">
        <f>IF(ISBLANK('4E'!L30),"##BLANK",'4E'!L30)</f>
        <v>5.4429999999999996</v>
      </c>
    </row>
    <row r="515" spans="2:6">
      <c r="B515" s="219" t="str">
        <f>'4E'!AO30</f>
        <v>BM825TAS</v>
      </c>
      <c r="C515" s="219" t="s">
        <v>2523</v>
      </c>
      <c r="E515" s="249" t="s">
        <v>634</v>
      </c>
      <c r="F515" s="255">
        <f>IF(ISBLANK('4E'!M30),"##BLANK",'4E'!M30)</f>
        <v>323.827</v>
      </c>
    </row>
    <row r="516" spans="2:6">
      <c r="B516" s="219" t="str">
        <f>'4E'!AG33</f>
        <v>CR00559F</v>
      </c>
      <c r="C516" s="219" t="s">
        <v>2524</v>
      </c>
      <c r="E516" s="249" t="s">
        <v>634</v>
      </c>
      <c r="F516" s="255">
        <f>IF(ISBLANK('4E'!E33),"##BLANK",'4E'!E33)</f>
        <v>0</v>
      </c>
    </row>
    <row r="517" spans="2:6">
      <c r="B517" s="219" t="str">
        <f>'4E'!AH33</f>
        <v>CR00559SWD</v>
      </c>
      <c r="C517" s="219" t="s">
        <v>2525</v>
      </c>
      <c r="E517" s="249" t="s">
        <v>634</v>
      </c>
      <c r="F517" s="255">
        <f>IF(ISBLANK('4E'!F33),"##BLANK",'4E'!F33)</f>
        <v>0</v>
      </c>
    </row>
    <row r="518" spans="2:6">
      <c r="B518" s="219" t="str">
        <f>'4E'!AI33</f>
        <v>CR00559HD</v>
      </c>
      <c r="C518" s="219" t="s">
        <v>2526</v>
      </c>
      <c r="E518" s="249" t="s">
        <v>634</v>
      </c>
      <c r="F518" s="255">
        <f>IF(ISBLANK('4E'!G33),"##BLANK",'4E'!G33)</f>
        <v>0</v>
      </c>
    </row>
    <row r="519" spans="2:6">
      <c r="B519" s="219" t="str">
        <f>'4E'!AJ33</f>
        <v>CR00559STD</v>
      </c>
      <c r="C519" s="219" t="s">
        <v>2527</v>
      </c>
      <c r="E519" s="249" t="s">
        <v>634</v>
      </c>
      <c r="F519" s="255">
        <f>IF(ISBLANK('4E'!H33),"##BLANK",'4E'!H33)</f>
        <v>0</v>
      </c>
    </row>
    <row r="520" spans="2:6">
      <c r="B520" s="219" t="str">
        <f>'4E'!AK33</f>
        <v>CR00559SLT</v>
      </c>
      <c r="C520" s="219" t="s">
        <v>2528</v>
      </c>
      <c r="E520" s="249" t="s">
        <v>634</v>
      </c>
      <c r="F520" s="255">
        <f>IF(ISBLANK('4E'!I33),"##BLANK",'4E'!I33)</f>
        <v>0</v>
      </c>
    </row>
    <row r="521" spans="2:6">
      <c r="B521" s="219" t="str">
        <f>'4E'!AL33</f>
        <v>CR00559STP</v>
      </c>
      <c r="C521" s="219" t="s">
        <v>2529</v>
      </c>
      <c r="E521" s="249" t="s">
        <v>634</v>
      </c>
      <c r="F521" s="255">
        <f>IF(ISBLANK('4E'!J33),"##BLANK",'4E'!J33)</f>
        <v>0</v>
      </c>
    </row>
    <row r="522" spans="2:6">
      <c r="B522" s="219" t="str">
        <f>'4E'!AM33</f>
        <v>CR00559SDT</v>
      </c>
      <c r="C522" s="219" t="s">
        <v>2530</v>
      </c>
      <c r="E522" s="249" t="s">
        <v>634</v>
      </c>
      <c r="F522" s="255">
        <f>IF(ISBLANK('4E'!K33),"##BLANK",'4E'!K33)</f>
        <v>0</v>
      </c>
    </row>
    <row r="523" spans="2:6">
      <c r="B523" s="219" t="str">
        <f>'4E'!AN33</f>
        <v>CR00559SDD</v>
      </c>
      <c r="C523" s="219" t="s">
        <v>2531</v>
      </c>
      <c r="E523" s="249" t="s">
        <v>634</v>
      </c>
      <c r="F523" s="255">
        <f>IF(ISBLANK('4E'!L33),"##BLANK",'4E'!L33)</f>
        <v>0</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f>IF(ISBLANK('4E'!E34),"##BLANK",'4E'!E34)</f>
        <v>0</v>
      </c>
    </row>
    <row r="526" spans="2:6">
      <c r="B526" s="219" t="str">
        <f>'4E'!AH34</f>
        <v>CR00562SWD</v>
      </c>
      <c r="C526" s="219" t="s">
        <v>2534</v>
      </c>
      <c r="E526" s="249" t="s">
        <v>634</v>
      </c>
      <c r="F526" s="255">
        <f>IF(ISBLANK('4E'!F34),"##BLANK",'4E'!F34)</f>
        <v>0</v>
      </c>
    </row>
    <row r="527" spans="2:6">
      <c r="B527" s="219" t="str">
        <f>'4E'!AI34</f>
        <v>CR00562HD</v>
      </c>
      <c r="C527" s="219" t="s">
        <v>2535</v>
      </c>
      <c r="E527" s="249" t="s">
        <v>634</v>
      </c>
      <c r="F527" s="255">
        <f>IF(ISBLANK('4E'!G34),"##BLANK",'4E'!G34)</f>
        <v>0</v>
      </c>
    </row>
    <row r="528" spans="2:6">
      <c r="B528" s="219" t="str">
        <f>'4E'!AJ34</f>
        <v>CR00562STD</v>
      </c>
      <c r="C528" s="219" t="s">
        <v>2536</v>
      </c>
      <c r="E528" s="249" t="s">
        <v>634</v>
      </c>
      <c r="F528" s="255">
        <f>IF(ISBLANK('4E'!H34),"##BLANK",'4E'!H34)</f>
        <v>0</v>
      </c>
    </row>
    <row r="529" spans="2:6">
      <c r="B529" s="219" t="str">
        <f>'4E'!AK34</f>
        <v>CR00562SLT</v>
      </c>
      <c r="C529" s="219" t="s">
        <v>2537</v>
      </c>
      <c r="E529" s="249" t="s">
        <v>634</v>
      </c>
      <c r="F529" s="255">
        <f>IF(ISBLANK('4E'!I34),"##BLANK",'4E'!I34)</f>
        <v>0</v>
      </c>
    </row>
    <row r="530" spans="2:6">
      <c r="B530" s="219" t="str">
        <f>'4E'!AL34</f>
        <v>CR00562STP</v>
      </c>
      <c r="C530" s="219" t="s">
        <v>2538</v>
      </c>
      <c r="E530" s="249" t="s">
        <v>634</v>
      </c>
      <c r="F530" s="255">
        <f>IF(ISBLANK('4E'!J34),"##BLANK",'4E'!J34)</f>
        <v>0</v>
      </c>
    </row>
    <row r="531" spans="2:6">
      <c r="B531" s="219" t="str">
        <f>'4E'!AM34</f>
        <v>CR00562SDT</v>
      </c>
      <c r="C531" s="219" t="s">
        <v>2539</v>
      </c>
      <c r="E531" s="249" t="s">
        <v>634</v>
      </c>
      <c r="F531" s="255">
        <f>IF(ISBLANK('4E'!K34),"##BLANK",'4E'!K34)</f>
        <v>0</v>
      </c>
    </row>
    <row r="532" spans="2:6">
      <c r="B532" s="219" t="str">
        <f>'4E'!AN34</f>
        <v>CR00562SDD</v>
      </c>
      <c r="C532" s="219" t="s">
        <v>2540</v>
      </c>
      <c r="E532" s="249" t="s">
        <v>634</v>
      </c>
      <c r="F532" s="255">
        <f>IF(ISBLANK('4E'!L34),"##BLANK",'4E'!L34)</f>
        <v>0</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65.721999999999994</v>
      </c>
    </row>
    <row r="535" spans="2:6">
      <c r="B535" s="219" t="str">
        <f>'4E'!AH35</f>
        <v>S3040SWD</v>
      </c>
      <c r="C535" s="219" t="s">
        <v>2543</v>
      </c>
      <c r="E535" s="249" t="s">
        <v>634</v>
      </c>
      <c r="F535" s="255">
        <f>IF(ISBLANK('4E'!F35),"##BLANK",'4E'!F35)</f>
        <v>27.432999999999993</v>
      </c>
    </row>
    <row r="536" spans="2:6">
      <c r="B536" s="219" t="str">
        <f>'4E'!AI35</f>
        <v>S3040HD</v>
      </c>
      <c r="C536" s="219" t="s">
        <v>2544</v>
      </c>
      <c r="E536" s="249" t="s">
        <v>634</v>
      </c>
      <c r="F536" s="255">
        <f>IF(ISBLANK('4E'!G35),"##BLANK",'4E'!G35)</f>
        <v>14.432000000000002</v>
      </c>
    </row>
    <row r="537" spans="2:6">
      <c r="B537" s="219" t="str">
        <f>'4E'!AJ35</f>
        <v>S3040STD</v>
      </c>
      <c r="C537" s="219" t="s">
        <v>2545</v>
      </c>
      <c r="E537" s="249" t="s">
        <v>634</v>
      </c>
      <c r="F537" s="255">
        <f>IF(ISBLANK('4E'!H35),"##BLANK",'4E'!H35)</f>
        <v>176.67500000000001</v>
      </c>
    </row>
    <row r="538" spans="2:6">
      <c r="B538" s="219" t="str">
        <f>'4E'!AK35</f>
        <v>S3040SLT</v>
      </c>
      <c r="C538" s="219" t="s">
        <v>2546</v>
      </c>
      <c r="E538" s="249" t="s">
        <v>634</v>
      </c>
      <c r="F538" s="255">
        <f>IF(ISBLANK('4E'!I35),"##BLANK",'4E'!I35)</f>
        <v>5.7</v>
      </c>
    </row>
    <row r="539" spans="2:6">
      <c r="B539" s="219" t="str">
        <f>'4E'!AL35</f>
        <v>S3040STP</v>
      </c>
      <c r="C539" s="219" t="s">
        <v>2547</v>
      </c>
      <c r="E539" s="249" t="s">
        <v>634</v>
      </c>
      <c r="F539" s="255">
        <f>IF(ISBLANK('4E'!J35),"##BLANK",'4E'!J35)</f>
        <v>7.4879999999999995</v>
      </c>
    </row>
    <row r="540" spans="2:6">
      <c r="B540" s="219" t="str">
        <f>'4E'!AM35</f>
        <v>S3040SDT</v>
      </c>
      <c r="C540" s="219" t="s">
        <v>2548</v>
      </c>
      <c r="E540" s="249" t="s">
        <v>634</v>
      </c>
      <c r="F540" s="255">
        <f>IF(ISBLANK('4E'!K35),"##BLANK",'4E'!K35)</f>
        <v>20.933999999999997</v>
      </c>
    </row>
    <row r="541" spans="2:6">
      <c r="B541" s="219" t="str">
        <f>'4E'!AN35</f>
        <v>S3040SDD</v>
      </c>
      <c r="C541" s="219" t="s">
        <v>2549</v>
      </c>
      <c r="E541" s="249" t="s">
        <v>634</v>
      </c>
      <c r="F541" s="255">
        <f>IF(ISBLANK('4E'!L35),"##BLANK",'4E'!L35)</f>
        <v>5.4429999999999996</v>
      </c>
    </row>
    <row r="542" spans="2:6">
      <c r="B542" s="219" t="str">
        <f>'4E'!AO35</f>
        <v>S3040TOT</v>
      </c>
      <c r="C542" s="219" t="s">
        <v>2550</v>
      </c>
      <c r="E542" s="249" t="s">
        <v>634</v>
      </c>
      <c r="F542" s="255">
        <f>IF(ISBLANK('4E'!M35),"##BLANK",'4E'!M35)</f>
        <v>323.827</v>
      </c>
    </row>
    <row r="543" spans="2:6">
      <c r="B543" s="219" t="str">
        <f>'4E'!AG41</f>
        <v>BP3357001FL</v>
      </c>
      <c r="C543" s="219" t="s">
        <v>2551</v>
      </c>
      <c r="E543" s="249" t="s">
        <v>634</v>
      </c>
      <c r="F543" s="255">
        <f>IF(ISBLANK('4E'!E41),"##BLANK",'4E'!E41)</f>
        <v>2.9079999999999999</v>
      </c>
    </row>
    <row r="544" spans="2:6">
      <c r="B544" s="219" t="str">
        <f>'4E'!AH41</f>
        <v>BP3357001SWD</v>
      </c>
      <c r="C544" s="219" t="s">
        <v>2552</v>
      </c>
      <c r="E544" s="249" t="s">
        <v>634</v>
      </c>
      <c r="F544" s="255">
        <f>IF(ISBLANK('4E'!F41),"##BLANK",'4E'!F41)</f>
        <v>5.8000000000000003E-2</v>
      </c>
    </row>
    <row r="545" spans="2:6">
      <c r="B545" s="219" t="str">
        <f>'4E'!AI41</f>
        <v>BP3357001HD</v>
      </c>
      <c r="C545" s="219" t="s">
        <v>2553</v>
      </c>
      <c r="E545" s="249" t="s">
        <v>634</v>
      </c>
      <c r="F545" s="255">
        <f>IF(ISBLANK('4E'!G41),"##BLANK",'4E'!G41)</f>
        <v>3.3000000000000002E-2</v>
      </c>
    </row>
    <row r="546" spans="2:6">
      <c r="B546" s="219" t="str">
        <f>'4E'!AJ41</f>
        <v>BP3357001STD</v>
      </c>
      <c r="C546" s="219" t="s">
        <v>2554</v>
      </c>
      <c r="E546" s="249" t="s">
        <v>634</v>
      </c>
      <c r="F546" s="255">
        <f>IF(ISBLANK('4E'!H41),"##BLANK",'4E'!H41)</f>
        <v>2.347</v>
      </c>
    </row>
    <row r="547" spans="2:6">
      <c r="B547" s="219" t="str">
        <f>'4E'!AK41</f>
        <v>BP3357001SLT</v>
      </c>
      <c r="C547" s="219" t="s">
        <v>2555</v>
      </c>
      <c r="E547" s="249" t="s">
        <v>634</v>
      </c>
      <c r="F547" s="255">
        <f>IF(ISBLANK('4E'!I41),"##BLANK",'4E'!I41)</f>
        <v>7.0000000000000007E-2</v>
      </c>
    </row>
    <row r="548" spans="2:6">
      <c r="B548" s="219" t="str">
        <f>'4E'!AL41</f>
        <v>BP3357001STP</v>
      </c>
      <c r="C548" s="219" t="s">
        <v>2556</v>
      </c>
      <c r="E548" s="249" t="s">
        <v>634</v>
      </c>
      <c r="F548" s="255">
        <f>IF(ISBLANK('4E'!J41),"##BLANK",'4E'!J41)</f>
        <v>0.26600000000000001</v>
      </c>
    </row>
    <row r="549" spans="2:6">
      <c r="B549" s="219" t="str">
        <f>'4E'!AM41</f>
        <v>BP3357001SDT</v>
      </c>
      <c r="C549" s="219" t="s">
        <v>2557</v>
      </c>
      <c r="E549" s="249" t="s">
        <v>634</v>
      </c>
      <c r="F549" s="255">
        <f>IF(ISBLANK('4E'!K41),"##BLANK",'4E'!K41)</f>
        <v>0.66700000000000004</v>
      </c>
    </row>
    <row r="550" spans="2:6">
      <c r="B550" s="219" t="str">
        <f>'4E'!AN41</f>
        <v>BP3357001SDD</v>
      </c>
      <c r="C550" s="219" t="s">
        <v>2558</v>
      </c>
      <c r="E550" s="249" t="s">
        <v>634</v>
      </c>
      <c r="F550" s="255">
        <f>IF(ISBLANK('4E'!L41),"##BLANK",'4E'!L41)</f>
        <v>0.16800000000000001</v>
      </c>
    </row>
    <row r="551" spans="2:6">
      <c r="B551" s="219" t="str">
        <f>'4E'!AO41</f>
        <v>BP3357001CAS</v>
      </c>
      <c r="C551" s="219" t="s">
        <v>2406</v>
      </c>
      <c r="E551" s="249" t="s">
        <v>634</v>
      </c>
      <c r="F551" s="255">
        <f>IF(ISBLANK('4E'!M41),"##BLANK",'4E'!M41)</f>
        <v>6.5170000000000003</v>
      </c>
    </row>
    <row r="552" spans="2:6">
      <c r="B552" s="219" t="str">
        <f>'4E'!AG42</f>
        <v>BP3357002FL</v>
      </c>
      <c r="C552" s="219" t="s">
        <v>2559</v>
      </c>
      <c r="E552" s="249" t="s">
        <v>634</v>
      </c>
      <c r="F552" s="255">
        <f>IF(ISBLANK('4E'!E42),"##BLANK",'4E'!E42)</f>
        <v>1.149</v>
      </c>
    </row>
    <row r="553" spans="2:6">
      <c r="B553" s="219" t="str">
        <f>'4E'!AH42</f>
        <v>BP3357002SWD</v>
      </c>
      <c r="C553" s="219" t="s">
        <v>2560</v>
      </c>
      <c r="E553" s="249" t="s">
        <v>634</v>
      </c>
      <c r="F553" s="255">
        <f>IF(ISBLANK('4E'!F42),"##BLANK",'4E'!F42)</f>
        <v>1.9E-2</v>
      </c>
    </row>
    <row r="554" spans="2:6">
      <c r="B554" s="219" t="str">
        <f>'4E'!AI42</f>
        <v>BP3357002HD</v>
      </c>
      <c r="C554" s="219" t="s">
        <v>2561</v>
      </c>
      <c r="E554" s="249" t="s">
        <v>634</v>
      </c>
      <c r="F554" s="255">
        <f>IF(ISBLANK('4E'!G42),"##BLANK",'4E'!G42)</f>
        <v>1.0999999999999999E-2</v>
      </c>
    </row>
    <row r="555" spans="2:6">
      <c r="B555" s="219" t="str">
        <f>'4E'!AJ42</f>
        <v>BP3357002STD</v>
      </c>
      <c r="C555" s="219" t="s">
        <v>2562</v>
      </c>
      <c r="E555" s="249" t="s">
        <v>634</v>
      </c>
      <c r="F555" s="255">
        <f>IF(ISBLANK('4E'!H42),"##BLANK",'4E'!H42)</f>
        <v>0.85</v>
      </c>
    </row>
    <row r="556" spans="2:6">
      <c r="B556" s="219" t="str">
        <f>'4E'!AK42</f>
        <v>BP3357002SLT</v>
      </c>
      <c r="C556" s="219" t="s">
        <v>2563</v>
      </c>
      <c r="E556" s="249" t="s">
        <v>634</v>
      </c>
      <c r="F556" s="255">
        <f>IF(ISBLANK('4E'!I42),"##BLANK",'4E'!I42)</f>
        <v>2.5999999999999999E-2</v>
      </c>
    </row>
    <row r="557" spans="2:6">
      <c r="B557" s="219" t="str">
        <f>'4E'!AL42</f>
        <v>BP3357002STP</v>
      </c>
      <c r="C557" s="219" t="s">
        <v>2564</v>
      </c>
      <c r="E557" s="249" t="s">
        <v>634</v>
      </c>
      <c r="F557" s="255">
        <f>IF(ISBLANK('4E'!J42),"##BLANK",'4E'!J42)</f>
        <v>0.13300000000000001</v>
      </c>
    </row>
    <row r="558" spans="2:6">
      <c r="B558" s="219" t="str">
        <f>'4E'!AM42</f>
        <v>BP3357002SDT</v>
      </c>
      <c r="C558" s="219" t="s">
        <v>2565</v>
      </c>
      <c r="E558" s="249" t="s">
        <v>634</v>
      </c>
      <c r="F558" s="255">
        <f>IF(ISBLANK('4E'!K42),"##BLANK",'4E'!K42)</f>
        <v>0.38</v>
      </c>
    </row>
    <row r="559" spans="2:6">
      <c r="B559" s="219" t="str">
        <f>'4E'!AN42</f>
        <v>BP3357002SDD</v>
      </c>
      <c r="C559" s="219" t="s">
        <v>2566</v>
      </c>
      <c r="E559" s="249" t="s">
        <v>634</v>
      </c>
      <c r="F559" s="255">
        <f>IF(ISBLANK('4E'!L42),"##BLANK",'4E'!L42)</f>
        <v>8.8999999999999996E-2</v>
      </c>
    </row>
    <row r="560" spans="2:6">
      <c r="B560" s="219" t="str">
        <f>'4E'!AO42</f>
        <v>BP3357002CAS</v>
      </c>
      <c r="C560" s="219" t="s">
        <v>2411</v>
      </c>
      <c r="E560" s="249" t="s">
        <v>634</v>
      </c>
      <c r="F560" s="255">
        <f>IF(ISBLANK('4E'!M42),"##BLANK",'4E'!M42)</f>
        <v>2.6569999999999996</v>
      </c>
    </row>
    <row r="561" spans="2:6">
      <c r="B561" s="219" t="str">
        <f>'4E'!AG43</f>
        <v>BP3357003FL</v>
      </c>
      <c r="C561" s="219" t="s">
        <v>2567</v>
      </c>
      <c r="E561" s="249" t="s">
        <v>634</v>
      </c>
      <c r="F561" s="255">
        <f>IF(ISBLANK('4E'!E43),"##BLANK",'4E'!E43)</f>
        <v>0.91300000000000003</v>
      </c>
    </row>
    <row r="562" spans="2:6">
      <c r="B562" s="219" t="str">
        <f>'4E'!AH43</f>
        <v>BP3357003SWD</v>
      </c>
      <c r="C562" s="219" t="s">
        <v>2568</v>
      </c>
      <c r="E562" s="249" t="s">
        <v>634</v>
      </c>
      <c r="F562" s="255">
        <f>IF(ISBLANK('4E'!F43),"##BLANK",'4E'!F43)</f>
        <v>0</v>
      </c>
    </row>
    <row r="563" spans="2:6">
      <c r="B563" s="219" t="str">
        <f>'4E'!AI43</f>
        <v>BP3357003HD</v>
      </c>
      <c r="C563" s="219" t="s">
        <v>2569</v>
      </c>
      <c r="E563" s="249" t="s">
        <v>634</v>
      </c>
      <c r="F563" s="255">
        <f>IF(ISBLANK('4E'!G43),"##BLANK",'4E'!G43)</f>
        <v>0</v>
      </c>
    </row>
    <row r="564" spans="2:6">
      <c r="B564" s="219" t="str">
        <f>'4E'!AJ43</f>
        <v>BP3357003STD</v>
      </c>
      <c r="C564" s="219" t="s">
        <v>2570</v>
      </c>
      <c r="E564" s="249" t="s">
        <v>634</v>
      </c>
      <c r="F564" s="255">
        <f>IF(ISBLANK('4E'!H43),"##BLANK",'4E'!H43)</f>
        <v>0</v>
      </c>
    </row>
    <row r="565" spans="2:6">
      <c r="B565" s="219" t="str">
        <f>'4E'!AK43</f>
        <v>BP3357003SLT</v>
      </c>
      <c r="C565" s="219" t="s">
        <v>2571</v>
      </c>
      <c r="E565" s="249" t="s">
        <v>634</v>
      </c>
      <c r="F565" s="255">
        <f>IF(ISBLANK('4E'!I43),"##BLANK",'4E'!I43)</f>
        <v>0</v>
      </c>
    </row>
    <row r="566" spans="2:6">
      <c r="B566" s="219" t="str">
        <f>'4E'!AL43</f>
        <v>BP3357003STP</v>
      </c>
      <c r="C566" s="219" t="s">
        <v>2572</v>
      </c>
      <c r="E566" s="249" t="s">
        <v>634</v>
      </c>
      <c r="F566" s="255">
        <f>IF(ISBLANK('4E'!J43),"##BLANK",'4E'!J43)</f>
        <v>0</v>
      </c>
    </row>
    <row r="567" spans="2:6">
      <c r="B567" s="219" t="str">
        <f>'4E'!AM43</f>
        <v>BP3357003SDT</v>
      </c>
      <c r="C567" s="219" t="s">
        <v>2573</v>
      </c>
      <c r="E567" s="249" t="s">
        <v>634</v>
      </c>
      <c r="F567" s="255">
        <f>IF(ISBLANK('4E'!K43),"##BLANK",'4E'!K43)</f>
        <v>0</v>
      </c>
    </row>
    <row r="568" spans="2:6">
      <c r="B568" s="219" t="str">
        <f>'4E'!AN43</f>
        <v>BP3357003SDD</v>
      </c>
      <c r="C568" s="219" t="s">
        <v>2574</v>
      </c>
      <c r="E568" s="249" t="s">
        <v>634</v>
      </c>
      <c r="F568" s="255">
        <f>IF(ISBLANK('4E'!L43),"##BLANK",'4E'!L43)</f>
        <v>0</v>
      </c>
    </row>
    <row r="569" spans="2:6">
      <c r="B569" s="219" t="str">
        <f>'4E'!AO43</f>
        <v>BP3357003CAS</v>
      </c>
      <c r="C569" s="219" t="s">
        <v>2416</v>
      </c>
      <c r="E569" s="249" t="s">
        <v>634</v>
      </c>
      <c r="F569" s="255">
        <f>IF(ISBLANK('4E'!M43),"##BLANK",'4E'!M43)</f>
        <v>0.91300000000000003</v>
      </c>
    </row>
    <row r="570" spans="2:6">
      <c r="B570" s="219" t="str">
        <f>'4E'!AG44</f>
        <v>BP3357004FL</v>
      </c>
      <c r="C570" s="219" t="s">
        <v>2575</v>
      </c>
      <c r="E570" s="249" t="s">
        <v>634</v>
      </c>
      <c r="F570" s="255">
        <f>IF(ISBLANK('4E'!E44),"##BLANK",'4E'!E44)</f>
        <v>0</v>
      </c>
    </row>
    <row r="571" spans="2:6">
      <c r="B571" s="219" t="str">
        <f>'4E'!AH44</f>
        <v>BP3357004SWD</v>
      </c>
      <c r="C571" s="219" t="s">
        <v>2576</v>
      </c>
      <c r="E571" s="249" t="s">
        <v>634</v>
      </c>
      <c r="F571" s="255">
        <f>IF(ISBLANK('4E'!F44),"##BLANK",'4E'!F44)</f>
        <v>0</v>
      </c>
    </row>
    <row r="572" spans="2:6">
      <c r="B572" s="219" t="str">
        <f>'4E'!AI44</f>
        <v>BP3357004HD</v>
      </c>
      <c r="C572" s="219" t="s">
        <v>2577</v>
      </c>
      <c r="E572" s="249" t="s">
        <v>634</v>
      </c>
      <c r="F572" s="255">
        <f>IF(ISBLANK('4E'!G44),"##BLANK",'4E'!G44)</f>
        <v>0</v>
      </c>
    </row>
    <row r="573" spans="2:6">
      <c r="B573" s="219" t="str">
        <f>'4E'!AJ44</f>
        <v>BP3357004STD</v>
      </c>
      <c r="C573" s="219" t="s">
        <v>2578</v>
      </c>
      <c r="E573" s="249" t="s">
        <v>634</v>
      </c>
      <c r="F573" s="255">
        <f>IF(ISBLANK('4E'!H44),"##BLANK",'4E'!H44)</f>
        <v>0</v>
      </c>
    </row>
    <row r="574" spans="2:6">
      <c r="B574" s="219" t="str">
        <f>'4E'!AK44</f>
        <v>BP3357004SLT</v>
      </c>
      <c r="C574" s="219" t="s">
        <v>2579</v>
      </c>
      <c r="E574" s="249" t="s">
        <v>634</v>
      </c>
      <c r="F574" s="255">
        <f>IF(ISBLANK('4E'!I44),"##BLANK",'4E'!I44)</f>
        <v>0</v>
      </c>
    </row>
    <row r="575" spans="2:6">
      <c r="B575" s="219" t="str">
        <f>'4E'!AL44</f>
        <v>BP3357004STP</v>
      </c>
      <c r="C575" s="219" t="s">
        <v>2580</v>
      </c>
      <c r="E575" s="249" t="s">
        <v>634</v>
      </c>
      <c r="F575" s="255">
        <f>IF(ISBLANK('4E'!J44),"##BLANK",'4E'!J44)</f>
        <v>0</v>
      </c>
    </row>
    <row r="576" spans="2:6">
      <c r="B576" s="219" t="str">
        <f>'4E'!AM44</f>
        <v>BP3357004SDT</v>
      </c>
      <c r="C576" s="219" t="s">
        <v>2581</v>
      </c>
      <c r="E576" s="249" t="s">
        <v>634</v>
      </c>
      <c r="F576" s="255">
        <f>IF(ISBLANK('4E'!K44),"##BLANK",'4E'!K44)</f>
        <v>0</v>
      </c>
    </row>
    <row r="577" spans="2:6">
      <c r="B577" s="219" t="str">
        <f>'4E'!AN44</f>
        <v>BP3357004SDD</v>
      </c>
      <c r="C577" s="219" t="s">
        <v>2582</v>
      </c>
      <c r="E577" s="249" t="s">
        <v>634</v>
      </c>
      <c r="F577" s="255">
        <f>IF(ISBLANK('4E'!L44),"##BLANK",'4E'!L44)</f>
        <v>0</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f>IF(ISBLANK('4E'!E45),"##BLANK",'4E'!E45)</f>
        <v>0</v>
      </c>
    </row>
    <row r="580" spans="2:6">
      <c r="B580" s="219" t="str">
        <f>'4E'!AH45</f>
        <v>BP3357005SWD</v>
      </c>
      <c r="C580" s="219" t="s">
        <v>2584</v>
      </c>
      <c r="E580" s="249" t="s">
        <v>634</v>
      </c>
      <c r="F580" s="255">
        <f>IF(ISBLANK('4E'!F45),"##BLANK",'4E'!F45)</f>
        <v>0</v>
      </c>
    </row>
    <row r="581" spans="2:6">
      <c r="B581" s="219" t="str">
        <f>'4E'!AI45</f>
        <v>BP3357005HD</v>
      </c>
      <c r="C581" s="219" t="s">
        <v>2585</v>
      </c>
      <c r="E581" s="249" t="s">
        <v>634</v>
      </c>
      <c r="F581" s="255">
        <f>IF(ISBLANK('4E'!G45),"##BLANK",'4E'!G45)</f>
        <v>0</v>
      </c>
    </row>
    <row r="582" spans="2:6">
      <c r="B582" s="219" t="str">
        <f>'4E'!AJ45</f>
        <v>BP3357005STD</v>
      </c>
      <c r="C582" s="219" t="s">
        <v>2586</v>
      </c>
      <c r="E582" s="249" t="s">
        <v>634</v>
      </c>
      <c r="F582" s="255">
        <f>IF(ISBLANK('4E'!H45),"##BLANK",'4E'!H45)</f>
        <v>0</v>
      </c>
    </row>
    <row r="583" spans="2:6">
      <c r="B583" s="219" t="str">
        <f>'4E'!AK45</f>
        <v>BP3357005SLT</v>
      </c>
      <c r="C583" s="219" t="s">
        <v>2587</v>
      </c>
      <c r="E583" s="249" t="s">
        <v>634</v>
      </c>
      <c r="F583" s="255">
        <f>IF(ISBLANK('4E'!I45),"##BLANK",'4E'!I45)</f>
        <v>0</v>
      </c>
    </row>
    <row r="584" spans="2:6">
      <c r="B584" s="219" t="str">
        <f>'4E'!AL45</f>
        <v>BP3357005STP</v>
      </c>
      <c r="C584" s="219" t="s">
        <v>2588</v>
      </c>
      <c r="E584" s="249" t="s">
        <v>634</v>
      </c>
      <c r="F584" s="255">
        <f>IF(ISBLANK('4E'!J45),"##BLANK",'4E'!J45)</f>
        <v>0</v>
      </c>
    </row>
    <row r="585" spans="2:6">
      <c r="B585" s="219" t="str">
        <f>'4E'!AM45</f>
        <v>BP3357005SDT</v>
      </c>
      <c r="C585" s="219" t="s">
        <v>2589</v>
      </c>
      <c r="E585" s="249" t="s">
        <v>634</v>
      </c>
      <c r="F585" s="255">
        <f>IF(ISBLANK('4E'!K45),"##BLANK",'4E'!K45)</f>
        <v>0</v>
      </c>
    </row>
    <row r="586" spans="2:6">
      <c r="B586" s="219" t="str">
        <f>'4E'!AN45</f>
        <v>BP3357005SDD</v>
      </c>
      <c r="C586" s="219" t="s">
        <v>2590</v>
      </c>
      <c r="E586" s="249" t="s">
        <v>634</v>
      </c>
      <c r="F586" s="255">
        <f>IF(ISBLANK('4E'!L45),"##BLANK",'4E'!L45)</f>
        <v>0</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4.9700000000000006</v>
      </c>
    </row>
    <row r="589" spans="2:6">
      <c r="B589" s="219" t="str">
        <f>'4E'!AH46</f>
        <v>BP3357020SWD</v>
      </c>
      <c r="C589" s="219" t="s">
        <v>2592</v>
      </c>
      <c r="E589" s="249" t="s">
        <v>634</v>
      </c>
      <c r="F589" s="255">
        <f>IF(ISBLANK('4E'!F46),"##BLANK",'4E'!F46)</f>
        <v>7.6999999999999999E-2</v>
      </c>
    </row>
    <row r="590" spans="2:6">
      <c r="B590" s="219" t="str">
        <f>'4E'!AI46</f>
        <v>BP3357020HD</v>
      </c>
      <c r="C590" s="219" t="s">
        <v>2593</v>
      </c>
      <c r="E590" s="249" t="s">
        <v>634</v>
      </c>
      <c r="F590" s="255">
        <f>IF(ISBLANK('4E'!G46),"##BLANK",'4E'!G46)</f>
        <v>4.3999999999999997E-2</v>
      </c>
    </row>
    <row r="591" spans="2:6">
      <c r="B591" s="219" t="str">
        <f>'4E'!AJ46</f>
        <v>BP3357020STD</v>
      </c>
      <c r="C591" s="219" t="s">
        <v>2594</v>
      </c>
      <c r="E591" s="249" t="s">
        <v>634</v>
      </c>
      <c r="F591" s="255">
        <f>IF(ISBLANK('4E'!H46),"##BLANK",'4E'!H46)</f>
        <v>3.1970000000000001</v>
      </c>
    </row>
    <row r="592" spans="2:6">
      <c r="B592" s="219" t="str">
        <f>'4E'!AK46</f>
        <v>BP3357020SLT</v>
      </c>
      <c r="C592" s="219" t="s">
        <v>2595</v>
      </c>
      <c r="E592" s="249" t="s">
        <v>634</v>
      </c>
      <c r="F592" s="255">
        <f>IF(ISBLANK('4E'!I46),"##BLANK",'4E'!I46)</f>
        <v>9.6000000000000002E-2</v>
      </c>
    </row>
    <row r="593" spans="2:6">
      <c r="B593" s="219" t="str">
        <f>'4E'!AL46</f>
        <v>BP3357020STP</v>
      </c>
      <c r="C593" s="219" t="s">
        <v>2596</v>
      </c>
      <c r="E593" s="249" t="s">
        <v>634</v>
      </c>
      <c r="F593" s="255">
        <f>IF(ISBLANK('4E'!J46),"##BLANK",'4E'!J46)</f>
        <v>0.39900000000000002</v>
      </c>
    </row>
    <row r="594" spans="2:6">
      <c r="B594" s="219" t="str">
        <f>'4E'!AM46</f>
        <v>BP3357020SDT</v>
      </c>
      <c r="C594" s="219" t="s">
        <v>2597</v>
      </c>
      <c r="E594" s="249" t="s">
        <v>634</v>
      </c>
      <c r="F594" s="255">
        <f>IF(ISBLANK('4E'!K46),"##BLANK",'4E'!K46)</f>
        <v>1.0470000000000002</v>
      </c>
    </row>
    <row r="595" spans="2:6">
      <c r="B595" s="219" t="str">
        <f>'4E'!AN46</f>
        <v>BP3357020SDD</v>
      </c>
      <c r="C595" s="219" t="s">
        <v>2598</v>
      </c>
      <c r="E595" s="249" t="s">
        <v>634</v>
      </c>
      <c r="F595" s="255">
        <f>IF(ISBLANK('4E'!L46),"##BLANK",'4E'!L46)</f>
        <v>0.25700000000000001</v>
      </c>
    </row>
    <row r="596" spans="2:6">
      <c r="B596" s="219" t="str">
        <f>'4E'!AO46</f>
        <v>BP3357020CAS</v>
      </c>
      <c r="C596" s="219" t="s">
        <v>2432</v>
      </c>
      <c r="E596" s="249" t="s">
        <v>634</v>
      </c>
      <c r="F596" s="255">
        <f>IF(ISBLANK('4E'!M46),"##BLANK",'4E'!M46)</f>
        <v>10.087000000000002</v>
      </c>
    </row>
    <row r="597" spans="2:6">
      <c r="B597" s="1781" t="str">
        <f>'4H'!T9</f>
        <v>RCT00600</v>
      </c>
      <c r="C597" s="219" t="s">
        <v>2599</v>
      </c>
      <c r="E597" s="249" t="s">
        <v>634</v>
      </c>
      <c r="F597" s="255">
        <f>IF(ISBLANK('4H'!E9),"##BLANK",'4H'!E9)</f>
        <v>2988.3500000000004</v>
      </c>
    </row>
    <row r="598" spans="2:6">
      <c r="B598" s="254" t="str">
        <f>'4H'!T10</f>
        <v>FI00300</v>
      </c>
      <c r="C598" s="219" t="s">
        <v>990</v>
      </c>
      <c r="E598" s="249" t="s">
        <v>634</v>
      </c>
      <c r="F598" s="258">
        <f>IF(ISBLANK('4H'!E10),"##BLANK",'4H'!E10)</f>
        <v>0.58266800323883206</v>
      </c>
    </row>
    <row r="599" spans="2:6">
      <c r="B599" s="254" t="str">
        <f>'4H'!T11</f>
        <v>T19004PT</v>
      </c>
      <c r="C599" s="219" t="s">
        <v>2600</v>
      </c>
      <c r="E599" s="249" t="s">
        <v>634</v>
      </c>
      <c r="F599" s="255">
        <f>IF(ISBLANK('4H'!E11),"##BLANK",'4H'!E11)</f>
        <v>-0.18129999999999999</v>
      </c>
    </row>
    <row r="600" spans="2:6">
      <c r="B600" s="254" t="str">
        <f>'4H'!T13</f>
        <v>CR1050</v>
      </c>
      <c r="C600" s="219" t="s">
        <v>2601</v>
      </c>
      <c r="E600" s="249" t="s">
        <v>634</v>
      </c>
      <c r="F600" s="255">
        <f>IF(ISBLANK('4H'!E13),"##BLANK",'4H'!E13)</f>
        <v>0</v>
      </c>
    </row>
    <row r="601" spans="2:6">
      <c r="B601" s="254" t="str">
        <f>'4H'!T14</f>
        <v>R5004HH</v>
      </c>
      <c r="C601" s="219" t="s">
        <v>2602</v>
      </c>
      <c r="E601" s="249" t="s">
        <v>634</v>
      </c>
      <c r="F601" s="255">
        <f>IF(ISBLANK('4H'!E14),"##BLANK",'4H'!E14)</f>
        <v>-4.3883899809746184E-2</v>
      </c>
    </row>
    <row r="602" spans="2:6">
      <c r="B602" s="254" t="str">
        <f>'4H'!T15</f>
        <v>R5004NH</v>
      </c>
      <c r="C602" s="219" t="s">
        <v>2603</v>
      </c>
      <c r="E602" s="249" t="s">
        <v>634</v>
      </c>
      <c r="F602" s="255">
        <f>IF(ISBLANK('4H'!E15),"##BLANK",'4H'!E15)</f>
        <v>7.0152772111156479E-3</v>
      </c>
    </row>
    <row r="603" spans="2:6">
      <c r="B603" s="219" t="str">
        <f>'4H'!T16</f>
        <v>B0203FMCRF</v>
      </c>
      <c r="C603" s="219" t="s">
        <v>2604</v>
      </c>
      <c r="E603" s="249" t="s">
        <v>634</v>
      </c>
      <c r="F603" s="255" t="str">
        <f>IF(ISBLANK('4H'!E16),"##BLANK",'4H'!E16)</f>
        <v>A (Stable)</v>
      </c>
    </row>
    <row r="604" spans="2:6">
      <c r="B604" s="219" t="str">
        <f>'4H'!T17</f>
        <v>B0203FMCRM</v>
      </c>
      <c r="C604" s="219" t="s">
        <v>2605</v>
      </c>
      <c r="E604" s="249" t="s">
        <v>634</v>
      </c>
      <c r="F604" s="255" t="str">
        <f>IF(ISBLANK('4H'!E17),"##BLANK",'4H'!E17)</f>
        <v>A3 (Stable)</v>
      </c>
    </row>
    <row r="605" spans="2:6">
      <c r="B605" s="219" t="str">
        <f>'4H'!T18</f>
        <v>B0203FMCRS</v>
      </c>
      <c r="C605" s="219" t="s">
        <v>2606</v>
      </c>
      <c r="E605" s="249" t="s">
        <v>634</v>
      </c>
      <c r="F605" s="255" t="str">
        <f>IF(ISBLANK('4H'!E18),"##BLANK",'4H'!E18)</f>
        <v>A- (Negative)</v>
      </c>
    </row>
    <row r="606" spans="2:6">
      <c r="B606" s="254" t="str">
        <f>'4H'!T19</f>
        <v>CR19006</v>
      </c>
      <c r="C606" s="219" t="s">
        <v>2607</v>
      </c>
      <c r="E606" s="249" t="s">
        <v>634</v>
      </c>
      <c r="F606" s="255">
        <f>IF(ISBLANK('4H'!E19),"##BLANK",'4H'!E19)</f>
        <v>2.9999999999999997E-4</v>
      </c>
    </row>
    <row r="607" spans="2:6">
      <c r="B607" s="1781" t="str">
        <f>'4H'!T20</f>
        <v>CR2610</v>
      </c>
      <c r="C607" s="219" t="s">
        <v>2608</v>
      </c>
      <c r="E607" s="249" t="s">
        <v>634</v>
      </c>
      <c r="F607" s="255">
        <f>IF(ISBLANK('4H'!E20),"##BLANK",'4H'!E20)</f>
        <v>0</v>
      </c>
    </row>
    <row r="608" spans="2:6">
      <c r="B608" s="1781" t="str">
        <f>'4H'!T21</f>
        <v>A14025</v>
      </c>
      <c r="C608" s="219" t="s">
        <v>2609</v>
      </c>
      <c r="E608" s="249" t="s">
        <v>634</v>
      </c>
      <c r="F608" s="255">
        <f>IF(ISBLANK('4H'!E21),"##BLANK",'4H'!E21)</f>
        <v>250.32900000000012</v>
      </c>
    </row>
    <row r="609" spans="2:6">
      <c r="B609" s="219" t="str">
        <f>'4H'!T22</f>
        <v>CR1051</v>
      </c>
      <c r="C609" s="219" t="s">
        <v>2610</v>
      </c>
      <c r="E609" s="249" t="s">
        <v>634</v>
      </c>
      <c r="F609" s="255">
        <f>IF(ISBLANK('4H'!E22),"##BLANK",'4H'!E22)</f>
        <v>2.82</v>
      </c>
    </row>
    <row r="610" spans="2:6">
      <c r="B610" s="219" t="str">
        <f>'4H'!T23</f>
        <v>CR1052</v>
      </c>
      <c r="C610" s="219" t="s">
        <v>2611</v>
      </c>
      <c r="E610" s="249" t="s">
        <v>634</v>
      </c>
      <c r="F610" s="255">
        <f>IF(ISBLANK('4H'!E23),"##BLANK",'4H'!E23)</f>
        <v>0.63</v>
      </c>
    </row>
    <row r="611" spans="2:6">
      <c r="B611" s="1781" t="str">
        <f>'4H'!T24</f>
        <v>CR1053</v>
      </c>
      <c r="C611" s="219" t="s">
        <v>2612</v>
      </c>
      <c r="E611" s="249" t="s">
        <v>634</v>
      </c>
      <c r="F611" s="255">
        <f>IF(ISBLANK('4H'!E24),"##BLANK",'4H'!E24)</f>
        <v>5.9998475644831024E-2</v>
      </c>
    </row>
    <row r="612" spans="2:6">
      <c r="B612" s="254" t="str">
        <f>'4H'!T25</f>
        <v>CR1054</v>
      </c>
      <c r="C612" s="219" t="s">
        <v>2613</v>
      </c>
      <c r="E612" s="249" t="s">
        <v>634</v>
      </c>
      <c r="F612" s="255">
        <f>IF(ISBLANK('4H'!E25),"##BLANK",'4H'!E25)</f>
        <v>-1.986422895934583E-4</v>
      </c>
    </row>
    <row r="613" spans="2:6">
      <c r="B613" s="1781" t="str">
        <f>'4H'!T26</f>
        <v>CR1055</v>
      </c>
      <c r="C613" s="219" t="s">
        <v>2614</v>
      </c>
      <c r="E613" s="249" t="s">
        <v>634</v>
      </c>
      <c r="F613" s="255">
        <f>IF(ISBLANK('4H'!E26),"##BLANK",'4H'!E26)</f>
        <v>250.32900000000012</v>
      </c>
    </row>
    <row r="614" spans="2:6">
      <c r="B614" s="1781" t="str">
        <f>'4H'!T27</f>
        <v>B0203FMRCFD</v>
      </c>
      <c r="C614" s="219" t="s">
        <v>2615</v>
      </c>
      <c r="E614" s="249" t="s">
        <v>634</v>
      </c>
      <c r="F614" s="255">
        <f>IF(ISBLANK('4H'!E27),"##BLANK",'4H'!E27)</f>
        <v>5.9998475644831024E-2</v>
      </c>
    </row>
    <row r="615" spans="2:6">
      <c r="B615" s="254" t="str">
        <f>'4H'!T30</f>
        <v>CR1058</v>
      </c>
      <c r="C615" s="219" t="s">
        <v>2616</v>
      </c>
      <c r="E615" s="249" t="s">
        <v>634</v>
      </c>
      <c r="F615" s="255">
        <f>IF(ISBLANK('4H'!E30),"##BLANK",'4H'!E30)</f>
        <v>0.11018454462165547</v>
      </c>
    </row>
    <row r="616" spans="2:6">
      <c r="B616" s="254" t="str">
        <f>'4H'!T31</f>
        <v>CR1059</v>
      </c>
      <c r="C616" s="219" t="s">
        <v>2617</v>
      </c>
      <c r="E616" s="249" t="s">
        <v>634</v>
      </c>
      <c r="F616" s="255">
        <f>IF(ISBLANK('4H'!E31),"##BLANK",'4H'!E31)</f>
        <v>3.9675268420851131E-2</v>
      </c>
    </row>
    <row r="617" spans="2:6">
      <c r="B617" s="254" t="str">
        <f>'4H'!T32</f>
        <v>CR1060</v>
      </c>
      <c r="C617" s="219" t="s">
        <v>2618</v>
      </c>
      <c r="E617" s="249" t="s">
        <v>634</v>
      </c>
      <c r="F617" s="255">
        <f>IF(ISBLANK('4H'!E32),"##BLANK",'4H'!E32)</f>
        <v>0.85014018695749327</v>
      </c>
    </row>
    <row r="618" spans="2:6">
      <c r="B618" s="254" t="str">
        <f>'4H'!T33</f>
        <v>CR1061</v>
      </c>
      <c r="C618" s="219" t="s">
        <v>2619</v>
      </c>
      <c r="E618" s="249" t="s">
        <v>634</v>
      </c>
      <c r="F618" s="255">
        <f>IF(ISBLANK('4H'!E33),"##BLANK",'4H'!E33)</f>
        <v>1.4500000000000001E-2</v>
      </c>
    </row>
    <row r="619" spans="2:6">
      <c r="B619" s="254" t="str">
        <f>'4H'!T34</f>
        <v>CR1062</v>
      </c>
      <c r="C619" s="219" t="s">
        <v>2620</v>
      </c>
      <c r="E619" s="249" t="s">
        <v>634</v>
      </c>
      <c r="F619" s="255">
        <f>IF(ISBLANK('4H'!E34),"##BLANK",'4H'!E34)</f>
        <v>7.6200000000000004E-2</v>
      </c>
    </row>
    <row r="620" spans="2:6">
      <c r="B620" s="254" t="str">
        <f>'4H'!T35</f>
        <v>CR1063</v>
      </c>
      <c r="C620" s="219" t="s">
        <v>2621</v>
      </c>
      <c r="E620" s="249" t="s">
        <v>634</v>
      </c>
      <c r="F620" s="255">
        <f>IF(ISBLANK('4H'!E35),"##BLANK",'4H'!E35)</f>
        <v>0.29670000000000002</v>
      </c>
    </row>
    <row r="621" spans="2:6">
      <c r="B621" s="254" t="str">
        <f>'4H'!T36</f>
        <v>CR1064</v>
      </c>
      <c r="C621" s="219" t="s">
        <v>2622</v>
      </c>
      <c r="E621" s="249" t="s">
        <v>634</v>
      </c>
      <c r="F621" s="255">
        <f>IF(ISBLANK('4H'!E36),"##BLANK",'4H'!E36)</f>
        <v>0.4582</v>
      </c>
    </row>
    <row r="622" spans="2:6">
      <c r="B622" s="254" t="str">
        <f>'4H'!T37</f>
        <v>CR1065</v>
      </c>
      <c r="C622" s="219" t="s">
        <v>2623</v>
      </c>
      <c r="E622" s="249" t="s">
        <v>634</v>
      </c>
      <c r="F622" s="255">
        <f>IF(ISBLANK('4H'!E37),"##BLANK",'4H'!E37)</f>
        <v>0.15440000000000001</v>
      </c>
    </row>
    <row r="623" spans="2:6">
      <c r="B623" s="219" t="str">
        <f>'4J'!AA9</f>
        <v>WS01001WR</v>
      </c>
      <c r="C623" s="219" t="s">
        <v>2624</v>
      </c>
      <c r="E623" s="249" t="s">
        <v>634</v>
      </c>
      <c r="F623" s="255">
        <f>IF(ISBLANK('4J'!E9),"##BLANK",'4J'!E9)</f>
        <v>10.773999999999999</v>
      </c>
    </row>
    <row r="624" spans="2:6">
      <c r="B624" s="219" t="str">
        <f>'4J'!AB9</f>
        <v>WS01001RWT</v>
      </c>
      <c r="C624" s="219" t="s">
        <v>2625</v>
      </c>
      <c r="E624" s="249" t="s">
        <v>634</v>
      </c>
      <c r="F624" s="255">
        <f>IF(ISBLANK('4J'!F9),"##BLANK",'4J'!F9)</f>
        <v>3.714</v>
      </c>
    </row>
    <row r="625" spans="2:6">
      <c r="B625" s="219" t="str">
        <f>'4J'!AC9</f>
        <v>WS01001RWS0</v>
      </c>
      <c r="C625" s="219" t="s">
        <v>2626</v>
      </c>
      <c r="E625" s="249" t="s">
        <v>634</v>
      </c>
      <c r="F625" s="255">
        <f>IF(ISBLANK('4J'!G9),"##BLANK",'4J'!G9)</f>
        <v>1.4999999999999999E-2</v>
      </c>
    </row>
    <row r="626" spans="2:6">
      <c r="B626" s="219" t="str">
        <f>'4J'!AD9</f>
        <v>WS01001WT</v>
      </c>
      <c r="C626" s="219" t="s">
        <v>2627</v>
      </c>
      <c r="E626" s="249" t="s">
        <v>634</v>
      </c>
      <c r="F626" s="255">
        <f>IF(ISBLANK('4J'!H9),"##BLANK",'4J'!H9)</f>
        <v>10.521000000000001</v>
      </c>
    </row>
    <row r="627" spans="2:6">
      <c r="B627" s="219" t="str">
        <f>'4J'!AE9</f>
        <v>WS01001TWD</v>
      </c>
      <c r="C627" s="219" t="s">
        <v>2628</v>
      </c>
      <c r="E627" s="249" t="s">
        <v>634</v>
      </c>
      <c r="F627" s="255">
        <f>IF(ISBLANK('4J'!I9),"##BLANK",'4J'!I9)</f>
        <v>18.891999999999999</v>
      </c>
    </row>
    <row r="628" spans="2:6">
      <c r="B628" s="219" t="str">
        <f>'4J'!AF9</f>
        <v>WS01001CAW</v>
      </c>
      <c r="C628" s="219" t="s">
        <v>2629</v>
      </c>
      <c r="E628" s="249" t="s">
        <v>634</v>
      </c>
      <c r="F628" s="255">
        <f>IF(ISBLANK('4J'!J9),"##BLANK",'4J'!J9)</f>
        <v>43.915999999999997</v>
      </c>
    </row>
    <row r="629" spans="2:6">
      <c r="B629" s="219" t="str">
        <f>'4J'!AA10</f>
        <v>WS01002WR</v>
      </c>
      <c r="C629" s="219" t="s">
        <v>2630</v>
      </c>
      <c r="E629" s="249" t="s">
        <v>634</v>
      </c>
      <c r="F629" s="255">
        <f>IF(ISBLANK('4J'!E10),"##BLANK",'4J'!E10)</f>
        <v>-6.742</v>
      </c>
    </row>
    <row r="630" spans="2:6">
      <c r="B630" s="219" t="str">
        <f>'4J'!AB10</f>
        <v>WS01002RWT</v>
      </c>
      <c r="C630" s="219" t="s">
        <v>2631</v>
      </c>
      <c r="E630" s="249" t="s">
        <v>634</v>
      </c>
      <c r="F630" s="255">
        <f>IF(ISBLANK('4J'!F10),"##BLANK",'4J'!F10)</f>
        <v>-8.5000000000000006E-2</v>
      </c>
    </row>
    <row r="631" spans="2:6">
      <c r="B631" s="219" t="str">
        <f>'4J'!AC10</f>
        <v>WS01002RWS0</v>
      </c>
      <c r="C631" s="219" t="s">
        <v>2632</v>
      </c>
      <c r="E631" s="249" t="s">
        <v>634</v>
      </c>
      <c r="F631" s="255">
        <f>IF(ISBLANK('4J'!G10),"##BLANK",'4J'!G10)</f>
        <v>-2.1000000000000001E-2</v>
      </c>
    </row>
    <row r="632" spans="2:6">
      <c r="B632" s="219" t="str">
        <f>'4J'!AD10</f>
        <v>WS01002WT</v>
      </c>
      <c r="C632" s="219" t="s">
        <v>2633</v>
      </c>
      <c r="E632" s="249" t="s">
        <v>634</v>
      </c>
      <c r="F632" s="255">
        <f>IF(ISBLANK('4J'!H10),"##BLANK",'4J'!H10)</f>
        <v>-1.899</v>
      </c>
    </row>
    <row r="633" spans="2:6">
      <c r="B633" s="219" t="str">
        <f>'4J'!AE10</f>
        <v>WS01002TWD</v>
      </c>
      <c r="C633" s="219" t="s">
        <v>2634</v>
      </c>
      <c r="E633" s="249" t="s">
        <v>634</v>
      </c>
      <c r="F633" s="255">
        <f>IF(ISBLANK('4J'!I10),"##BLANK",'4J'!I10)</f>
        <v>-1.371</v>
      </c>
    </row>
    <row r="634" spans="2:6">
      <c r="B634" s="219" t="str">
        <f>'4J'!AF10</f>
        <v>WS01002CAW</v>
      </c>
      <c r="C634" s="219" t="s">
        <v>2635</v>
      </c>
      <c r="E634" s="249" t="s">
        <v>634</v>
      </c>
      <c r="F634" s="255">
        <f>IF(ISBLANK('4J'!J10),"##BLANK",'4J'!J10)</f>
        <v>-10.118</v>
      </c>
    </row>
    <row r="635" spans="2:6">
      <c r="B635" s="219" t="str">
        <f>'4J'!AA11</f>
        <v>WS01004WR</v>
      </c>
      <c r="C635" s="219" t="s">
        <v>2636</v>
      </c>
      <c r="E635" s="249" t="s">
        <v>634</v>
      </c>
      <c r="F635" s="255">
        <f>IF(ISBLANK('4J'!E11),"##BLANK",'4J'!E11)</f>
        <v>0.14099999999999999</v>
      </c>
    </row>
    <row r="636" spans="2:6">
      <c r="B636" s="219" t="str">
        <f>'4J'!AB11</f>
        <v>WS01004RWT</v>
      </c>
      <c r="C636" s="219" t="s">
        <v>2637</v>
      </c>
      <c r="E636" s="249" t="s">
        <v>634</v>
      </c>
      <c r="F636" s="255">
        <f>IF(ISBLANK('4J'!F11),"##BLANK",'4J'!F11)</f>
        <v>5.8999999999999997E-2</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0.189</v>
      </c>
    </row>
    <row r="639" spans="2:6">
      <c r="B639" s="219" t="str">
        <f>'4J'!AE11</f>
        <v>WS01004TWD</v>
      </c>
      <c r="C639" s="219" t="s">
        <v>2640</v>
      </c>
      <c r="E639" s="249" t="s">
        <v>634</v>
      </c>
      <c r="F639" s="255">
        <f>IF(ISBLANK('4J'!I11),"##BLANK",'4J'!I11)</f>
        <v>0.79200000000000004</v>
      </c>
    </row>
    <row r="640" spans="2:6">
      <c r="B640" s="219" t="str">
        <f>'4J'!AF11</f>
        <v>WS01004CAW</v>
      </c>
      <c r="C640" s="219" t="s">
        <v>2641</v>
      </c>
      <c r="E640" s="249" t="s">
        <v>634</v>
      </c>
      <c r="F640" s="255">
        <f>IF(ISBLANK('4J'!J11),"##BLANK",'4J'!J11)</f>
        <v>1.181</v>
      </c>
    </row>
    <row r="641" spans="2:6">
      <c r="B641" s="219" t="str">
        <f>'4J'!AA12</f>
        <v>WS01005WR</v>
      </c>
      <c r="C641" s="219" t="s">
        <v>2642</v>
      </c>
      <c r="E641" s="249" t="s">
        <v>634</v>
      </c>
      <c r="F641" s="255">
        <f>IF(ISBLANK('4J'!E12),"##BLANK",'4J'!E12)</f>
        <v>0.65100000000000002</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45.625999999999998</v>
      </c>
    </row>
    <row r="646" spans="2:6">
      <c r="B646" s="219" t="str">
        <f>'4J'!AF12</f>
        <v>WS01005CAW</v>
      </c>
      <c r="C646" s="219" t="s">
        <v>2647</v>
      </c>
      <c r="E646" s="249" t="s">
        <v>634</v>
      </c>
      <c r="F646" s="255">
        <f>IF(ISBLANK('4J'!J12),"##BLANK",'4J'!J12)</f>
        <v>46.277000000000001</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14.262</v>
      </c>
    </row>
    <row r="654" spans="2:6">
      <c r="B654" s="219" t="str">
        <f>'4J'!AB14</f>
        <v>WS01007RWT</v>
      </c>
      <c r="C654" s="219" t="s">
        <v>2655</v>
      </c>
      <c r="E654" s="249" t="s">
        <v>634</v>
      </c>
      <c r="F654" s="255">
        <f>IF(ISBLANK('4J'!F14),"##BLANK",'4J'!F14)</f>
        <v>0.92100000000000004</v>
      </c>
    </row>
    <row r="655" spans="2:6">
      <c r="B655" s="219" t="str">
        <f>'4J'!AC14</f>
        <v>WS01007RWS0</v>
      </c>
      <c r="C655" s="219" t="s">
        <v>2656</v>
      </c>
      <c r="E655" s="249" t="s">
        <v>634</v>
      </c>
      <c r="F655" s="255">
        <f>IF(ISBLANK('4J'!G14),"##BLANK",'4J'!G14)</f>
        <v>0.92200000000000004</v>
      </c>
    </row>
    <row r="656" spans="2:6">
      <c r="B656" s="219" t="str">
        <f>'4J'!AD14</f>
        <v>WS01007WT</v>
      </c>
      <c r="C656" s="219" t="s">
        <v>2657</v>
      </c>
      <c r="E656" s="249" t="s">
        <v>634</v>
      </c>
      <c r="F656" s="255">
        <f>IF(ISBLANK('4J'!H14),"##BLANK",'4J'!H14)</f>
        <v>44.279000000000003</v>
      </c>
    </row>
    <row r="657" spans="2:6">
      <c r="B657" s="219" t="str">
        <f>'4J'!AE14</f>
        <v>WS01007TWD</v>
      </c>
      <c r="C657" s="219" t="s">
        <v>2658</v>
      </c>
      <c r="E657" s="249" t="s">
        <v>634</v>
      </c>
      <c r="F657" s="255">
        <f>IF(ISBLANK('4J'!I14),"##BLANK",'4J'!I14)</f>
        <v>56.277000000000001</v>
      </c>
    </row>
    <row r="658" spans="2:6">
      <c r="B658" s="219" t="str">
        <f>'4J'!AF14</f>
        <v>WS01007CAW</v>
      </c>
      <c r="C658" s="219" t="s">
        <v>2659</v>
      </c>
      <c r="E658" s="249" t="s">
        <v>634</v>
      </c>
      <c r="F658" s="255">
        <f>IF(ISBLANK('4J'!J14),"##BLANK",'4J'!J14)</f>
        <v>116.661</v>
      </c>
    </row>
    <row r="659" spans="2:6">
      <c r="B659" s="219" t="str">
        <f>'4J'!AA15</f>
        <v>WS01008WR</v>
      </c>
      <c r="C659" s="219" t="s">
        <v>2660</v>
      </c>
      <c r="E659" s="249" t="s">
        <v>634</v>
      </c>
      <c r="F659" s="255">
        <f>IF(ISBLANK('4J'!E15),"##BLANK",'4J'!E15)</f>
        <v>2.2320000000000002</v>
      </c>
    </row>
    <row r="660" spans="2:6">
      <c r="B660" s="219" t="str">
        <f>'4J'!AB15</f>
        <v>WS1008RWT</v>
      </c>
      <c r="C660" s="219" t="s">
        <v>2661</v>
      </c>
      <c r="E660" s="249" t="s">
        <v>634</v>
      </c>
      <c r="F660" s="255">
        <f>IF(ISBLANK('4J'!F15),"##BLANK",'4J'!F15)</f>
        <v>0.02</v>
      </c>
    </row>
    <row r="661" spans="2:6">
      <c r="B661" s="219" t="str">
        <f>'4J'!AC15</f>
        <v>WS1008RWS</v>
      </c>
      <c r="C661" s="219" t="s">
        <v>2662</v>
      </c>
      <c r="E661" s="249" t="s">
        <v>634</v>
      </c>
      <c r="F661" s="255">
        <f>IF(ISBLANK('4J'!G15),"##BLANK",'4J'!G15)</f>
        <v>3.7999999999999999E-2</v>
      </c>
    </row>
    <row r="662" spans="2:6">
      <c r="B662" s="219" t="str">
        <f>'4J'!AD15</f>
        <v>WS1008WT</v>
      </c>
      <c r="C662" s="219" t="s">
        <v>2663</v>
      </c>
      <c r="E662" s="249" t="s">
        <v>634</v>
      </c>
      <c r="F662" s="255">
        <f>IF(ISBLANK('4J'!H15),"##BLANK",'4J'!H15)</f>
        <v>1.4039999999999999</v>
      </c>
    </row>
    <row r="663" spans="2:6">
      <c r="B663" s="219" t="str">
        <f>'4J'!AE15</f>
        <v>WS1008TWD</v>
      </c>
      <c r="C663" s="219" t="s">
        <v>2664</v>
      </c>
      <c r="E663" s="249" t="s">
        <v>634</v>
      </c>
      <c r="F663" s="255">
        <f>IF(ISBLANK('4J'!I15),"##BLANK",'4J'!I15)</f>
        <v>12.451000000000001</v>
      </c>
    </row>
    <row r="664" spans="2:6">
      <c r="B664" s="219" t="str">
        <f>'4J'!AF15</f>
        <v>WS1008CAW</v>
      </c>
      <c r="C664" s="219" t="s">
        <v>1300</v>
      </c>
      <c r="E664" s="249" t="s">
        <v>634</v>
      </c>
      <c r="F664" s="255">
        <f>IF(ISBLANK('4J'!J15),"##BLANK",'4J'!J15)</f>
        <v>16.145</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9.6620000000000008</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0.23899999999999999</v>
      </c>
    </row>
    <row r="674" spans="2:6">
      <c r="B674" s="219" t="str">
        <f>'4J'!AD19</f>
        <v>W3034WT</v>
      </c>
      <c r="C674" s="219" t="s">
        <v>2674</v>
      </c>
      <c r="E674" s="249" t="s">
        <v>634</v>
      </c>
      <c r="F674" s="255">
        <f>IF(ISBLANK('4J'!H19),"##BLANK",'4J'!H19)</f>
        <v>1E-3</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9.902000000000001</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9.2999999999999999E-2</v>
      </c>
    </row>
    <row r="688" spans="2:6">
      <c r="B688" s="219" t="str">
        <f>'4J'!AF23</f>
        <v>W3032TOT</v>
      </c>
      <c r="C688" s="219" t="s">
        <v>2688</v>
      </c>
      <c r="E688" s="249" t="s">
        <v>634</v>
      </c>
      <c r="F688" s="255">
        <f>IF(ISBLANK('4J'!J23),"##BLANK",'4J'!J23)</f>
        <v>9.2999999999999999E-2</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30.979999999999997</v>
      </c>
    </row>
    <row r="702" spans="2:6">
      <c r="B702" s="219" t="str">
        <f>'4J'!AB27</f>
        <v>W3038RWD</v>
      </c>
      <c r="C702" s="219" t="s">
        <v>2701</v>
      </c>
      <c r="E702" s="249" t="s">
        <v>634</v>
      </c>
      <c r="F702" s="255">
        <f>IF(ISBLANK('4J'!F27),"##BLANK",'4J'!F27)</f>
        <v>4.6289999999999996</v>
      </c>
    </row>
    <row r="703" spans="2:6">
      <c r="B703" s="219" t="str">
        <f>'4J'!AC27</f>
        <v>W3038RWS</v>
      </c>
      <c r="C703" s="219" t="s">
        <v>2702</v>
      </c>
      <c r="E703" s="249" t="s">
        <v>634</v>
      </c>
      <c r="F703" s="255">
        <f>IF(ISBLANK('4J'!G27),"##BLANK",'4J'!G27)</f>
        <v>1.1930000000000001</v>
      </c>
    </row>
    <row r="704" spans="2:6">
      <c r="B704" s="219" t="str">
        <f>'4J'!AD27</f>
        <v>W3038WT</v>
      </c>
      <c r="C704" s="219" t="s">
        <v>2703</v>
      </c>
      <c r="E704" s="249" t="s">
        <v>634</v>
      </c>
      <c r="F704" s="255">
        <f>IF(ISBLANK('4J'!H27),"##BLANK",'4J'!H27)</f>
        <v>54.494999999999997</v>
      </c>
    </row>
    <row r="705" spans="2:6">
      <c r="B705" s="219" t="str">
        <f>'4J'!AE27</f>
        <v>W3038TWD</v>
      </c>
      <c r="C705" s="219" t="s">
        <v>2704</v>
      </c>
      <c r="E705" s="249" t="s">
        <v>634</v>
      </c>
      <c r="F705" s="255">
        <f>IF(ISBLANK('4J'!I27),"##BLANK",'4J'!I27)</f>
        <v>132.76</v>
      </c>
    </row>
    <row r="706" spans="2:6">
      <c r="B706" s="219" t="str">
        <f>'4J'!AF27</f>
        <v>W3038TOT</v>
      </c>
      <c r="C706" s="219" t="s">
        <v>1195</v>
      </c>
      <c r="E706" s="249" t="s">
        <v>634</v>
      </c>
      <c r="F706" s="255">
        <f>IF(ISBLANK('4J'!J27),"##BLANK",'4J'!J27)</f>
        <v>224.05699999999999</v>
      </c>
    </row>
    <row r="707" spans="2:6">
      <c r="B707" s="219" t="str">
        <f>'4J'!AA30</f>
        <v>WS1012WR</v>
      </c>
      <c r="C707" s="219" t="s">
        <v>2705</v>
      </c>
      <c r="E707" s="249" t="s">
        <v>634</v>
      </c>
      <c r="F707" s="255">
        <f>IF(ISBLANK('4J'!E30),"##BLANK",'4J'!E30)</f>
        <v>11.885</v>
      </c>
    </row>
    <row r="708" spans="2:6">
      <c r="B708" s="219" t="str">
        <f>'4J'!AB30</f>
        <v>WS1012RWT</v>
      </c>
      <c r="C708" s="219" t="s">
        <v>2706</v>
      </c>
      <c r="E708" s="249" t="s">
        <v>634</v>
      </c>
      <c r="F708" s="255">
        <f>IF(ISBLANK('4J'!F30),"##BLANK",'4J'!F30)</f>
        <v>-3.0000000000000001E-3</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v>
      </c>
    </row>
    <row r="711" spans="2:6">
      <c r="B711" s="219" t="str">
        <f>'4J'!AE30</f>
        <v>WS1012TWD</v>
      </c>
      <c r="C711" s="219" t="s">
        <v>2709</v>
      </c>
      <c r="E711" s="249" t="s">
        <v>634</v>
      </c>
      <c r="F711" s="255">
        <f>IF(ISBLANK('4J'!I30),"##BLANK",'4J'!I30)</f>
        <v>19.042999999999999</v>
      </c>
    </row>
    <row r="712" spans="2:6">
      <c r="B712" s="219" t="str">
        <f>'4J'!AF30</f>
        <v>WS1012CAW</v>
      </c>
      <c r="C712" s="219" t="s">
        <v>2710</v>
      </c>
      <c r="E712" s="249" t="s">
        <v>634</v>
      </c>
      <c r="F712" s="255">
        <f>IF(ISBLANK('4J'!J30),"##BLANK",'4J'!J30)</f>
        <v>30.924999999999997</v>
      </c>
    </row>
    <row r="713" spans="2:6">
      <c r="B713" s="219" t="str">
        <f>'4J'!AA31</f>
        <v>WS1013WR</v>
      </c>
      <c r="C713" s="219" t="s">
        <v>2711</v>
      </c>
      <c r="E713" s="249" t="s">
        <v>634</v>
      </c>
      <c r="F713" s="255">
        <f>IF(ISBLANK('4J'!E31),"##BLANK",'4J'!E31)</f>
        <v>1.389</v>
      </c>
    </row>
    <row r="714" spans="2:6">
      <c r="B714" s="219" t="str">
        <f>'4J'!AB31</f>
        <v>WS1013RWT</v>
      </c>
      <c r="C714" s="219" t="s">
        <v>2712</v>
      </c>
      <c r="E714" s="249" t="s">
        <v>634</v>
      </c>
      <c r="F714" s="255">
        <f>IF(ISBLANK('4J'!F31),"##BLANK",'4J'!F31)</f>
        <v>0.28399999999999997</v>
      </c>
    </row>
    <row r="715" spans="2:6">
      <c r="B715" s="219" t="str">
        <f>'4J'!AC31</f>
        <v>WS1013RWS</v>
      </c>
      <c r="C715" s="219" t="s">
        <v>2713</v>
      </c>
      <c r="E715" s="249" t="s">
        <v>634</v>
      </c>
      <c r="F715" s="255">
        <f>IF(ISBLANK('4J'!G31),"##BLANK",'4J'!G31)</f>
        <v>5.7000000000000002E-2</v>
      </c>
    </row>
    <row r="716" spans="2:6">
      <c r="B716" s="219" t="str">
        <f>'4J'!AD31</f>
        <v>WS1013WT</v>
      </c>
      <c r="C716" s="219" t="s">
        <v>2714</v>
      </c>
      <c r="E716" s="249" t="s">
        <v>634</v>
      </c>
      <c r="F716" s="255">
        <f>IF(ISBLANK('4J'!H31),"##BLANK",'4J'!H31)</f>
        <v>34.19</v>
      </c>
    </row>
    <row r="717" spans="2:6">
      <c r="B717" s="219" t="str">
        <f>'4J'!AE31</f>
        <v>WS1013TWD</v>
      </c>
      <c r="C717" s="219" t="s">
        <v>2715</v>
      </c>
      <c r="E717" s="249" t="s">
        <v>634</v>
      </c>
      <c r="F717" s="255">
        <f>IF(ISBLANK('4J'!I31),"##BLANK",'4J'!I31)</f>
        <v>37.975999999999999</v>
      </c>
    </row>
    <row r="718" spans="2:6">
      <c r="B718" s="219" t="str">
        <f>'4J'!AF31</f>
        <v>WS1013CAW</v>
      </c>
      <c r="C718" s="219" t="s">
        <v>2716</v>
      </c>
      <c r="E718" s="249" t="s">
        <v>634</v>
      </c>
      <c r="F718" s="255">
        <f>IF(ISBLANK('4J'!J31),"##BLANK",'4J'!J31)</f>
        <v>73.895999999999987</v>
      </c>
    </row>
    <row r="719" spans="2:6">
      <c r="B719" s="219" t="str">
        <f>'4J'!AA32</f>
        <v>W3039WR</v>
      </c>
      <c r="C719" s="219" t="s">
        <v>2717</v>
      </c>
      <c r="E719" s="249" t="s">
        <v>634</v>
      </c>
      <c r="F719" s="255">
        <f>IF(ISBLANK('4J'!E32),"##BLANK",'4J'!E32)</f>
        <v>13.273999999999999</v>
      </c>
    </row>
    <row r="720" spans="2:6">
      <c r="B720" s="219" t="str">
        <f>'4J'!AB32</f>
        <v>W3039RWD</v>
      </c>
      <c r="C720" s="219" t="s">
        <v>2718</v>
      </c>
      <c r="E720" s="249" t="s">
        <v>634</v>
      </c>
      <c r="F720" s="255">
        <f>IF(ISBLANK('4J'!F32),"##BLANK",'4J'!F32)</f>
        <v>0.28099999999999997</v>
      </c>
    </row>
    <row r="721" spans="2:6">
      <c r="B721" s="219" t="str">
        <f>'4J'!AC32</f>
        <v>W3039RWS</v>
      </c>
      <c r="C721" s="219" t="s">
        <v>2719</v>
      </c>
      <c r="E721" s="249" t="s">
        <v>634</v>
      </c>
      <c r="F721" s="255">
        <f>IF(ISBLANK('4J'!G32),"##BLANK",'4J'!G32)</f>
        <v>5.7000000000000002E-2</v>
      </c>
    </row>
    <row r="722" spans="2:6">
      <c r="B722" s="219" t="str">
        <f>'4J'!AD32</f>
        <v>W3039WT</v>
      </c>
      <c r="C722" s="219" t="s">
        <v>2720</v>
      </c>
      <c r="E722" s="249" t="s">
        <v>634</v>
      </c>
      <c r="F722" s="255">
        <f>IF(ISBLANK('4J'!H32),"##BLANK",'4J'!H32)</f>
        <v>34.19</v>
      </c>
    </row>
    <row r="723" spans="2:6">
      <c r="B723" s="219" t="str">
        <f>'4J'!AE32</f>
        <v>W3039TWD</v>
      </c>
      <c r="C723" s="219" t="s">
        <v>2721</v>
      </c>
      <c r="E723" s="249" t="s">
        <v>634</v>
      </c>
      <c r="F723" s="255">
        <f>IF(ISBLANK('4J'!I32),"##BLANK",'4J'!I32)</f>
        <v>57.018999999999998</v>
      </c>
    </row>
    <row r="724" spans="2:6">
      <c r="B724" s="219" t="str">
        <f>'4J'!AF32</f>
        <v>W3039TOT</v>
      </c>
      <c r="C724" s="219" t="s">
        <v>2722</v>
      </c>
      <c r="E724" s="249" t="s">
        <v>634</v>
      </c>
      <c r="F724" s="255">
        <f>IF(ISBLANK('4J'!J32),"##BLANK",'4J'!J32)</f>
        <v>104.821</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1815</v>
      </c>
    </row>
    <row r="730" spans="2:6">
      <c r="B730" s="219" t="str">
        <f>'4J'!AF35</f>
        <v>W3040TOT</v>
      </c>
      <c r="C730" s="219" t="s">
        <v>2728</v>
      </c>
      <c r="E730" s="249" t="s">
        <v>634</v>
      </c>
      <c r="F730" s="255">
        <f>IF(ISBLANK('4J'!J35),"##BLANK",'4J'!J35)</f>
        <v>1815</v>
      </c>
    </row>
    <row r="731" spans="2:6">
      <c r="B731" s="219" t="str">
        <f>'4K'!AG10</f>
        <v>WWS01001FL</v>
      </c>
      <c r="C731" s="219" t="s">
        <v>2729</v>
      </c>
      <c r="E731" s="249" t="s">
        <v>634</v>
      </c>
      <c r="F731" s="255">
        <f>IF(ISBLANK('4K'!E10),"##BLANK",'4K'!E10)</f>
        <v>5.0439999999999996</v>
      </c>
    </row>
    <row r="732" spans="2:6">
      <c r="B732" s="219" t="str">
        <f>'4K'!AH10</f>
        <v>WWS01001SWD</v>
      </c>
      <c r="C732" s="219" t="s">
        <v>2730</v>
      </c>
      <c r="E732" s="249" t="s">
        <v>634</v>
      </c>
      <c r="F732" s="255">
        <f>IF(ISBLANK('4K'!F10),"##BLANK",'4K'!F10)</f>
        <v>1.6459999999999999</v>
      </c>
    </row>
    <row r="733" spans="2:6">
      <c r="B733" s="219" t="str">
        <f>'4K'!AI10</f>
        <v>WWS01001HD</v>
      </c>
      <c r="C733" s="219" t="s">
        <v>2731</v>
      </c>
      <c r="E733" s="249" t="s">
        <v>634</v>
      </c>
      <c r="F733" s="255">
        <f>IF(ISBLANK('4K'!G10),"##BLANK",'4K'!G10)</f>
        <v>0.85899999999999999</v>
      </c>
    </row>
    <row r="734" spans="2:6">
      <c r="B734" s="219" t="str">
        <f>'4K'!AJ10</f>
        <v>WWS01001STD</v>
      </c>
      <c r="C734" s="219" t="s">
        <v>2732</v>
      </c>
      <c r="E734" s="249" t="s">
        <v>634</v>
      </c>
      <c r="F734" s="255">
        <f>IF(ISBLANK('4K'!H10),"##BLANK",'4K'!H10)</f>
        <v>33.067</v>
      </c>
    </row>
    <row r="735" spans="2:6">
      <c r="B735" s="219" t="str">
        <f>'4K'!AK10</f>
        <v>WWS01001SLT</v>
      </c>
      <c r="C735" s="219" t="s">
        <v>2733</v>
      </c>
      <c r="E735" s="249" t="s">
        <v>634</v>
      </c>
      <c r="F735" s="255">
        <f>IF(ISBLANK('4K'!I10),"##BLANK",'4K'!I10)</f>
        <v>2.3069999999999999</v>
      </c>
    </row>
    <row r="736" spans="2:6">
      <c r="B736" s="219" t="str">
        <f>'4K'!AL10</f>
        <v>WWS01001STP</v>
      </c>
      <c r="C736" s="219" t="s">
        <v>2734</v>
      </c>
      <c r="E736" s="249" t="s">
        <v>634</v>
      </c>
      <c r="F736" s="255">
        <f>IF(ISBLANK('4K'!J10),"##BLANK",'4K'!J10)</f>
        <v>1.0369999999999999</v>
      </c>
    </row>
    <row r="737" spans="2:6">
      <c r="B737" s="219" t="str">
        <f>'4K'!AM10</f>
        <v>WWS01001SDT</v>
      </c>
      <c r="C737" s="219" t="s">
        <v>2735</v>
      </c>
      <c r="E737" s="249" t="s">
        <v>634</v>
      </c>
      <c r="F737" s="255">
        <f>IF(ISBLANK('4K'!K10),"##BLANK",'4K'!K10)</f>
        <v>-0.437</v>
      </c>
    </row>
    <row r="738" spans="2:6">
      <c r="B738" s="219" t="str">
        <f>'4K'!AN10</f>
        <v>WWS01001SDD</v>
      </c>
      <c r="C738" s="219" t="s">
        <v>2736</v>
      </c>
      <c r="E738" s="249" t="s">
        <v>634</v>
      </c>
      <c r="F738" s="255">
        <f>IF(ISBLANK('4K'!L10),"##BLANK",'4K'!L10)</f>
        <v>1.9E-2</v>
      </c>
    </row>
    <row r="739" spans="2:6">
      <c r="B739" s="219" t="str">
        <f>'4K'!AO10</f>
        <v>WWS01001CAS</v>
      </c>
      <c r="C739" s="219" t="s">
        <v>2737</v>
      </c>
      <c r="E739" s="249" t="s">
        <v>634</v>
      </c>
      <c r="F739" s="255">
        <f>IF(ISBLANK('4K'!M10),"##BLANK",'4K'!M10)</f>
        <v>43.542000000000002</v>
      </c>
    </row>
    <row r="740" spans="2:6">
      <c r="B740" s="219" t="str">
        <f>'4K'!AG11</f>
        <v>WWS01002FL</v>
      </c>
      <c r="C740" s="219" t="s">
        <v>2738</v>
      </c>
      <c r="E740" s="249" t="s">
        <v>634</v>
      </c>
      <c r="F740" s="255">
        <f>IF(ISBLANK('4K'!E11),"##BLANK",'4K'!E11)</f>
        <v>-3.0000000000000001E-3</v>
      </c>
    </row>
    <row r="741" spans="2:6">
      <c r="B741" s="219" t="str">
        <f>'4K'!AH11</f>
        <v>WWS01002SWD</v>
      </c>
      <c r="C741" s="219" t="s">
        <v>2739</v>
      </c>
      <c r="E741" s="249" t="s">
        <v>634</v>
      </c>
      <c r="F741" s="255">
        <f>IF(ISBLANK('4K'!F11),"##BLANK",'4K'!F11)</f>
        <v>-1E-3</v>
      </c>
    </row>
    <row r="742" spans="2:6">
      <c r="B742" s="219" t="str">
        <f>'4K'!AI11</f>
        <v>WWS01002HD</v>
      </c>
      <c r="C742" s="219" t="s">
        <v>2740</v>
      </c>
      <c r="E742" s="249" t="s">
        <v>634</v>
      </c>
      <c r="F742" s="255">
        <f>IF(ISBLANK('4K'!G11),"##BLANK",'4K'!G11)</f>
        <v>0</v>
      </c>
    </row>
    <row r="743" spans="2:6">
      <c r="B743" s="219" t="str">
        <f>'4K'!AJ11</f>
        <v>WWS01002STD</v>
      </c>
      <c r="C743" s="219" t="s">
        <v>2741</v>
      </c>
      <c r="E743" s="249" t="s">
        <v>634</v>
      </c>
      <c r="F743" s="255">
        <f>IF(ISBLANK('4K'!H11),"##BLANK",'4K'!H11)</f>
        <v>-0.63400000000000001</v>
      </c>
    </row>
    <row r="744" spans="2:6">
      <c r="B744" s="219" t="str">
        <f>'4K'!AK11</f>
        <v>WWS01002SLT</v>
      </c>
      <c r="C744" s="219" t="s">
        <v>2742</v>
      </c>
      <c r="E744" s="249" t="s">
        <v>634</v>
      </c>
      <c r="F744" s="255">
        <f>IF(ISBLANK('4K'!I11),"##BLANK",'4K'!I11)</f>
        <v>-6.4000000000000001E-2</v>
      </c>
    </row>
    <row r="745" spans="2:6">
      <c r="B745" s="219" t="str">
        <f>'4K'!AL11</f>
        <v>WWS01002STP</v>
      </c>
      <c r="C745" s="219" t="s">
        <v>2743</v>
      </c>
      <c r="E745" s="249" t="s">
        <v>634</v>
      </c>
      <c r="F745" s="255">
        <f>IF(ISBLANK('4K'!J11),"##BLANK",'4K'!J11)</f>
        <v>0</v>
      </c>
    </row>
    <row r="746" spans="2:6">
      <c r="B746" s="219" t="str">
        <f>'4K'!AM11</f>
        <v>WWS01002SDT</v>
      </c>
      <c r="C746" s="219" t="s">
        <v>2744</v>
      </c>
      <c r="E746" s="249" t="s">
        <v>634</v>
      </c>
      <c r="F746" s="255">
        <f>IF(ISBLANK('4K'!K11),"##BLANK",'4K'!K11)</f>
        <v>-7.6459999999999999</v>
      </c>
    </row>
    <row r="747" spans="2:6">
      <c r="B747" s="219" t="str">
        <f>'4K'!AN11</f>
        <v>WWS01002SDD</v>
      </c>
      <c r="C747" s="219" t="s">
        <v>2745</v>
      </c>
      <c r="E747" s="249" t="s">
        <v>634</v>
      </c>
      <c r="F747" s="255">
        <f>IF(ISBLANK('4K'!L11),"##BLANK",'4K'!L11)</f>
        <v>0</v>
      </c>
    </row>
    <row r="748" spans="2:6">
      <c r="B748" s="219" t="str">
        <f>'4K'!AO11</f>
        <v>WWS01002CAS</v>
      </c>
      <c r="C748" s="219" t="s">
        <v>2746</v>
      </c>
      <c r="E748" s="249" t="s">
        <v>634</v>
      </c>
      <c r="F748" s="255">
        <f>IF(ISBLANK('4K'!M11),"##BLANK",'4K'!M11)</f>
        <v>-8.347999999999999</v>
      </c>
    </row>
    <row r="749" spans="2:6">
      <c r="B749" s="219" t="str">
        <f>'4K'!AG12</f>
        <v>WWS01004FL</v>
      </c>
      <c r="C749" s="219" t="s">
        <v>2747</v>
      </c>
      <c r="E749" s="249" t="s">
        <v>634</v>
      </c>
      <c r="F749" s="255">
        <f>IF(ISBLANK('4K'!E12),"##BLANK",'4K'!E12)</f>
        <v>0</v>
      </c>
    </row>
    <row r="750" spans="2:6">
      <c r="B750" s="219" t="str">
        <f>'4K'!AH12</f>
        <v>WWS01004SWD</v>
      </c>
      <c r="C750" s="219" t="s">
        <v>2748</v>
      </c>
      <c r="E750" s="249" t="s">
        <v>634</v>
      </c>
      <c r="F750" s="255">
        <f>IF(ISBLANK('4K'!F12),"##BLANK",'4K'!F12)</f>
        <v>0</v>
      </c>
    </row>
    <row r="751" spans="2:6">
      <c r="B751" s="219" t="str">
        <f>'4K'!AI12</f>
        <v>WWS01004HD</v>
      </c>
      <c r="C751" s="219" t="s">
        <v>2749</v>
      </c>
      <c r="E751" s="249" t="s">
        <v>634</v>
      </c>
      <c r="F751" s="255">
        <f>IF(ISBLANK('4K'!G12),"##BLANK",'4K'!G12)</f>
        <v>0</v>
      </c>
    </row>
    <row r="752" spans="2:6">
      <c r="B752" s="219" t="str">
        <f>'4K'!AJ12</f>
        <v>WWS01004STD</v>
      </c>
      <c r="C752" s="219" t="s">
        <v>2750</v>
      </c>
      <c r="E752" s="249" t="s">
        <v>634</v>
      </c>
      <c r="F752" s="255">
        <f>IF(ISBLANK('4K'!H12),"##BLANK",'4K'!H12)</f>
        <v>0</v>
      </c>
    </row>
    <row r="753" spans="2:6">
      <c r="B753" s="219" t="str">
        <f>'4K'!AK12</f>
        <v>WWS01004SLT</v>
      </c>
      <c r="C753" s="219" t="s">
        <v>2751</v>
      </c>
      <c r="E753" s="249" t="s">
        <v>634</v>
      </c>
      <c r="F753" s="255">
        <f>IF(ISBLANK('4K'!I12),"##BLANK",'4K'!I12)</f>
        <v>0</v>
      </c>
    </row>
    <row r="754" spans="2:6">
      <c r="B754" s="219" t="str">
        <f>'4K'!AL12</f>
        <v>WWS01004STP</v>
      </c>
      <c r="C754" s="219" t="s">
        <v>2752</v>
      </c>
      <c r="E754" s="249" t="s">
        <v>634</v>
      </c>
      <c r="F754" s="255">
        <f>IF(ISBLANK('4K'!J12),"##BLANK",'4K'!J12)</f>
        <v>0</v>
      </c>
    </row>
    <row r="755" spans="2:6">
      <c r="B755" s="219" t="str">
        <f>'4K'!AM12</f>
        <v>WWS01004SDT</v>
      </c>
      <c r="C755" s="219" t="s">
        <v>2753</v>
      </c>
      <c r="E755" s="249" t="s">
        <v>634</v>
      </c>
      <c r="F755" s="255">
        <f>IF(ISBLANK('4K'!K12),"##BLANK",'4K'!K12)</f>
        <v>0</v>
      </c>
    </row>
    <row r="756" spans="2:6">
      <c r="B756" s="219" t="str">
        <f>'4K'!AN12</f>
        <v>WWS01004SDD</v>
      </c>
      <c r="C756" s="219" t="s">
        <v>2754</v>
      </c>
      <c r="E756" s="249" t="s">
        <v>634</v>
      </c>
      <c r="F756" s="255">
        <f>IF(ISBLANK('4K'!L12),"##BLANK",'4K'!L12)</f>
        <v>0</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f>IF(ISBLANK('4K'!E13),"##BLANK",'4K'!E13)</f>
        <v>10.775</v>
      </c>
    </row>
    <row r="759" spans="2:6">
      <c r="B759" s="219" t="str">
        <f>'4K'!AH13</f>
        <v>WWS01005SWD</v>
      </c>
      <c r="C759" s="219" t="s">
        <v>2757</v>
      </c>
      <c r="E759" s="249" t="s">
        <v>634</v>
      </c>
      <c r="F759" s="255">
        <f>IF(ISBLANK('4K'!F13),"##BLANK",'4K'!F13)</f>
        <v>7.9340000000000002</v>
      </c>
    </row>
    <row r="760" spans="2:6">
      <c r="B760" s="219" t="str">
        <f>'4K'!AI13</f>
        <v>WWS01005HD</v>
      </c>
      <c r="C760" s="219" t="s">
        <v>2758</v>
      </c>
      <c r="E760" s="249" t="s">
        <v>634</v>
      </c>
      <c r="F760" s="255">
        <f>IF(ISBLANK('4K'!G13),"##BLANK",'4K'!G13)</f>
        <v>3.4289999999999998</v>
      </c>
    </row>
    <row r="761" spans="2:6">
      <c r="B761" s="219" t="str">
        <f>'4K'!AJ13</f>
        <v>WWS01005STD</v>
      </c>
      <c r="C761" s="219" t="s">
        <v>2759</v>
      </c>
      <c r="E761" s="249" t="s">
        <v>634</v>
      </c>
      <c r="F761" s="255">
        <f>IF(ISBLANK('4K'!H13),"##BLANK",'4K'!H13)</f>
        <v>0</v>
      </c>
    </row>
    <row r="762" spans="2:6">
      <c r="B762" s="219" t="str">
        <f>'4K'!AK13</f>
        <v>WWS01005SLT</v>
      </c>
      <c r="C762" s="219" t="s">
        <v>2760</v>
      </c>
      <c r="E762" s="249" t="s">
        <v>634</v>
      </c>
      <c r="F762" s="255">
        <f>IF(ISBLANK('4K'!I13),"##BLANK",'4K'!I13)</f>
        <v>0</v>
      </c>
    </row>
    <row r="763" spans="2:6">
      <c r="B763" s="219" t="str">
        <f>'4K'!AL13</f>
        <v>WWS01005STP</v>
      </c>
      <c r="C763" s="219" t="s">
        <v>2761</v>
      </c>
      <c r="E763" s="249" t="s">
        <v>634</v>
      </c>
      <c r="F763" s="255">
        <f>IF(ISBLANK('4K'!J13),"##BLANK",'4K'!J13)</f>
        <v>0</v>
      </c>
    </row>
    <row r="764" spans="2:6">
      <c r="B764" s="219" t="str">
        <f>'4K'!AM13</f>
        <v>WWS01005SDT</v>
      </c>
      <c r="C764" s="219" t="s">
        <v>2762</v>
      </c>
      <c r="E764" s="249" t="s">
        <v>634</v>
      </c>
      <c r="F764" s="255">
        <f>IF(ISBLANK('4K'!K13),"##BLANK",'4K'!K13)</f>
        <v>0</v>
      </c>
    </row>
    <row r="765" spans="2:6">
      <c r="B765" s="219" t="str">
        <f>'4K'!AN13</f>
        <v>WWS01005SDD</v>
      </c>
      <c r="C765" s="219" t="s">
        <v>2763</v>
      </c>
      <c r="E765" s="249" t="s">
        <v>634</v>
      </c>
      <c r="F765" s="255">
        <f>IF(ISBLANK('4K'!L13),"##BLANK",'4K'!L13)</f>
        <v>0</v>
      </c>
    </row>
    <row r="766" spans="2:6">
      <c r="B766" s="219" t="str">
        <f>'4K'!AO13</f>
        <v>WWS01005CAS</v>
      </c>
      <c r="C766" s="219" t="s">
        <v>2764</v>
      </c>
      <c r="E766" s="249" t="s">
        <v>634</v>
      </c>
      <c r="F766" s="255">
        <f>IF(ISBLANK('4K'!M13),"##BLANK",'4K'!M13)</f>
        <v>22.137999999999998</v>
      </c>
    </row>
    <row r="767" spans="2:6">
      <c r="B767" s="219" t="str">
        <f>'4K'!AG14</f>
        <v>WWS01006FL</v>
      </c>
      <c r="C767" s="219" t="s">
        <v>2765</v>
      </c>
      <c r="E767" s="249" t="s">
        <v>634</v>
      </c>
      <c r="F767" s="255">
        <f>IF(ISBLANK('4K'!E14),"##BLANK",'4K'!E14)</f>
        <v>0</v>
      </c>
    </row>
    <row r="768" spans="2:6">
      <c r="B768" s="219" t="str">
        <f>'4K'!AH14</f>
        <v>WWS01006SWD</v>
      </c>
      <c r="C768" s="219" t="s">
        <v>2766</v>
      </c>
      <c r="E768" s="249" t="s">
        <v>634</v>
      </c>
      <c r="F768" s="255">
        <f>IF(ISBLANK('4K'!F14),"##BLANK",'4K'!F14)</f>
        <v>0</v>
      </c>
    </row>
    <row r="769" spans="2:6">
      <c r="B769" s="219" t="str">
        <f>'4K'!AI14</f>
        <v>WWS01006HD</v>
      </c>
      <c r="C769" s="219" t="s">
        <v>2767</v>
      </c>
      <c r="E769" s="249" t="s">
        <v>634</v>
      </c>
      <c r="F769" s="255">
        <f>IF(ISBLANK('4K'!G14),"##BLANK",'4K'!G14)</f>
        <v>0</v>
      </c>
    </row>
    <row r="770" spans="2:6">
      <c r="B770" s="219" t="str">
        <f>'4K'!AJ14</f>
        <v>WWS01006STD</v>
      </c>
      <c r="C770" s="219" t="s">
        <v>2768</v>
      </c>
      <c r="E770" s="249" t="s">
        <v>634</v>
      </c>
      <c r="F770" s="255">
        <f>IF(ISBLANK('4K'!H14),"##BLANK",'4K'!H14)</f>
        <v>0</v>
      </c>
    </row>
    <row r="771" spans="2:6">
      <c r="B771" s="219" t="str">
        <f>'4K'!AK14</f>
        <v>WWS01006SLT</v>
      </c>
      <c r="C771" s="219" t="s">
        <v>2769</v>
      </c>
      <c r="E771" s="249" t="s">
        <v>634</v>
      </c>
      <c r="F771" s="255">
        <f>IF(ISBLANK('4K'!I14),"##BLANK",'4K'!I14)</f>
        <v>0</v>
      </c>
    </row>
    <row r="772" spans="2:6">
      <c r="B772" s="219" t="str">
        <f>'4K'!AL14</f>
        <v>WWS01006STP</v>
      </c>
      <c r="C772" s="219" t="s">
        <v>2770</v>
      </c>
      <c r="E772" s="249" t="s">
        <v>634</v>
      </c>
      <c r="F772" s="255">
        <f>IF(ISBLANK('4K'!J14),"##BLANK",'4K'!J14)</f>
        <v>0</v>
      </c>
    </row>
    <row r="773" spans="2:6">
      <c r="B773" s="219" t="str">
        <f>'4K'!AM14</f>
        <v>WWS01006SDT</v>
      </c>
      <c r="C773" s="219" t="s">
        <v>2771</v>
      </c>
      <c r="E773" s="249" t="s">
        <v>634</v>
      </c>
      <c r="F773" s="255">
        <f>IF(ISBLANK('4K'!K14),"##BLANK",'4K'!K14)</f>
        <v>0</v>
      </c>
    </row>
    <row r="774" spans="2:6">
      <c r="B774" s="219" t="str">
        <f>'4K'!AN14</f>
        <v>WWS01006SDD</v>
      </c>
      <c r="C774" s="219" t="s">
        <v>2772</v>
      </c>
      <c r="E774" s="249" t="s">
        <v>634</v>
      </c>
      <c r="F774" s="255">
        <f>IF(ISBLANK('4K'!L14),"##BLANK",'4K'!L14)</f>
        <v>0</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f>IF(ISBLANK('4K'!E15),"##BLANK",'4K'!E15)</f>
        <v>19.617999999999999</v>
      </c>
    </row>
    <row r="777" spans="2:6">
      <c r="B777" s="219" t="str">
        <f>'4K'!AH15</f>
        <v>WWS01007SWD</v>
      </c>
      <c r="C777" s="219" t="s">
        <v>2775</v>
      </c>
      <c r="E777" s="249" t="s">
        <v>634</v>
      </c>
      <c r="F777" s="255">
        <f>IF(ISBLANK('4K'!F15),"##BLANK",'4K'!F15)</f>
        <v>7.9160000000000004</v>
      </c>
    </row>
    <row r="778" spans="2:6">
      <c r="B778" s="219" t="str">
        <f>'4K'!AI15</f>
        <v>WWS01007HD</v>
      </c>
      <c r="C778" s="219" t="s">
        <v>2776</v>
      </c>
      <c r="E778" s="249" t="s">
        <v>634</v>
      </c>
      <c r="F778" s="255">
        <f>IF(ISBLANK('4K'!G15),"##BLANK",'4K'!G15)</f>
        <v>4.2779999999999996</v>
      </c>
    </row>
    <row r="779" spans="2:6">
      <c r="B779" s="219" t="str">
        <f>'4K'!AJ15</f>
        <v>WWS01007STD</v>
      </c>
      <c r="C779" s="219" t="s">
        <v>2777</v>
      </c>
      <c r="E779" s="249" t="s">
        <v>634</v>
      </c>
      <c r="F779" s="255">
        <f>IF(ISBLANK('4K'!H15),"##BLANK",'4K'!H15)</f>
        <v>41.197000000000003</v>
      </c>
    </row>
    <row r="780" spans="2:6">
      <c r="B780" s="219" t="str">
        <f>'4K'!AK15</f>
        <v>WWS01007SLT</v>
      </c>
      <c r="C780" s="219" t="s">
        <v>2778</v>
      </c>
      <c r="E780" s="249" t="s">
        <v>634</v>
      </c>
      <c r="F780" s="255">
        <f>IF(ISBLANK('4K'!I15),"##BLANK",'4K'!I15)</f>
        <v>3.1829999999999998</v>
      </c>
    </row>
    <row r="781" spans="2:6">
      <c r="B781" s="219" t="str">
        <f>'4K'!AL15</f>
        <v>WWS01007STP</v>
      </c>
      <c r="C781" s="219" t="s">
        <v>2779</v>
      </c>
      <c r="E781" s="249" t="s">
        <v>634</v>
      </c>
      <c r="F781" s="255">
        <f>IF(ISBLANK('4K'!J15),"##BLANK",'4K'!J15)</f>
        <v>6.0469999999999997</v>
      </c>
    </row>
    <row r="782" spans="2:6">
      <c r="B782" s="219" t="str">
        <f>'4K'!AM15</f>
        <v>WWS01007SDT</v>
      </c>
      <c r="C782" s="219" t="s">
        <v>2780</v>
      </c>
      <c r="E782" s="249" t="s">
        <v>634</v>
      </c>
      <c r="F782" s="255">
        <f>IF(ISBLANK('4K'!K15),"##BLANK",'4K'!K15)</f>
        <v>14.834</v>
      </c>
    </row>
    <row r="783" spans="2:6">
      <c r="B783" s="219" t="str">
        <f>'4K'!AN15</f>
        <v>WWS01007SDD</v>
      </c>
      <c r="C783" s="219" t="s">
        <v>2781</v>
      </c>
      <c r="E783" s="249" t="s">
        <v>634</v>
      </c>
      <c r="F783" s="255">
        <f>IF(ISBLANK('4K'!L15),"##BLANK",'4K'!L15)</f>
        <v>5.14</v>
      </c>
    </row>
    <row r="784" spans="2:6">
      <c r="B784" s="219" t="str">
        <f>'4K'!AO15</f>
        <v>WWS01007CAS</v>
      </c>
      <c r="C784" s="219" t="s">
        <v>2782</v>
      </c>
      <c r="E784" s="249" t="s">
        <v>634</v>
      </c>
      <c r="F784" s="255">
        <f>IF(ISBLANK('4K'!M15),"##BLANK",'4K'!M15)</f>
        <v>102.21300000000001</v>
      </c>
    </row>
    <row r="785" spans="2:6">
      <c r="B785" s="219" t="str">
        <f>'4K'!AG16</f>
        <v>WWS1008FL</v>
      </c>
      <c r="C785" s="219" t="s">
        <v>2783</v>
      </c>
      <c r="E785" s="249" t="s">
        <v>634</v>
      </c>
      <c r="F785" s="255">
        <f>IF(ISBLANK('4K'!E16),"##BLANK",'4K'!E16)</f>
        <v>7.8E-2</v>
      </c>
    </row>
    <row r="786" spans="2:6">
      <c r="B786" s="219" t="str">
        <f>'4K'!AH16</f>
        <v>WWS1008SWD</v>
      </c>
      <c r="C786" s="219" t="s">
        <v>2784</v>
      </c>
      <c r="E786" s="249" t="s">
        <v>634</v>
      </c>
      <c r="F786" s="255">
        <f>IF(ISBLANK('4K'!F16),"##BLANK",'4K'!F16)</f>
        <v>3.1E-2</v>
      </c>
    </row>
    <row r="787" spans="2:6">
      <c r="B787" s="219" t="str">
        <f>'4K'!AI16</f>
        <v>WWS1008HD</v>
      </c>
      <c r="C787" s="219" t="s">
        <v>2785</v>
      </c>
      <c r="E787" s="249" t="s">
        <v>634</v>
      </c>
      <c r="F787" s="255">
        <f>IF(ISBLANK('4K'!G16),"##BLANK",'4K'!G16)</f>
        <v>1.6E-2</v>
      </c>
    </row>
    <row r="788" spans="2:6">
      <c r="B788" s="219" t="str">
        <f>'4K'!AJ16</f>
        <v>WWS1008STD</v>
      </c>
      <c r="C788" s="219" t="s">
        <v>2786</v>
      </c>
      <c r="E788" s="249" t="s">
        <v>634</v>
      </c>
      <c r="F788" s="255">
        <f>IF(ISBLANK('4K'!H16),"##BLANK",'4K'!H16)</f>
        <v>8.1649999999999991</v>
      </c>
    </row>
    <row r="789" spans="2:6">
      <c r="B789" s="219" t="str">
        <f>'4K'!AK16</f>
        <v>WWS1008SLT</v>
      </c>
      <c r="C789" s="219" t="s">
        <v>2787</v>
      </c>
      <c r="E789" s="249" t="s">
        <v>634</v>
      </c>
      <c r="F789" s="255">
        <f>IF(ISBLANK('4K'!I16),"##BLANK",'4K'!I16)</f>
        <v>1E-3</v>
      </c>
    </row>
    <row r="790" spans="2:6">
      <c r="B790" s="219" t="str">
        <f>'4K'!AL16</f>
        <v>WWS1008STP</v>
      </c>
      <c r="C790" s="219" t="s">
        <v>2788</v>
      </c>
      <c r="E790" s="249" t="s">
        <v>634</v>
      </c>
      <c r="F790" s="255">
        <f>IF(ISBLANK('4K'!J16),"##BLANK",'4K'!J16)</f>
        <v>7.0000000000000001E-3</v>
      </c>
    </row>
    <row r="791" spans="2:6">
      <c r="B791" s="219" t="str">
        <f>'4K'!AM16</f>
        <v>WWS1008SDT</v>
      </c>
      <c r="C791" s="219" t="s">
        <v>2789</v>
      </c>
      <c r="E791" s="249" t="s">
        <v>634</v>
      </c>
      <c r="F791" s="255">
        <f>IF(ISBLANK('4K'!K16),"##BLANK",'4K'!K16)</f>
        <v>0.628</v>
      </c>
    </row>
    <row r="792" spans="2:6">
      <c r="B792" s="219" t="str">
        <f>'4K'!AN16</f>
        <v>WWS1008SDD</v>
      </c>
      <c r="C792" s="219" t="s">
        <v>2790</v>
      </c>
      <c r="E792" s="249" t="s">
        <v>634</v>
      </c>
      <c r="F792" s="255">
        <f>IF(ISBLANK('4K'!L16),"##BLANK",'4K'!L16)</f>
        <v>5.0000000000000001E-3</v>
      </c>
    </row>
    <row r="793" spans="2:6">
      <c r="B793" s="219" t="str">
        <f>'4K'!AO16</f>
        <v>WWS1008CAS</v>
      </c>
      <c r="C793" s="219" t="s">
        <v>1300</v>
      </c>
      <c r="E793" s="249" t="s">
        <v>634</v>
      </c>
      <c r="F793" s="255">
        <f>IF(ISBLANK('4K'!M16),"##BLANK",'4K'!M16)</f>
        <v>8.9309999999999992</v>
      </c>
    </row>
    <row r="794" spans="2:6">
      <c r="B794" s="219" t="str">
        <f>'4K'!AG19</f>
        <v>WWS1100FL</v>
      </c>
      <c r="C794" s="219" t="s">
        <v>2791</v>
      </c>
      <c r="E794" s="249" t="s">
        <v>634</v>
      </c>
      <c r="F794" s="255">
        <f>IF(ISBLANK('4K'!E19),"##BLANK",'4K'!E19)</f>
        <v>1.0999999999999999E-2</v>
      </c>
    </row>
    <row r="795" spans="2:6">
      <c r="B795" s="219" t="str">
        <f>'4K'!AH19</f>
        <v>WWS1100SWD</v>
      </c>
      <c r="C795" s="219" t="s">
        <v>2792</v>
      </c>
      <c r="E795" s="249" t="s">
        <v>634</v>
      </c>
      <c r="F795" s="255">
        <f>IF(ISBLANK('4K'!F19),"##BLANK",'4K'!F19)</f>
        <v>4.0000000000000001E-3</v>
      </c>
    </row>
    <row r="796" spans="2:6">
      <c r="B796" s="219" t="str">
        <f>'4K'!AI19</f>
        <v>WWS1100HD</v>
      </c>
      <c r="C796" s="219" t="s">
        <v>2793</v>
      </c>
      <c r="E796" s="249" t="s">
        <v>634</v>
      </c>
      <c r="F796" s="255">
        <f>IF(ISBLANK('4K'!G19),"##BLANK",'4K'!G19)</f>
        <v>2E-3</v>
      </c>
    </row>
    <row r="797" spans="2:6">
      <c r="B797" s="219" t="str">
        <f>'4K'!AJ19</f>
        <v>WWS1100STD</v>
      </c>
      <c r="C797" s="219" t="s">
        <v>2794</v>
      </c>
      <c r="E797" s="249" t="s">
        <v>634</v>
      </c>
      <c r="F797" s="255">
        <f>IF(ISBLANK('4K'!H19),"##BLANK",'4K'!H19)</f>
        <v>0</v>
      </c>
    </row>
    <row r="798" spans="2:6">
      <c r="B798" s="219" t="str">
        <f>'4K'!AK19</f>
        <v>WWS1100SLT</v>
      </c>
      <c r="C798" s="219" t="s">
        <v>2795</v>
      </c>
      <c r="E798" s="249" t="s">
        <v>634</v>
      </c>
      <c r="F798" s="255">
        <f>IF(ISBLANK('4K'!I19),"##BLANK",'4K'!I19)</f>
        <v>0</v>
      </c>
    </row>
    <row r="799" spans="2:6">
      <c r="B799" s="219" t="str">
        <f>'4K'!AL19</f>
        <v>WWS1100STP</v>
      </c>
      <c r="C799" s="219" t="s">
        <v>2796</v>
      </c>
      <c r="E799" s="249" t="s">
        <v>634</v>
      </c>
      <c r="F799" s="255">
        <f>IF(ISBLANK('4K'!J19),"##BLANK",'4K'!J19)</f>
        <v>0</v>
      </c>
    </row>
    <row r="800" spans="2:6">
      <c r="B800" s="219" t="str">
        <f>'4K'!AM19</f>
        <v>WWS1100SDT</v>
      </c>
      <c r="C800" s="219" t="s">
        <v>2797</v>
      </c>
      <c r="E800" s="249" t="s">
        <v>634</v>
      </c>
      <c r="F800" s="255">
        <f>IF(ISBLANK('4K'!K19),"##BLANK",'4K'!K19)</f>
        <v>0</v>
      </c>
    </row>
    <row r="801" spans="2:6">
      <c r="B801" s="219" t="str">
        <f>'4K'!AN19</f>
        <v>WWS1100SDD</v>
      </c>
      <c r="C801" s="219" t="s">
        <v>2798</v>
      </c>
      <c r="E801" s="249" t="s">
        <v>634</v>
      </c>
      <c r="F801" s="255">
        <f>IF(ISBLANK('4K'!L19),"##BLANK",'4K'!L19)</f>
        <v>0</v>
      </c>
    </row>
    <row r="802" spans="2:6">
      <c r="B802" s="219" t="str">
        <f>'4K'!AO19</f>
        <v>WWS1100CAS</v>
      </c>
      <c r="C802" s="219" t="s">
        <v>2799</v>
      </c>
      <c r="E802" s="249" t="s">
        <v>634</v>
      </c>
      <c r="F802" s="255">
        <f>IF(ISBLANK('4K'!M19),"##BLANK",'4K'!M19)</f>
        <v>1.7000000000000001E-2</v>
      </c>
    </row>
    <row r="803" spans="2:6">
      <c r="B803" s="219" t="str">
        <f>'4K'!AG20</f>
        <v>WWS1101FL</v>
      </c>
      <c r="C803" s="219" t="s">
        <v>2800</v>
      </c>
      <c r="E803" s="249" t="s">
        <v>634</v>
      </c>
      <c r="F803" s="255">
        <f>IF(ISBLANK('4K'!E20),"##BLANK",'4K'!E20)</f>
        <v>1.0449999999999999</v>
      </c>
    </row>
    <row r="804" spans="2:6">
      <c r="B804" s="219" t="str">
        <f>'4K'!AH20</f>
        <v>WWS1101SWD</v>
      </c>
      <c r="C804" s="219" t="s">
        <v>2801</v>
      </c>
      <c r="E804" s="249" t="s">
        <v>634</v>
      </c>
      <c r="F804" s="255">
        <f>IF(ISBLANK('4K'!F20),"##BLANK",'4K'!F20)</f>
        <v>0.34</v>
      </c>
    </row>
    <row r="805" spans="2:6">
      <c r="B805" s="219" t="str">
        <f>'4K'!AI20</f>
        <v>WWS1101HD</v>
      </c>
      <c r="C805" s="219" t="s">
        <v>2802</v>
      </c>
      <c r="E805" s="249" t="s">
        <v>634</v>
      </c>
      <c r="F805" s="255">
        <f>IF(ISBLANK('4K'!G20),"##BLANK",'4K'!G20)</f>
        <v>0.17799999999999999</v>
      </c>
    </row>
    <row r="806" spans="2:6">
      <c r="B806" s="219" t="str">
        <f>'4K'!AJ20</f>
        <v>WWS1101STD</v>
      </c>
      <c r="C806" s="219" t="s">
        <v>2803</v>
      </c>
      <c r="E806" s="249" t="s">
        <v>634</v>
      </c>
      <c r="F806" s="255">
        <f>IF(ISBLANK('4K'!H20),"##BLANK",'4K'!H20)</f>
        <v>3.4889999999999999</v>
      </c>
    </row>
    <row r="807" spans="2:6">
      <c r="B807" s="219" t="str">
        <f>'4K'!AK20</f>
        <v>WWS1101SLT</v>
      </c>
      <c r="C807" s="219" t="s">
        <v>2804</v>
      </c>
      <c r="E807" s="249" t="s">
        <v>634</v>
      </c>
      <c r="F807" s="255">
        <f>IF(ISBLANK('4K'!I20),"##BLANK",'4K'!I20)</f>
        <v>0.16200000000000001</v>
      </c>
    </row>
    <row r="808" spans="2:6">
      <c r="B808" s="219" t="str">
        <f>'4K'!AL20</f>
        <v>WWS1101STP</v>
      </c>
      <c r="C808" s="219" t="s">
        <v>2805</v>
      </c>
      <c r="E808" s="249" t="s">
        <v>634</v>
      </c>
      <c r="F808" s="255">
        <f>IF(ISBLANK('4K'!J20),"##BLANK",'4K'!J20)</f>
        <v>0</v>
      </c>
    </row>
    <row r="809" spans="2:6">
      <c r="B809" s="219" t="str">
        <f>'4K'!AM20</f>
        <v>WWS1101SDT</v>
      </c>
      <c r="C809" s="219" t="s">
        <v>2806</v>
      </c>
      <c r="E809" s="249" t="s">
        <v>634</v>
      </c>
      <c r="F809" s="255">
        <f>IF(ISBLANK('4K'!K20),"##BLANK",'4K'!K20)</f>
        <v>3.2000000000000001E-2</v>
      </c>
    </row>
    <row r="810" spans="2:6">
      <c r="B810" s="219" t="str">
        <f>'4K'!AN20</f>
        <v>WWS1101SDD</v>
      </c>
      <c r="C810" s="219" t="s">
        <v>2807</v>
      </c>
      <c r="E810" s="249" t="s">
        <v>634</v>
      </c>
      <c r="F810" s="255">
        <f>IF(ISBLANK('4K'!L20),"##BLANK",'4K'!L20)</f>
        <v>0</v>
      </c>
    </row>
    <row r="811" spans="2:6">
      <c r="B811" s="219" t="str">
        <f>'4K'!AO20</f>
        <v>WWS1101CAS</v>
      </c>
      <c r="C811" s="219" t="s">
        <v>2808</v>
      </c>
      <c r="E811" s="249" t="s">
        <v>634</v>
      </c>
      <c r="F811" s="255">
        <f>IF(ISBLANK('4K'!M20),"##BLANK",'4K'!M20)</f>
        <v>5.2459999999999996</v>
      </c>
    </row>
    <row r="812" spans="2:6">
      <c r="B812" s="219" t="str">
        <f>'4K'!AG21</f>
        <v>WWS1102FL</v>
      </c>
      <c r="C812" s="219" t="s">
        <v>2809</v>
      </c>
      <c r="E812" s="249" t="s">
        <v>634</v>
      </c>
      <c r="F812" s="255">
        <f>IF(ISBLANK('4K'!E21),"##BLANK",'4K'!E21)</f>
        <v>0</v>
      </c>
    </row>
    <row r="813" spans="2:6">
      <c r="B813" s="219" t="str">
        <f>'4K'!AH21</f>
        <v>WWS1102SWD</v>
      </c>
      <c r="C813" s="219" t="s">
        <v>2810</v>
      </c>
      <c r="E813" s="249" t="s">
        <v>634</v>
      </c>
      <c r="F813" s="255">
        <f>IF(ISBLANK('4K'!F21),"##BLANK",'4K'!F21)</f>
        <v>0</v>
      </c>
    </row>
    <row r="814" spans="2:6">
      <c r="B814" s="219" t="str">
        <f>'4K'!AI21</f>
        <v>WWS1102HD</v>
      </c>
      <c r="C814" s="219" t="s">
        <v>2811</v>
      </c>
      <c r="E814" s="249" t="s">
        <v>634</v>
      </c>
      <c r="F814" s="255">
        <f>IF(ISBLANK('4K'!G21),"##BLANK",'4K'!G21)</f>
        <v>0</v>
      </c>
    </row>
    <row r="815" spans="2:6">
      <c r="B815" s="219" t="str">
        <f>'4K'!AJ21</f>
        <v>WWS1102STD</v>
      </c>
      <c r="C815" s="219" t="s">
        <v>2812</v>
      </c>
      <c r="E815" s="249" t="s">
        <v>634</v>
      </c>
      <c r="F815" s="255">
        <f>IF(ISBLANK('4K'!H21),"##BLANK",'4K'!H21)</f>
        <v>0</v>
      </c>
    </row>
    <row r="816" spans="2:6">
      <c r="B816" s="219" t="str">
        <f>'4K'!AK21</f>
        <v>WWS1102SLT</v>
      </c>
      <c r="C816" s="219" t="s">
        <v>2813</v>
      </c>
      <c r="E816" s="249" t="s">
        <v>634</v>
      </c>
      <c r="F816" s="255">
        <f>IF(ISBLANK('4K'!I21),"##BLANK",'4K'!I21)</f>
        <v>0</v>
      </c>
    </row>
    <row r="817" spans="2:6">
      <c r="B817" s="219" t="str">
        <f>'4K'!AL21</f>
        <v>WWS1102STP</v>
      </c>
      <c r="C817" s="219" t="s">
        <v>2814</v>
      </c>
      <c r="E817" s="249" t="s">
        <v>634</v>
      </c>
      <c r="F817" s="255">
        <f>IF(ISBLANK('4K'!J21),"##BLANK",'4K'!J21)</f>
        <v>0</v>
      </c>
    </row>
    <row r="818" spans="2:6">
      <c r="B818" s="219" t="str">
        <f>'4K'!AM21</f>
        <v>WWS1102SDT</v>
      </c>
      <c r="C818" s="219" t="s">
        <v>2815</v>
      </c>
      <c r="E818" s="249" t="s">
        <v>634</v>
      </c>
      <c r="F818" s="255">
        <f>IF(ISBLANK('4K'!K21),"##BLANK",'4K'!K21)</f>
        <v>0</v>
      </c>
    </row>
    <row r="819" spans="2:6">
      <c r="B819" s="219" t="str">
        <f>'4K'!AN21</f>
        <v>WWS1102SDD</v>
      </c>
      <c r="C819" s="219" t="s">
        <v>2816</v>
      </c>
      <c r="E819" s="249" t="s">
        <v>634</v>
      </c>
      <c r="F819" s="255">
        <f>IF(ISBLANK('4K'!L21),"##BLANK",'4K'!L21)</f>
        <v>0</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f>IF(ISBLANK('4K'!E24),"##BLANK",'4K'!E24)</f>
        <v>5.8000000000000003E-2</v>
      </c>
    </row>
    <row r="822" spans="2:6">
      <c r="B822" s="219" t="str">
        <f>'4K'!AH24</f>
        <v>WWS1103SWD</v>
      </c>
      <c r="C822" s="219" t="s">
        <v>2819</v>
      </c>
      <c r="E822" s="249" t="s">
        <v>634</v>
      </c>
      <c r="F822" s="255">
        <f>IF(ISBLANK('4K'!F24),"##BLANK",'4K'!F24)</f>
        <v>2.3E-2</v>
      </c>
    </row>
    <row r="823" spans="2:6">
      <c r="B823" s="219" t="str">
        <f>'4K'!AI24</f>
        <v>WWS1103HD</v>
      </c>
      <c r="C823" s="219" t="s">
        <v>2820</v>
      </c>
      <c r="E823" s="249" t="s">
        <v>634</v>
      </c>
      <c r="F823" s="255">
        <f>IF(ISBLANK('4K'!G24),"##BLANK",'4K'!G24)</f>
        <v>1.2E-2</v>
      </c>
    </row>
    <row r="824" spans="2:6">
      <c r="B824" s="219" t="str">
        <f>'4K'!AJ24</f>
        <v>WWS1103STD</v>
      </c>
      <c r="C824" s="219" t="s">
        <v>2821</v>
      </c>
      <c r="E824" s="249" t="s">
        <v>634</v>
      </c>
      <c r="F824" s="255">
        <f>IF(ISBLANK('4K'!H24),"##BLANK",'4K'!H24)</f>
        <v>0</v>
      </c>
    </row>
    <row r="825" spans="2:6">
      <c r="B825" s="219" t="str">
        <f>'4K'!AK24</f>
        <v>WWS1103SLT</v>
      </c>
      <c r="C825" s="219" t="s">
        <v>2822</v>
      </c>
      <c r="E825" s="249" t="s">
        <v>634</v>
      </c>
      <c r="F825" s="255">
        <f>IF(ISBLANK('4K'!I24),"##BLANK",'4K'!I24)</f>
        <v>0</v>
      </c>
    </row>
    <row r="826" spans="2:6">
      <c r="B826" s="219" t="str">
        <f>'4K'!AL24</f>
        <v>WWS1103STP</v>
      </c>
      <c r="C826" s="219" t="s">
        <v>2823</v>
      </c>
      <c r="E826" s="249" t="s">
        <v>634</v>
      </c>
      <c r="F826" s="255">
        <f>IF(ISBLANK('4K'!J24),"##BLANK",'4K'!J24)</f>
        <v>0</v>
      </c>
    </row>
    <row r="827" spans="2:6">
      <c r="B827" s="219" t="str">
        <f>'4K'!AM24</f>
        <v>WWS1103SDT</v>
      </c>
      <c r="C827" s="219" t="s">
        <v>2824</v>
      </c>
      <c r="E827" s="249" t="s">
        <v>634</v>
      </c>
      <c r="F827" s="255">
        <f>IF(ISBLANK('4K'!K24),"##BLANK",'4K'!K24)</f>
        <v>0</v>
      </c>
    </row>
    <row r="828" spans="2:6">
      <c r="B828" s="219" t="str">
        <f>'4K'!AN24</f>
        <v>WWS1103SDD</v>
      </c>
      <c r="C828" s="219" t="s">
        <v>2825</v>
      </c>
      <c r="E828" s="249" t="s">
        <v>634</v>
      </c>
      <c r="F828" s="255">
        <f>IF(ISBLANK('4K'!L24),"##BLANK",'4K'!L24)</f>
        <v>0</v>
      </c>
    </row>
    <row r="829" spans="2:6">
      <c r="B829" s="219" t="str">
        <f>'4K'!AO24</f>
        <v>WWS1103CAS</v>
      </c>
      <c r="C829" s="219" t="s">
        <v>2826</v>
      </c>
      <c r="E829" s="249" t="s">
        <v>634</v>
      </c>
      <c r="F829" s="255">
        <f>IF(ISBLANK('4K'!M24),"##BLANK",'4K'!M24)</f>
        <v>9.2999999999999999E-2</v>
      </c>
    </row>
    <row r="830" spans="2:6">
      <c r="B830" s="219" t="str">
        <f>'4K'!AG25</f>
        <v>WWS1104FL</v>
      </c>
      <c r="C830" s="219" t="s">
        <v>2827</v>
      </c>
      <c r="E830" s="249" t="s">
        <v>634</v>
      </c>
      <c r="F830" s="255">
        <f>IF(ISBLANK('4K'!E25),"##BLANK",'4K'!E25)</f>
        <v>0</v>
      </c>
    </row>
    <row r="831" spans="2:6">
      <c r="B831" s="219" t="str">
        <f>'4K'!AH25</f>
        <v>WWS1104SWD</v>
      </c>
      <c r="C831" s="219" t="s">
        <v>2828</v>
      </c>
      <c r="E831" s="249" t="s">
        <v>634</v>
      </c>
      <c r="F831" s="255">
        <f>IF(ISBLANK('4K'!F25),"##BLANK",'4K'!F25)</f>
        <v>0</v>
      </c>
    </row>
    <row r="832" spans="2:6">
      <c r="B832" s="219" t="str">
        <f>'4K'!AI25</f>
        <v>WWS1104HD</v>
      </c>
      <c r="C832" s="219" t="s">
        <v>2829</v>
      </c>
      <c r="E832" s="249" t="s">
        <v>634</v>
      </c>
      <c r="F832" s="255">
        <f>IF(ISBLANK('4K'!G25),"##BLANK",'4K'!G25)</f>
        <v>0</v>
      </c>
    </row>
    <row r="833" spans="2:6">
      <c r="B833" s="219" t="str">
        <f>'4K'!AJ25</f>
        <v>WWS1104STD</v>
      </c>
      <c r="C833" s="219" t="s">
        <v>2830</v>
      </c>
      <c r="E833" s="249" t="s">
        <v>634</v>
      </c>
      <c r="F833" s="255">
        <f>IF(ISBLANK('4K'!H25),"##BLANK",'4K'!H25)</f>
        <v>0</v>
      </c>
    </row>
    <row r="834" spans="2:6">
      <c r="B834" s="219" t="str">
        <f>'4K'!AK25</f>
        <v>WWS1104SLT</v>
      </c>
      <c r="C834" s="219" t="s">
        <v>2831</v>
      </c>
      <c r="E834" s="249" t="s">
        <v>634</v>
      </c>
      <c r="F834" s="255">
        <f>IF(ISBLANK('4K'!I25),"##BLANK",'4K'!I25)</f>
        <v>0</v>
      </c>
    </row>
    <row r="835" spans="2:6">
      <c r="B835" s="219" t="str">
        <f>'4K'!AL25</f>
        <v>WWS1104STP</v>
      </c>
      <c r="C835" s="219" t="s">
        <v>2832</v>
      </c>
      <c r="E835" s="249" t="s">
        <v>634</v>
      </c>
      <c r="F835" s="255">
        <f>IF(ISBLANK('4K'!J25),"##BLANK",'4K'!J25)</f>
        <v>0</v>
      </c>
    </row>
    <row r="836" spans="2:6">
      <c r="B836" s="219" t="str">
        <f>'4K'!AM25</f>
        <v>WWS1104SDT</v>
      </c>
      <c r="C836" s="219" t="s">
        <v>2833</v>
      </c>
      <c r="E836" s="249" t="s">
        <v>634</v>
      </c>
      <c r="F836" s="255">
        <f>IF(ISBLANK('4K'!K25),"##BLANK",'4K'!K25)</f>
        <v>0</v>
      </c>
    </row>
    <row r="837" spans="2:6">
      <c r="B837" s="219" t="str">
        <f>'4K'!AN25</f>
        <v>WWS1104SDD</v>
      </c>
      <c r="C837" s="219" t="s">
        <v>2834</v>
      </c>
      <c r="E837" s="249" t="s">
        <v>634</v>
      </c>
      <c r="F837" s="255">
        <f>IF(ISBLANK('4K'!L25),"##BLANK",'4K'!L25)</f>
        <v>0</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f>IF(ISBLANK('4K'!E26),"##BLANK",'4K'!E26)</f>
        <v>0</v>
      </c>
    </row>
    <row r="840" spans="2:6">
      <c r="B840" s="219" t="str">
        <f>'4K'!AH26</f>
        <v>WWS1105SWD</v>
      </c>
      <c r="C840" s="219" t="s">
        <v>2837</v>
      </c>
      <c r="E840" s="249" t="s">
        <v>634</v>
      </c>
      <c r="F840" s="255">
        <f>IF(ISBLANK('4K'!F26),"##BLANK",'4K'!F26)</f>
        <v>0</v>
      </c>
    </row>
    <row r="841" spans="2:6">
      <c r="B841" s="219" t="str">
        <f>'4K'!AI26</f>
        <v>WWS1105HD</v>
      </c>
      <c r="C841" s="219" t="s">
        <v>2838</v>
      </c>
      <c r="E841" s="249" t="s">
        <v>634</v>
      </c>
      <c r="F841" s="255">
        <f>IF(ISBLANK('4K'!G26),"##BLANK",'4K'!G26)</f>
        <v>0</v>
      </c>
    </row>
    <row r="842" spans="2:6">
      <c r="B842" s="219" t="str">
        <f>'4K'!AJ26</f>
        <v>WWS1105STD</v>
      </c>
      <c r="C842" s="219" t="s">
        <v>2839</v>
      </c>
      <c r="E842" s="249" t="s">
        <v>634</v>
      </c>
      <c r="F842" s="255">
        <f>IF(ISBLANK('4K'!H26),"##BLANK",'4K'!H26)</f>
        <v>0</v>
      </c>
    </row>
    <row r="843" spans="2:6">
      <c r="B843" s="219" t="str">
        <f>'4K'!AK26</f>
        <v>WWS1105SLT</v>
      </c>
      <c r="C843" s="219" t="s">
        <v>2840</v>
      </c>
      <c r="E843" s="249" t="s">
        <v>634</v>
      </c>
      <c r="F843" s="255">
        <f>IF(ISBLANK('4K'!I26),"##BLANK",'4K'!I26)</f>
        <v>0</v>
      </c>
    </row>
    <row r="844" spans="2:6">
      <c r="B844" s="219" t="str">
        <f>'4K'!AL26</f>
        <v>WWS1105STP</v>
      </c>
      <c r="C844" s="219" t="s">
        <v>2841</v>
      </c>
      <c r="E844" s="249" t="s">
        <v>634</v>
      </c>
      <c r="F844" s="255">
        <f>IF(ISBLANK('4K'!J26),"##BLANK",'4K'!J26)</f>
        <v>0</v>
      </c>
    </row>
    <row r="845" spans="2:6">
      <c r="B845" s="219" t="str">
        <f>'4K'!AM26</f>
        <v>WWS1105SDT</v>
      </c>
      <c r="C845" s="219" t="s">
        <v>2842</v>
      </c>
      <c r="E845" s="249" t="s">
        <v>634</v>
      </c>
      <c r="F845" s="255">
        <f>IF(ISBLANK('4K'!K26),"##BLANK",'4K'!K26)</f>
        <v>2.7E-2</v>
      </c>
    </row>
    <row r="846" spans="2:6">
      <c r="B846" s="219" t="str">
        <f>'4K'!AN26</f>
        <v>WWS1105SDD</v>
      </c>
      <c r="C846" s="219" t="s">
        <v>2843</v>
      </c>
      <c r="E846" s="249" t="s">
        <v>634</v>
      </c>
      <c r="F846" s="255">
        <f>IF(ISBLANK('4K'!L26),"##BLANK",'4K'!L26)</f>
        <v>0</v>
      </c>
    </row>
    <row r="847" spans="2:6">
      <c r="B847" s="219" t="str">
        <f>'4K'!AO26</f>
        <v>WWS1105CAS</v>
      </c>
      <c r="C847" s="219" t="s">
        <v>2844</v>
      </c>
      <c r="E847" s="249" t="s">
        <v>634</v>
      </c>
      <c r="F847" s="255">
        <f>IF(ISBLANK('4K'!M26),"##BLANK",'4K'!M26)</f>
        <v>2.7E-2</v>
      </c>
    </row>
    <row r="848" spans="2:6">
      <c r="B848" s="219" t="str">
        <f>'4K'!AG28</f>
        <v>WWS1106FL</v>
      </c>
      <c r="C848" s="219" t="s">
        <v>2845</v>
      </c>
      <c r="E848" s="249" t="s">
        <v>634</v>
      </c>
      <c r="F848" s="255">
        <f>IF(ISBLANK('4K'!E28),"##BLANK",'4K'!E28)</f>
        <v>36.626000000000005</v>
      </c>
    </row>
    <row r="849" spans="2:6">
      <c r="B849" s="219" t="str">
        <f>'4K'!AH28</f>
        <v>WWS1106SWD</v>
      </c>
      <c r="C849" s="219" t="s">
        <v>2846</v>
      </c>
      <c r="E849" s="249" t="s">
        <v>634</v>
      </c>
      <c r="F849" s="255">
        <f>IF(ISBLANK('4K'!F28),"##BLANK",'4K'!F28)</f>
        <v>17.893000000000001</v>
      </c>
    </row>
    <row r="850" spans="2:6">
      <c r="B850" s="219" t="str">
        <f>'4K'!AI28</f>
        <v>WWS1106HD</v>
      </c>
      <c r="C850" s="219" t="s">
        <v>2847</v>
      </c>
      <c r="E850" s="249" t="s">
        <v>634</v>
      </c>
      <c r="F850" s="255">
        <f>IF(ISBLANK('4K'!G28),"##BLANK",'4K'!G28)</f>
        <v>8.7740000000000009</v>
      </c>
    </row>
    <row r="851" spans="2:6">
      <c r="B851" s="219" t="str">
        <f>'4K'!AJ28</f>
        <v>WWS1106STD</v>
      </c>
      <c r="C851" s="219" t="s">
        <v>2848</v>
      </c>
      <c r="E851" s="249" t="s">
        <v>634</v>
      </c>
      <c r="F851" s="255">
        <f>IF(ISBLANK('4K'!H28),"##BLANK",'4K'!H28)</f>
        <v>85.283999999999992</v>
      </c>
    </row>
    <row r="852" spans="2:6">
      <c r="B852" s="219" t="str">
        <f>'4K'!AK28</f>
        <v>WWS1106SLT</v>
      </c>
      <c r="C852" s="219" t="s">
        <v>2849</v>
      </c>
      <c r="E852" s="249" t="s">
        <v>634</v>
      </c>
      <c r="F852" s="255">
        <f>IF(ISBLANK('4K'!I28),"##BLANK",'4K'!I28)</f>
        <v>5.5890000000000004</v>
      </c>
    </row>
    <row r="853" spans="2:6">
      <c r="B853" s="219" t="str">
        <f>'4K'!AL28</f>
        <v>WWS1106STP</v>
      </c>
      <c r="C853" s="219" t="s">
        <v>2850</v>
      </c>
      <c r="E853" s="249" t="s">
        <v>634</v>
      </c>
      <c r="F853" s="255">
        <f>IF(ISBLANK('4K'!J28),"##BLANK",'4K'!J28)</f>
        <v>7.0909999999999993</v>
      </c>
    </row>
    <row r="854" spans="2:6">
      <c r="B854" s="219" t="str">
        <f>'4K'!AM28</f>
        <v>WWS1106SDT</v>
      </c>
      <c r="C854" s="219" t="s">
        <v>2851</v>
      </c>
      <c r="E854" s="249" t="s">
        <v>634</v>
      </c>
      <c r="F854" s="255">
        <f>IF(ISBLANK('4K'!K28),"##BLANK",'4K'!K28)</f>
        <v>7.4379999999999997</v>
      </c>
    </row>
    <row r="855" spans="2:6">
      <c r="B855" s="1783" t="str">
        <f>'4K'!AN28</f>
        <v>WWS1106SDD</v>
      </c>
      <c r="C855" s="219" t="s">
        <v>2852</v>
      </c>
      <c r="E855" s="249" t="s">
        <v>634</v>
      </c>
      <c r="F855" s="255">
        <f>IF(ISBLANK('4K'!L28),"##BLANK",'4K'!L28)</f>
        <v>5.1639999999999997</v>
      </c>
    </row>
    <row r="856" spans="2:6">
      <c r="B856" s="1783" t="str">
        <f>'4K'!AO28</f>
        <v>WWS1106CAS</v>
      </c>
      <c r="C856" s="219" t="s">
        <v>1195</v>
      </c>
      <c r="E856" s="249" t="s">
        <v>634</v>
      </c>
      <c r="F856" s="255">
        <f>IF(ISBLANK('4K'!M28),"##BLANK",'4K'!M28)</f>
        <v>173.85900000000001</v>
      </c>
    </row>
    <row r="857" spans="2:6">
      <c r="B857" s="1783" t="str">
        <f>'4K'!AG31</f>
        <v>WWS1012FL</v>
      </c>
      <c r="C857" s="219" t="s">
        <v>2853</v>
      </c>
      <c r="E857" s="249" t="s">
        <v>634</v>
      </c>
      <c r="F857" s="255">
        <f>IF(ISBLANK('4K'!E31),"##BLANK",'4K'!E31)</f>
        <v>7.2060000000000004</v>
      </c>
    </row>
    <row r="858" spans="2:6">
      <c r="B858" s="1783" t="str">
        <f>'4K'!AH31</f>
        <v>WWS1012SWD</v>
      </c>
      <c r="C858" s="219" t="s">
        <v>2854</v>
      </c>
      <c r="E858" s="249" t="s">
        <v>634</v>
      </c>
      <c r="F858" s="255">
        <f>IF(ISBLANK('4K'!F31),"##BLANK",'4K'!F31)</f>
        <v>0.86199999999999999</v>
      </c>
    </row>
    <row r="859" spans="2:6">
      <c r="B859" s="1783" t="str">
        <f>'4K'!AI31</f>
        <v>WWS1012HD</v>
      </c>
      <c r="C859" s="219" t="s">
        <v>2855</v>
      </c>
      <c r="E859" s="249" t="s">
        <v>634</v>
      </c>
      <c r="F859" s="255">
        <f>IF(ISBLANK('4K'!G31),"##BLANK",'4K'!G31)</f>
        <v>1.345</v>
      </c>
    </row>
    <row r="860" spans="2:6">
      <c r="B860" s="1783" t="str">
        <f>'4K'!AJ31</f>
        <v>WWS1012STD</v>
      </c>
      <c r="C860" s="219" t="s">
        <v>2856</v>
      </c>
      <c r="E860" s="249" t="s">
        <v>634</v>
      </c>
      <c r="F860" s="255">
        <f>IF(ISBLANK('4K'!H31),"##BLANK",'4K'!H31)</f>
        <v>0</v>
      </c>
    </row>
    <row r="861" spans="2:6">
      <c r="B861" s="1783" t="str">
        <f>'4K'!AK31</f>
        <v>WWS1012SLT</v>
      </c>
      <c r="C861" s="219" t="s">
        <v>2857</v>
      </c>
      <c r="E861" s="249" t="s">
        <v>634</v>
      </c>
      <c r="F861" s="255">
        <f>IF(ISBLANK('4K'!I31),"##BLANK",'4K'!I31)</f>
        <v>0</v>
      </c>
    </row>
    <row r="862" spans="2:6">
      <c r="B862" s="1783" t="str">
        <f>'4K'!AL31</f>
        <v>WWS1012STP</v>
      </c>
      <c r="C862" s="219" t="s">
        <v>2858</v>
      </c>
      <c r="E862" s="249" t="s">
        <v>634</v>
      </c>
      <c r="F862" s="255">
        <f>IF(ISBLANK('4K'!J31),"##BLANK",'4K'!J31)</f>
        <v>0</v>
      </c>
    </row>
    <row r="863" spans="2:6">
      <c r="B863" s="1783" t="str">
        <f>'4K'!AM31</f>
        <v>WWS1012SDT</v>
      </c>
      <c r="C863" s="219" t="s">
        <v>2859</v>
      </c>
      <c r="E863" s="249" t="s">
        <v>634</v>
      </c>
      <c r="F863" s="255">
        <f>IF(ISBLANK('4K'!K31),"##BLANK",'4K'!K31)</f>
        <v>0</v>
      </c>
    </row>
    <row r="864" spans="2:6">
      <c r="B864" s="1783" t="str">
        <f>'4K'!AN31</f>
        <v>WWS1012SDD</v>
      </c>
      <c r="C864" s="219" t="s">
        <v>2860</v>
      </c>
      <c r="E864" s="249" t="s">
        <v>634</v>
      </c>
      <c r="F864" s="255">
        <f>IF(ISBLANK('4K'!L31),"##BLANK",'4K'!L31)</f>
        <v>0</v>
      </c>
    </row>
    <row r="865" spans="2:6">
      <c r="B865" s="1783" t="str">
        <f>'4K'!AO31</f>
        <v>WWS1012CAS</v>
      </c>
      <c r="C865" s="219" t="s">
        <v>2710</v>
      </c>
      <c r="E865" s="249" t="s">
        <v>634</v>
      </c>
      <c r="F865" s="255">
        <f>IF(ISBLANK('4K'!M31),"##BLANK",'4K'!M31)</f>
        <v>9.4130000000000003</v>
      </c>
    </row>
    <row r="866" spans="2:6">
      <c r="B866" s="1783" t="str">
        <f>'4K'!AG32</f>
        <v>WWS1013FL</v>
      </c>
      <c r="C866" s="219" t="s">
        <v>2861</v>
      </c>
      <c r="E866" s="249" t="s">
        <v>634</v>
      </c>
      <c r="F866" s="255">
        <f>IF(ISBLANK('4K'!E32),"##BLANK",'4K'!E32)</f>
        <v>7.03</v>
      </c>
    </row>
    <row r="867" spans="2:6">
      <c r="B867" s="1783" t="str">
        <f>'4K'!AH32</f>
        <v>WWS1013SWD</v>
      </c>
      <c r="C867" s="219" t="s">
        <v>2862</v>
      </c>
      <c r="E867" s="249" t="s">
        <v>634</v>
      </c>
      <c r="F867" s="255">
        <f>IF(ISBLANK('4K'!F32),"##BLANK",'4K'!F32)</f>
        <v>3.2730000000000001</v>
      </c>
    </row>
    <row r="868" spans="2:6">
      <c r="B868" s="1783" t="str">
        <f>'4K'!AI32</f>
        <v>WWS1013HD</v>
      </c>
      <c r="C868" s="219" t="s">
        <v>2863</v>
      </c>
      <c r="E868" s="249" t="s">
        <v>634</v>
      </c>
      <c r="F868" s="255">
        <f>IF(ISBLANK('4K'!G32),"##BLANK",'4K'!G32)</f>
        <v>1.8180000000000001</v>
      </c>
    </row>
    <row r="869" spans="2:6">
      <c r="B869" s="1783" t="str">
        <f>'4K'!AJ32</f>
        <v>WWS1013STD</v>
      </c>
      <c r="C869" s="219" t="s">
        <v>2864</v>
      </c>
      <c r="E869" s="249" t="s">
        <v>634</v>
      </c>
      <c r="F869" s="255">
        <f>IF(ISBLANK('4K'!H32),"##BLANK",'4K'!H32)</f>
        <v>48.011000000000003</v>
      </c>
    </row>
    <row r="870" spans="2:6">
      <c r="B870" s="1783" t="str">
        <f>'4K'!AK32</f>
        <v>WWS1013SLT</v>
      </c>
      <c r="C870" s="219" t="s">
        <v>2865</v>
      </c>
      <c r="E870" s="249" t="s">
        <v>634</v>
      </c>
      <c r="F870" s="255">
        <f>IF(ISBLANK('4K'!I32),"##BLANK",'4K'!I32)</f>
        <v>0.108</v>
      </c>
    </row>
    <row r="871" spans="2:6">
      <c r="B871" s="1783" t="str">
        <f>'4K'!AL32</f>
        <v>WWS1013STP</v>
      </c>
      <c r="C871" s="219" t="s">
        <v>2866</v>
      </c>
      <c r="E871" s="249" t="s">
        <v>634</v>
      </c>
      <c r="F871" s="255">
        <f>IF(ISBLANK('4K'!J32),"##BLANK",'4K'!J32)</f>
        <v>0.38100000000000001</v>
      </c>
    </row>
    <row r="872" spans="2:6">
      <c r="B872" s="1783" t="str">
        <f>'4K'!AM32</f>
        <v>WWS1013SDT</v>
      </c>
      <c r="C872" s="219" t="s">
        <v>2867</v>
      </c>
      <c r="E872" s="249" t="s">
        <v>634</v>
      </c>
      <c r="F872" s="255">
        <f>IF(ISBLANK('4K'!K32),"##BLANK",'4K'!K32)</f>
        <v>10.023999999999999</v>
      </c>
    </row>
    <row r="873" spans="2:6">
      <c r="B873" s="1783" t="str">
        <f>'4K'!AN32</f>
        <v>WWS1013SDD</v>
      </c>
      <c r="C873" s="219" t="s">
        <v>2868</v>
      </c>
      <c r="E873" s="249" t="s">
        <v>634</v>
      </c>
      <c r="F873" s="255">
        <f>IF(ISBLANK('4K'!L32),"##BLANK",'4K'!L32)</f>
        <v>0.26900000000000002</v>
      </c>
    </row>
    <row r="874" spans="2:6">
      <c r="B874" s="1783" t="str">
        <f>'4K'!AO32</f>
        <v>WWS1013CAS</v>
      </c>
      <c r="C874" s="219" t="s">
        <v>2716</v>
      </c>
      <c r="E874" s="249" t="s">
        <v>634</v>
      </c>
      <c r="F874" s="255">
        <f>IF(ISBLANK('4K'!M32),"##BLANK",'4K'!M32)</f>
        <v>70.914000000000001</v>
      </c>
    </row>
    <row r="875" spans="2:6">
      <c r="B875" s="1783" t="str">
        <f>'4K'!AG33</f>
        <v>WWS1107FL</v>
      </c>
      <c r="C875" s="219" t="s">
        <v>2869</v>
      </c>
      <c r="E875" s="249" t="s">
        <v>634</v>
      </c>
      <c r="F875" s="255">
        <f>IF(ISBLANK('4K'!E33),"##BLANK",'4K'!E33)</f>
        <v>14.236000000000001</v>
      </c>
    </row>
    <row r="876" spans="2:6">
      <c r="B876" s="1783" t="str">
        <f>'4K'!AH33</f>
        <v>WWS1107SWD</v>
      </c>
      <c r="C876" s="219" t="s">
        <v>2870</v>
      </c>
      <c r="E876" s="249" t="s">
        <v>634</v>
      </c>
      <c r="F876" s="255">
        <f>IF(ISBLANK('4K'!F33),"##BLANK",'4K'!F33)</f>
        <v>4.1349999999999998</v>
      </c>
    </row>
    <row r="877" spans="2:6">
      <c r="B877" s="1783" t="str">
        <f>'4K'!AI33</f>
        <v>WWS1107HD</v>
      </c>
      <c r="C877" s="219" t="s">
        <v>2871</v>
      </c>
      <c r="E877" s="249" t="s">
        <v>634</v>
      </c>
      <c r="F877" s="255">
        <f>IF(ISBLANK('4K'!G33),"##BLANK",'4K'!G33)</f>
        <v>3.1630000000000003</v>
      </c>
    </row>
    <row r="878" spans="2:6">
      <c r="B878" s="1783" t="str">
        <f>'4K'!AJ33</f>
        <v>WWS1107STD</v>
      </c>
      <c r="C878" s="219" t="s">
        <v>2872</v>
      </c>
      <c r="E878" s="249" t="s">
        <v>634</v>
      </c>
      <c r="F878" s="255">
        <f>IF(ISBLANK('4K'!H33),"##BLANK",'4K'!H33)</f>
        <v>48.011000000000003</v>
      </c>
    </row>
    <row r="879" spans="2:6">
      <c r="B879" s="1783" t="str">
        <f>'4K'!AK33</f>
        <v>WWS1107SLT</v>
      </c>
      <c r="C879" s="219" t="s">
        <v>2873</v>
      </c>
      <c r="E879" s="249" t="s">
        <v>634</v>
      </c>
      <c r="F879" s="255">
        <f>IF(ISBLANK('4K'!I33),"##BLANK",'4K'!I33)</f>
        <v>0.108</v>
      </c>
    </row>
    <row r="880" spans="2:6">
      <c r="B880" s="1783" t="str">
        <f>'4K'!AL33</f>
        <v>WWS1107STP</v>
      </c>
      <c r="C880" s="219" t="s">
        <v>2874</v>
      </c>
      <c r="E880" s="249" t="s">
        <v>634</v>
      </c>
      <c r="F880" s="255">
        <f>IF(ISBLANK('4K'!J33),"##BLANK",'4K'!J33)</f>
        <v>0.38100000000000001</v>
      </c>
    </row>
    <row r="881" spans="2:6">
      <c r="B881" s="1783" t="str">
        <f>'4K'!AM33</f>
        <v>WWS1107SDT</v>
      </c>
      <c r="C881" s="219" t="s">
        <v>2875</v>
      </c>
      <c r="E881" s="249" t="s">
        <v>634</v>
      </c>
      <c r="F881" s="255">
        <f>IF(ISBLANK('4K'!K33),"##BLANK",'4K'!K33)</f>
        <v>10.023999999999999</v>
      </c>
    </row>
    <row r="882" spans="2:6">
      <c r="B882" s="1783" t="str">
        <f>'4K'!AN33</f>
        <v>WWS1107SDD</v>
      </c>
      <c r="C882" s="219" t="s">
        <v>2876</v>
      </c>
      <c r="E882" s="249" t="s">
        <v>634</v>
      </c>
      <c r="F882" s="255">
        <f>IF(ISBLANK('4K'!L33),"##BLANK",'4K'!L33)</f>
        <v>0.26900000000000002</v>
      </c>
    </row>
    <row r="883" spans="2:6">
      <c r="B883" s="1783" t="str">
        <f>'4K'!AO33</f>
        <v>WWS1107CAS</v>
      </c>
      <c r="C883" s="219" t="s">
        <v>2722</v>
      </c>
      <c r="E883" s="249" t="s">
        <v>634</v>
      </c>
      <c r="F883" s="255">
        <f>IF(ISBLANK('4K'!M33),"##BLANK",'4K'!M33)</f>
        <v>80.326999999999998</v>
      </c>
    </row>
    <row r="884" spans="2:6">
      <c r="B884" s="1783" t="str">
        <f>'4K'!AG36</f>
        <v>WWS1108FL</v>
      </c>
      <c r="C884" s="219" t="s">
        <v>2877</v>
      </c>
      <c r="E884" s="249" t="s">
        <v>634</v>
      </c>
      <c r="F884" s="255">
        <f>IF(ISBLANK('4K'!E36),"##BLANK",'4K'!E36)</f>
        <v>201</v>
      </c>
    </row>
    <row r="885" spans="2:6">
      <c r="B885" s="1783" t="str">
        <f>'4K'!AH36</f>
        <v>WWS1108SWD</v>
      </c>
      <c r="C885" s="219" t="s">
        <v>2878</v>
      </c>
      <c r="E885" s="249" t="s">
        <v>634</v>
      </c>
      <c r="F885" s="255">
        <f>IF(ISBLANK('4K'!F36),"##BLANK",'4K'!F36)</f>
        <v>80</v>
      </c>
    </row>
    <row r="886" spans="2:6">
      <c r="B886" s="1783" t="str">
        <f>'4K'!AI36</f>
        <v>WWS1108HD</v>
      </c>
      <c r="C886" s="219" t="s">
        <v>2879</v>
      </c>
      <c r="E886" s="249" t="s">
        <v>634</v>
      </c>
      <c r="F886" s="255">
        <f>IF(ISBLANK('4K'!G36),"##BLANK",'4K'!G36)</f>
        <v>42</v>
      </c>
    </row>
    <row r="887" spans="2:6">
      <c r="B887" s="1783" t="str">
        <f>'4K'!AJ36</f>
        <v>WWS1108STD</v>
      </c>
      <c r="C887" s="219" t="s">
        <v>2880</v>
      </c>
      <c r="E887" s="249" t="s">
        <v>634</v>
      </c>
      <c r="F887" s="255">
        <f>IF(ISBLANK('4K'!H36),"##BLANK",'4K'!H36)</f>
        <v>0</v>
      </c>
    </row>
    <row r="888" spans="2:6">
      <c r="B888" s="1783" t="str">
        <f>'4K'!AK36</f>
        <v>WWS1108SLT</v>
      </c>
      <c r="C888" s="219" t="s">
        <v>2881</v>
      </c>
      <c r="E888" s="249" t="s">
        <v>634</v>
      </c>
      <c r="F888" s="255">
        <f>IF(ISBLANK('4K'!I36),"##BLANK",'4K'!I36)</f>
        <v>0</v>
      </c>
    </row>
    <row r="889" spans="2:6">
      <c r="B889" s="1783" t="str">
        <f>'4K'!AL36</f>
        <v>WWS1108STP</v>
      </c>
      <c r="C889" s="219" t="s">
        <v>2882</v>
      </c>
      <c r="E889" s="249" t="s">
        <v>634</v>
      </c>
      <c r="F889" s="255">
        <f>IF(ISBLANK('4K'!J36),"##BLANK",'4K'!J36)</f>
        <v>0</v>
      </c>
    </row>
    <row r="890" spans="2:6">
      <c r="B890" s="1783" t="str">
        <f>'4K'!AM36</f>
        <v>WWS1108SDT</v>
      </c>
      <c r="C890" s="219" t="s">
        <v>2883</v>
      </c>
      <c r="E890" s="249" t="s">
        <v>634</v>
      </c>
      <c r="F890" s="255">
        <f>IF(ISBLANK('4K'!K36),"##BLANK",'4K'!K36)</f>
        <v>0</v>
      </c>
    </row>
    <row r="891" spans="2:6">
      <c r="B891" s="1783" t="str">
        <f>'4K'!AN36</f>
        <v>WWS1108SDD</v>
      </c>
      <c r="C891" s="219" t="s">
        <v>2884</v>
      </c>
      <c r="E891" s="249" t="s">
        <v>634</v>
      </c>
      <c r="F891" s="255">
        <f>IF(ISBLANK('4K'!L36),"##BLANK",'4K'!L36)</f>
        <v>0</v>
      </c>
    </row>
    <row r="892" spans="2:6">
      <c r="B892" s="1783" t="str">
        <f>'4K'!AO36</f>
        <v>WWS1108CAS</v>
      </c>
      <c r="C892" s="219" t="s">
        <v>2728</v>
      </c>
      <c r="E892" s="249" t="s">
        <v>634</v>
      </c>
      <c r="F892" s="255">
        <f>IF(ISBLANK('4K'!M36),"##BLANK",'4K'!M36)</f>
        <v>323</v>
      </c>
    </row>
    <row r="893" spans="2:6">
      <c r="B893" s="1783" t="str">
        <f>'4K'!AG39</f>
        <v>WWS01001FL_AMP</v>
      </c>
      <c r="C893" s="219" t="s">
        <v>2885</v>
      </c>
      <c r="E893" s="249" t="s">
        <v>634</v>
      </c>
      <c r="F893" s="255">
        <f>IF(ISBLANK('4K'!E39),"##BLANK",'4K'!E39)</f>
        <v>5.0439999999999996</v>
      </c>
    </row>
    <row r="894" spans="2:6">
      <c r="B894" s="1783" t="str">
        <f>'4K'!AH39</f>
        <v>WWS01001SWD_AMP</v>
      </c>
      <c r="C894" s="219" t="s">
        <v>2886</v>
      </c>
      <c r="E894" s="249" t="s">
        <v>634</v>
      </c>
      <c r="F894" s="255">
        <f>IF(ISBLANK('4K'!F39),"##BLANK",'4K'!F39)</f>
        <v>1.6459999999999999</v>
      </c>
    </row>
    <row r="895" spans="2:6">
      <c r="B895" s="1783" t="str">
        <f>'4K'!AI39</f>
        <v>WWS01001HD_AMP</v>
      </c>
      <c r="C895" s="219" t="s">
        <v>2887</v>
      </c>
      <c r="E895" s="249" t="s">
        <v>634</v>
      </c>
      <c r="F895" s="255">
        <f>IF(ISBLANK('4K'!G39),"##BLANK",'4K'!G39)</f>
        <v>0.85899999999999999</v>
      </c>
    </row>
    <row r="896" spans="2:6">
      <c r="B896" s="1783" t="str">
        <f>'4K'!AJ39</f>
        <v>WWS01001STD_AMP</v>
      </c>
      <c r="C896" s="219" t="s">
        <v>2888</v>
      </c>
      <c r="E896" s="249" t="s">
        <v>634</v>
      </c>
      <c r="F896" s="255">
        <f>IF(ISBLANK('4K'!H39),"##BLANK",'4K'!H39)</f>
        <v>31.570634249640985</v>
      </c>
    </row>
    <row r="897" spans="2:6">
      <c r="B897" s="1783" t="str">
        <f>'4K'!AK39</f>
        <v>WWS01001SLT_AMP</v>
      </c>
      <c r="C897" s="219" t="s">
        <v>2889</v>
      </c>
      <c r="E897" s="249" t="s">
        <v>634</v>
      </c>
      <c r="F897" s="255">
        <f>IF(ISBLANK('4K'!I39),"##BLANK",'4K'!I39)</f>
        <v>2.3069999999999999</v>
      </c>
    </row>
    <row r="898" spans="2:6">
      <c r="B898" s="1783" t="str">
        <f>'4K'!AL39</f>
        <v>WWS01001STP_AMP</v>
      </c>
      <c r="C898" s="219" t="s">
        <v>2890</v>
      </c>
      <c r="E898" s="249" t="s">
        <v>634</v>
      </c>
      <c r="F898" s="255">
        <f>IF(ISBLANK('4K'!J39),"##BLANK",'4K'!J39)</f>
        <v>1.0369999999999999</v>
      </c>
    </row>
    <row r="899" spans="2:6">
      <c r="B899" s="1783" t="str">
        <f>'4K'!AM39</f>
        <v>WWS01001SDT_AMP</v>
      </c>
      <c r="C899" s="219" t="s">
        <v>2891</v>
      </c>
      <c r="E899" s="249" t="s">
        <v>634</v>
      </c>
      <c r="F899" s="255">
        <f>IF(ISBLANK('4K'!K39),"##BLANK",'4K'!K39)</f>
        <v>5.0693657503590144</v>
      </c>
    </row>
    <row r="900" spans="2:6">
      <c r="B900" s="1783" t="str">
        <f>'4K'!AN39</f>
        <v>WWS01001SDD_AMP</v>
      </c>
      <c r="C900" s="219" t="s">
        <v>2892</v>
      </c>
      <c r="E900" s="249" t="s">
        <v>634</v>
      </c>
      <c r="F900" s="255">
        <f>IF(ISBLANK('4K'!L39),"##BLANK",'4K'!L39)</f>
        <v>1.9E-2</v>
      </c>
    </row>
    <row r="901" spans="2:6">
      <c r="B901" s="1783" t="str">
        <f>'4K'!AO39</f>
        <v>WWS01001CAS_AMP</v>
      </c>
      <c r="C901" s="219" t="s">
        <v>2893</v>
      </c>
      <c r="E901" s="249" t="s">
        <v>634</v>
      </c>
      <c r="F901" s="255">
        <f>IF(ISBLANK('4K'!M39),"##BLANK",'4K'!M39)</f>
        <v>47.551999999999992</v>
      </c>
    </row>
    <row r="902" spans="2:6">
      <c r="B902" s="1783" t="str">
        <f>'4K'!AG40</f>
        <v>WWS01002FL_AMP</v>
      </c>
      <c r="C902" s="219" t="s">
        <v>2894</v>
      </c>
      <c r="E902" s="249" t="s">
        <v>634</v>
      </c>
      <c r="F902" s="255">
        <f>IF(ISBLANK('4K'!E40),"##BLANK",'4K'!E40)</f>
        <v>-3.0000000000000001E-3</v>
      </c>
    </row>
    <row r="903" spans="2:6">
      <c r="B903" s="1783" t="str">
        <f>'4K'!AH40</f>
        <v>WWS01002SWD_AMP</v>
      </c>
      <c r="C903" s="219" t="s">
        <v>2895</v>
      </c>
      <c r="E903" s="249" t="s">
        <v>634</v>
      </c>
      <c r="F903" s="255">
        <f>IF(ISBLANK('4K'!F40),"##BLANK",'4K'!F40)</f>
        <v>-1E-3</v>
      </c>
    </row>
    <row r="904" spans="2:6">
      <c r="B904" s="1783" t="str">
        <f>'4K'!AI40</f>
        <v>WWS01002HD_AMP</v>
      </c>
      <c r="C904" s="219" t="s">
        <v>2896</v>
      </c>
      <c r="E904" s="249" t="s">
        <v>634</v>
      </c>
      <c r="F904" s="255">
        <f>IF(ISBLANK('4K'!G40),"##BLANK",'4K'!G40)</f>
        <v>0</v>
      </c>
    </row>
    <row r="905" spans="2:6">
      <c r="B905" s="1783" t="str">
        <f>'4K'!AJ40</f>
        <v>WWS01002STD_AMP</v>
      </c>
      <c r="C905" s="219" t="s">
        <v>2897</v>
      </c>
      <c r="E905" s="249" t="s">
        <v>634</v>
      </c>
      <c r="F905" s="255">
        <f>IF(ISBLANK('4K'!H40),"##BLANK",'4K'!H40)</f>
        <v>-0.56720653128908227</v>
      </c>
    </row>
    <row r="906" spans="2:6">
      <c r="B906" s="1783" t="str">
        <f>'4K'!AK40</f>
        <v>WWS01002SLT_AMP</v>
      </c>
      <c r="C906" s="219" t="s">
        <v>2898</v>
      </c>
      <c r="E906" s="249" t="s">
        <v>634</v>
      </c>
      <c r="F906" s="255">
        <f>IF(ISBLANK('4K'!I40),"##BLANK",'4K'!I40)</f>
        <v>-6.4000000000000001E-2</v>
      </c>
    </row>
    <row r="907" spans="2:6">
      <c r="B907" s="1783" t="str">
        <f>'4K'!AL40</f>
        <v>WWS01002STP_AMP</v>
      </c>
      <c r="C907" s="219" t="s">
        <v>2899</v>
      </c>
      <c r="E907" s="249" t="s">
        <v>634</v>
      </c>
      <c r="F907" s="255">
        <f>IF(ISBLANK('4K'!J40),"##BLANK",'4K'!J40)</f>
        <v>0</v>
      </c>
    </row>
    <row r="908" spans="2:6">
      <c r="B908" s="1783" t="str">
        <f>'4K'!AM40</f>
        <v>WWS01002SDT_AMP</v>
      </c>
      <c r="C908" s="219" t="s">
        <v>2900</v>
      </c>
      <c r="E908" s="249" t="s">
        <v>634</v>
      </c>
      <c r="F908" s="255">
        <f>IF(ISBLANK('4K'!K40),"##BLANK",'4K'!K40)</f>
        <v>-11.722793468710918</v>
      </c>
    </row>
    <row r="909" spans="2:6">
      <c r="B909" s="1783" t="str">
        <f>'4K'!AN40</f>
        <v>WWS01002SDD_AMP</v>
      </c>
      <c r="C909" s="219" t="s">
        <v>2901</v>
      </c>
      <c r="E909" s="249" t="s">
        <v>634</v>
      </c>
      <c r="F909" s="255">
        <f>IF(ISBLANK('4K'!L40),"##BLANK",'4K'!L40)</f>
        <v>0</v>
      </c>
    </row>
    <row r="910" spans="2:6">
      <c r="B910" s="1783" t="str">
        <f>'4K'!AO40</f>
        <v>WWS01002CAS_AMP</v>
      </c>
      <c r="C910" s="219" t="s">
        <v>2902</v>
      </c>
      <c r="E910" s="249" t="s">
        <v>634</v>
      </c>
      <c r="F910" s="255">
        <f>IF(ISBLANK('4K'!M40),"##BLANK",'4K'!M40)</f>
        <v>-12.358000000000001</v>
      </c>
    </row>
    <row r="911" spans="2:6">
      <c r="B911" s="219" t="str">
        <f>'4N'!X9</f>
        <v>B0201DSCTDWNC</v>
      </c>
      <c r="C911" s="219" t="s">
        <v>2903</v>
      </c>
      <c r="E911" s="249" t="s">
        <v>634</v>
      </c>
      <c r="F911" s="255">
        <f>IF(ISBLANK('4N'!E9),"##BLANK",'4N'!E9)</f>
        <v>1.645</v>
      </c>
    </row>
    <row r="912" spans="2:6">
      <c r="B912" s="219" t="str">
        <f>'4N'!Y9</f>
        <v>B0201DSCTDWNO</v>
      </c>
      <c r="C912" s="219" t="s">
        <v>2904</v>
      </c>
      <c r="E912" s="249" t="s">
        <v>634</v>
      </c>
      <c r="F912" s="255">
        <f>IF(ISBLANK('4N'!F9),"##BLANK",'4N'!F9)</f>
        <v>7.4870000000000001</v>
      </c>
    </row>
    <row r="913" spans="2:6">
      <c r="B913" s="219" t="str">
        <f>'4N'!Z9</f>
        <v>B0201DSCTDWNT</v>
      </c>
      <c r="C913" s="219" t="s">
        <v>2905</v>
      </c>
      <c r="E913" s="249" t="s">
        <v>634</v>
      </c>
      <c r="F913" s="255">
        <f>IF(ISBLANK('4N'!G9),"##BLANK",'4N'!G9)</f>
        <v>9.1319999999999997</v>
      </c>
    </row>
    <row r="914" spans="2:6">
      <c r="B914" s="219" t="str">
        <f>'4N'!X10</f>
        <v>B0201DSRTDWNC</v>
      </c>
      <c r="C914" s="219" t="s">
        <v>2906</v>
      </c>
      <c r="E914" s="249" t="s">
        <v>634</v>
      </c>
      <c r="F914" s="255">
        <f>IF(ISBLANK('4N'!E10),"##BLANK",'4N'!E10)</f>
        <v>7.4989999999999997</v>
      </c>
    </row>
    <row r="915" spans="2:6">
      <c r="B915" s="219" t="str">
        <f>'4N'!Y10</f>
        <v>B0201DSRTDWNO</v>
      </c>
      <c r="C915" s="219" t="s">
        <v>2907</v>
      </c>
      <c r="E915" s="249" t="s">
        <v>634</v>
      </c>
      <c r="F915" s="255">
        <f>IF(ISBLANK('4N'!F10),"##BLANK",'4N'!F10)</f>
        <v>4.1000000000000002E-2</v>
      </c>
    </row>
    <row r="916" spans="2:6">
      <c r="B916" s="219" t="str">
        <f>'4N'!Z10</f>
        <v>B0201DSRTDWNT</v>
      </c>
      <c r="C916" s="219" t="s">
        <v>2908</v>
      </c>
      <c r="E916" s="249" t="s">
        <v>634</v>
      </c>
      <c r="F916" s="255">
        <f>IF(ISBLANK('4N'!G10),"##BLANK",'4N'!G10)</f>
        <v>7.54</v>
      </c>
    </row>
    <row r="917" spans="2:6">
      <c r="B917" s="219" t="str">
        <f>'4N'!X11</f>
        <v>B0201DSITDWNC</v>
      </c>
      <c r="C917" s="219" t="s">
        <v>2909</v>
      </c>
      <c r="E917" s="249" t="s">
        <v>634</v>
      </c>
      <c r="F917" s="255">
        <f>IF(ISBLANK('4N'!E11),"##BLANK",'4N'!E11)</f>
        <v>0.76100000000000001</v>
      </c>
    </row>
    <row r="918" spans="2:6">
      <c r="B918" s="219" t="str">
        <f>'4N'!Y11</f>
        <v>B0201DSITDWNO</v>
      </c>
      <c r="C918" s="219" t="s">
        <v>2910</v>
      </c>
      <c r="E918" s="249" t="s">
        <v>634</v>
      </c>
      <c r="F918" s="255">
        <f>IF(ISBLANK('4N'!F11),"##BLANK",'4N'!F11)</f>
        <v>4.0000000000000001E-3</v>
      </c>
    </row>
    <row r="919" spans="2:6">
      <c r="B919" s="219" t="str">
        <f>'4N'!Z11</f>
        <v>B0201DSITDWNT</v>
      </c>
      <c r="C919" s="219" t="s">
        <v>2911</v>
      </c>
      <c r="E919" s="249" t="s">
        <v>634</v>
      </c>
      <c r="F919" s="255">
        <f>IF(ISBLANK('4N'!G11),"##BLANK",'4N'!G11)</f>
        <v>0.76500000000000001</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7.24</v>
      </c>
    </row>
    <row r="922" spans="2:6">
      <c r="B922" s="219" t="str">
        <f>'4N'!Z12</f>
        <v>B0201DSDTDWNT</v>
      </c>
      <c r="C922" s="219" t="s">
        <v>2914</v>
      </c>
      <c r="E922" s="249" t="s">
        <v>634</v>
      </c>
      <c r="F922" s="255">
        <f>IF(ISBLANK('4N'!G12),"##BLANK",'4N'!G12)</f>
        <v>7.24</v>
      </c>
    </row>
    <row r="923" spans="2:6">
      <c r="B923" s="219" t="str">
        <f>'4N'!X13</f>
        <v>B0201DSOTDWNC</v>
      </c>
      <c r="C923" s="219" t="s">
        <v>2915</v>
      </c>
      <c r="E923" s="249" t="s">
        <v>634</v>
      </c>
      <c r="F923" s="255">
        <f>IF(ISBLANK('4N'!E13),"##BLANK",'4N'!E13)</f>
        <v>1.514</v>
      </c>
    </row>
    <row r="924" spans="2:6">
      <c r="B924" s="219" t="str">
        <f>'4N'!Y13</f>
        <v>B0201DSOTDWNO</v>
      </c>
      <c r="C924" s="219" t="s">
        <v>2916</v>
      </c>
      <c r="E924" s="249" t="s">
        <v>634</v>
      </c>
      <c r="F924" s="255">
        <f>IF(ISBLANK('4N'!F13),"##BLANK",'4N'!F13)</f>
        <v>2.1999999999999999E-2</v>
      </c>
    </row>
    <row r="925" spans="2:6">
      <c r="B925" s="219" t="str">
        <f>'4N'!Z13</f>
        <v>B0201DSOTDWNT</v>
      </c>
      <c r="C925" s="219" t="s">
        <v>2917</v>
      </c>
      <c r="E925" s="249" t="s">
        <v>634</v>
      </c>
      <c r="F925" s="255">
        <f>IF(ISBLANK('4N'!G13),"##BLANK",'4N'!G13)</f>
        <v>1.536</v>
      </c>
    </row>
    <row r="926" spans="2:6">
      <c r="B926" s="219" t="str">
        <f>'4N'!X14</f>
        <v>B0201DSTDWNTC</v>
      </c>
      <c r="C926" s="219" t="s">
        <v>2918</v>
      </c>
      <c r="E926" s="249" t="s">
        <v>634</v>
      </c>
      <c r="F926" s="255">
        <f>IF(ISBLANK('4N'!E14),"##BLANK",'4N'!E14)</f>
        <v>11.418999999999999</v>
      </c>
    </row>
    <row r="927" spans="2:6">
      <c r="B927" s="219" t="str">
        <f>'4N'!Y14</f>
        <v>B0201DSTDWNTO</v>
      </c>
      <c r="C927" s="219" t="s">
        <v>2919</v>
      </c>
      <c r="E927" s="249" t="s">
        <v>634</v>
      </c>
      <c r="F927" s="255">
        <f>IF(ISBLANK('4N'!F14),"##BLANK",'4N'!F14)</f>
        <v>14.794</v>
      </c>
    </row>
    <row r="928" spans="2:6">
      <c r="B928" s="219" t="str">
        <f>'4N'!Z14</f>
        <v>B0201DSTDWNT</v>
      </c>
      <c r="C928" s="219" t="s">
        <v>2920</v>
      </c>
      <c r="E928" s="249" t="s">
        <v>634</v>
      </c>
      <c r="F928" s="255">
        <f>IF(ISBLANK('4N'!G14),"##BLANK",'4N'!G14)</f>
        <v>26.213000000000001</v>
      </c>
    </row>
    <row r="929" spans="2:6">
      <c r="B929" s="219" t="str">
        <f>'4O'!AD10</f>
        <v>B0401NCF</v>
      </c>
      <c r="C929" s="219" t="s">
        <v>2921</v>
      </c>
      <c r="E929" s="249" t="s">
        <v>634</v>
      </c>
      <c r="F929" s="255">
        <f>IF(ISBLANK('4O'!E10),"##BLANK",'4O'!E10)</f>
        <v>0.42299999999999999</v>
      </c>
    </row>
    <row r="930" spans="2:6">
      <c r="B930" s="219" t="str">
        <f>'4O'!AE10</f>
        <v>B0401NCSWD</v>
      </c>
      <c r="C930" s="219" t="s">
        <v>2922</v>
      </c>
      <c r="E930" s="249" t="s">
        <v>634</v>
      </c>
      <c r="F930" s="255">
        <f>IF(ISBLANK('4O'!F10),"##BLANK",'4O'!F10)</f>
        <v>2.9000000000000001E-2</v>
      </c>
    </row>
    <row r="931" spans="2:6">
      <c r="B931" s="219" t="str">
        <f>'4O'!AF10</f>
        <v>B0401NCHD</v>
      </c>
      <c r="C931" s="219" t="s">
        <v>2923</v>
      </c>
      <c r="E931" s="249" t="s">
        <v>634</v>
      </c>
      <c r="F931" s="255">
        <f>IF(ISBLANK('4O'!G10),"##BLANK",'4O'!G10)</f>
        <v>0</v>
      </c>
    </row>
    <row r="932" spans="2:6">
      <c r="B932" s="219" t="str">
        <f>'4O'!AG10</f>
        <v>B0401NCSTD</v>
      </c>
      <c r="C932" s="219" t="s">
        <v>2924</v>
      </c>
      <c r="E932" s="249" t="s">
        <v>634</v>
      </c>
      <c r="F932" s="255">
        <f>IF(ISBLANK('4O'!H10),"##BLANK",'4O'!H10)</f>
        <v>0</v>
      </c>
    </row>
    <row r="933" spans="2:6">
      <c r="B933" s="219" t="str">
        <f>'4O'!AH10</f>
        <v>B0401NCSLT</v>
      </c>
      <c r="C933" s="219" t="s">
        <v>2925</v>
      </c>
      <c r="E933" s="249" t="s">
        <v>634</v>
      </c>
      <c r="F933" s="255">
        <f>IF(ISBLANK('4O'!I10),"##BLANK",'4O'!I10)</f>
        <v>0</v>
      </c>
    </row>
    <row r="934" spans="2:6">
      <c r="B934" s="219" t="str">
        <f>'4O'!AI10</f>
        <v>B0401NCTOT</v>
      </c>
      <c r="C934" s="219" t="s">
        <v>2926</v>
      </c>
      <c r="E934" s="249" t="s">
        <v>634</v>
      </c>
      <c r="F934" s="255">
        <f>IF(ISBLANK('4O'!J10),"##BLANK",'4O'!J10)</f>
        <v>0.45200000000000001</v>
      </c>
    </row>
    <row r="935" spans="2:6">
      <c r="B935" s="219" t="str">
        <f>'4O'!AD11</f>
        <v>B0401RSF</v>
      </c>
      <c r="C935" s="219" t="s">
        <v>2927</v>
      </c>
      <c r="E935" s="249" t="s">
        <v>634</v>
      </c>
      <c r="F935" s="255">
        <f>IF(ISBLANK('4O'!E11),"##BLANK",'4O'!E11)</f>
        <v>6.2670000000000003</v>
      </c>
    </row>
    <row r="936" spans="2:6">
      <c r="B936" s="219" t="str">
        <f>'4O'!AE11</f>
        <v>B0401RSSWD</v>
      </c>
      <c r="C936" s="219" t="s">
        <v>2928</v>
      </c>
      <c r="E936" s="249" t="s">
        <v>634</v>
      </c>
      <c r="F936" s="255">
        <f>IF(ISBLANK('4O'!F11),"##BLANK",'4O'!F11)</f>
        <v>0.42399999999999999</v>
      </c>
    </row>
    <row r="937" spans="2:6">
      <c r="B937" s="219" t="str">
        <f>'4O'!AF11</f>
        <v>B0401RSHD</v>
      </c>
      <c r="C937" s="219" t="s">
        <v>2929</v>
      </c>
      <c r="E937" s="249" t="s">
        <v>634</v>
      </c>
      <c r="F937" s="255">
        <f>IF(ISBLANK('4O'!G11),"##BLANK",'4O'!G11)</f>
        <v>0</v>
      </c>
    </row>
    <row r="938" spans="2:6">
      <c r="B938" s="219" t="str">
        <f>'4O'!AG11</f>
        <v>B0401RSSTD</v>
      </c>
      <c r="C938" s="219" t="s">
        <v>2930</v>
      </c>
      <c r="E938" s="249" t="s">
        <v>634</v>
      </c>
      <c r="F938" s="255">
        <f>IF(ISBLANK('4O'!H11),"##BLANK",'4O'!H11)</f>
        <v>0</v>
      </c>
    </row>
    <row r="939" spans="2:6">
      <c r="B939" s="219" t="str">
        <f>'4O'!AH11</f>
        <v>B0401RSSLT</v>
      </c>
      <c r="C939" s="219" t="s">
        <v>2931</v>
      </c>
      <c r="E939" s="249" t="s">
        <v>634</v>
      </c>
      <c r="F939" s="255">
        <f>IF(ISBLANK('4O'!I11),"##BLANK",'4O'!I11)</f>
        <v>0</v>
      </c>
    </row>
    <row r="940" spans="2:6">
      <c r="B940" s="219" t="str">
        <f>'4O'!AI11</f>
        <v>B0401RSTOT</v>
      </c>
      <c r="C940" s="219" t="s">
        <v>2932</v>
      </c>
      <c r="E940" s="249" t="s">
        <v>634</v>
      </c>
      <c r="F940" s="255">
        <f>IF(ISBLANK('4O'!J11),"##BLANK",'4O'!J11)</f>
        <v>6.6910000000000007</v>
      </c>
    </row>
    <row r="941" spans="2:6">
      <c r="B941" s="219" t="str">
        <f>'4O'!AD12</f>
        <v>B0200DSIFWWC</v>
      </c>
      <c r="C941" s="219" t="s">
        <v>2933</v>
      </c>
      <c r="E941" s="249" t="s">
        <v>634</v>
      </c>
      <c r="F941" s="255">
        <f>IF(ISBLANK('4O'!E12),"##BLANK",'4O'!E12)</f>
        <v>1.466</v>
      </c>
    </row>
    <row r="942" spans="2:6">
      <c r="B942" s="219" t="str">
        <f>'4O'!AE12</f>
        <v>B0200DSIWDWWC</v>
      </c>
      <c r="C942" s="219" t="s">
        <v>2934</v>
      </c>
      <c r="E942" s="249" t="s">
        <v>634</v>
      </c>
      <c r="F942" s="255">
        <f>IF(ISBLANK('4O'!F12),"##BLANK",'4O'!F12)</f>
        <v>0</v>
      </c>
    </row>
    <row r="943" spans="2:6">
      <c r="B943" s="219" t="str">
        <f>'4O'!AF12</f>
        <v>B0200DSIHDWWC</v>
      </c>
      <c r="C943" s="219" t="s">
        <v>2935</v>
      </c>
      <c r="E943" s="249" t="s">
        <v>634</v>
      </c>
      <c r="F943" s="255">
        <f>IF(ISBLANK('4O'!G12),"##BLANK",'4O'!G12)</f>
        <v>0</v>
      </c>
    </row>
    <row r="944" spans="2:6">
      <c r="B944" s="219" t="str">
        <f>'4O'!AG12</f>
        <v>B0200DSISTWWC</v>
      </c>
      <c r="C944" s="219" t="s">
        <v>2936</v>
      </c>
      <c r="E944" s="249" t="s">
        <v>634</v>
      </c>
      <c r="F944" s="255">
        <f>IF(ISBLANK('4O'!H12),"##BLANK",'4O'!H12)</f>
        <v>0</v>
      </c>
    </row>
    <row r="945" spans="2:6">
      <c r="B945" s="219" t="str">
        <f>'4O'!AH12</f>
        <v>B0200DSISLWWC</v>
      </c>
      <c r="C945" s="219" t="s">
        <v>2937</v>
      </c>
      <c r="E945" s="249" t="s">
        <v>634</v>
      </c>
      <c r="F945" s="255">
        <f>IF(ISBLANK('4O'!I12),"##BLANK",'4O'!I12)</f>
        <v>0</v>
      </c>
    </row>
    <row r="946" spans="2:6">
      <c r="B946" s="219" t="str">
        <f>'4O'!AI12</f>
        <v>B0401INRTOT</v>
      </c>
      <c r="C946" s="219" t="s">
        <v>2938</v>
      </c>
      <c r="E946" s="249" t="s">
        <v>634</v>
      </c>
      <c r="F946" s="255">
        <f>IF(ISBLANK('4O'!J12),"##BLANK",'4O'!J12)</f>
        <v>1.466</v>
      </c>
    </row>
    <row r="947" spans="2:6">
      <c r="B947" s="219" t="str">
        <f>'4O'!AD13</f>
        <v>B0200DSDFWWC</v>
      </c>
      <c r="C947" s="219" t="s">
        <v>2939</v>
      </c>
      <c r="E947" s="249" t="s">
        <v>634</v>
      </c>
      <c r="F947" s="255">
        <f>IF(ISBLANK('4O'!E13),"##BLANK",'4O'!E13)</f>
        <v>0</v>
      </c>
    </row>
    <row r="948" spans="2:6">
      <c r="B948" s="219" t="str">
        <f>'4O'!AE13</f>
        <v>B0200DSDWDWWC</v>
      </c>
      <c r="C948" s="219" t="s">
        <v>2940</v>
      </c>
      <c r="E948" s="249" t="s">
        <v>634</v>
      </c>
      <c r="F948" s="255">
        <f>IF(ISBLANK('4O'!F13),"##BLANK",'4O'!F13)</f>
        <v>0</v>
      </c>
    </row>
    <row r="949" spans="2:6">
      <c r="B949" s="219" t="str">
        <f>'4O'!AF13</f>
        <v>B0200DSDHDWWC</v>
      </c>
      <c r="C949" s="219" t="s">
        <v>2941</v>
      </c>
      <c r="E949" s="249" t="s">
        <v>634</v>
      </c>
      <c r="F949" s="255">
        <f>IF(ISBLANK('4O'!G13),"##BLANK",'4O'!G13)</f>
        <v>0</v>
      </c>
    </row>
    <row r="950" spans="2:6">
      <c r="B950" s="219" t="str">
        <f>'4O'!AG13</f>
        <v>B0200DSDSTWWC</v>
      </c>
      <c r="C950" s="219" t="s">
        <v>2942</v>
      </c>
      <c r="E950" s="249" t="s">
        <v>634</v>
      </c>
      <c r="F950" s="255">
        <f>IF(ISBLANK('4O'!H13),"##BLANK",'4O'!H13)</f>
        <v>0</v>
      </c>
    </row>
    <row r="951" spans="2:6">
      <c r="B951" s="219" t="str">
        <f>'4O'!AH13</f>
        <v>B0200DSDSLWWC</v>
      </c>
      <c r="C951" s="219" t="s">
        <v>2943</v>
      </c>
      <c r="E951" s="249" t="s">
        <v>634</v>
      </c>
      <c r="F951" s="255">
        <f>IF(ISBLANK('4O'!I13),"##BLANK",'4O'!I13)</f>
        <v>0</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f>IF(ISBLANK('4O'!E14),"##BLANK",'4O'!E14)</f>
        <v>1.02</v>
      </c>
    </row>
    <row r="954" spans="2:6">
      <c r="B954" s="219" t="str">
        <f>'4O'!AE14</f>
        <v>B0200DSOWDWWC</v>
      </c>
      <c r="C954" s="219" t="s">
        <v>2946</v>
      </c>
      <c r="E954" s="249" t="s">
        <v>634</v>
      </c>
      <c r="F954" s="255">
        <f>IF(ISBLANK('4O'!F14),"##BLANK",'4O'!F14)</f>
        <v>0.48</v>
      </c>
    </row>
    <row r="955" spans="2:6">
      <c r="B955" s="219" t="str">
        <f>'4O'!AF14</f>
        <v>B0200DSOHDWWC</v>
      </c>
      <c r="C955" s="219" t="s">
        <v>2947</v>
      </c>
      <c r="E955" s="249" t="s">
        <v>634</v>
      </c>
      <c r="F955" s="255">
        <f>IF(ISBLANK('4O'!G14),"##BLANK",'4O'!G14)</f>
        <v>0</v>
      </c>
    </row>
    <row r="956" spans="2:6">
      <c r="B956" s="219" t="str">
        <f>'4O'!AG14</f>
        <v>B0200DSOSTWWC</v>
      </c>
      <c r="C956" s="219" t="s">
        <v>2948</v>
      </c>
      <c r="E956" s="249" t="s">
        <v>634</v>
      </c>
      <c r="F956" s="255">
        <f>IF(ISBLANK('4O'!H14),"##BLANK",'4O'!H14)</f>
        <v>0</v>
      </c>
    </row>
    <row r="957" spans="2:6">
      <c r="B957" s="219" t="str">
        <f>'4O'!AH14</f>
        <v>B0200DSOSLWWC</v>
      </c>
      <c r="C957" s="219" t="s">
        <v>2949</v>
      </c>
      <c r="E957" s="249" t="s">
        <v>634</v>
      </c>
      <c r="F957" s="255">
        <f>IF(ISBLANK('4O'!I14),"##BLANK",'4O'!I14)</f>
        <v>0</v>
      </c>
    </row>
    <row r="958" spans="2:6">
      <c r="B958" s="219" t="str">
        <f>'4O'!AI14</f>
        <v>B0401OPCTOT</v>
      </c>
      <c r="C958" s="219" t="s">
        <v>2950</v>
      </c>
      <c r="E958" s="249" t="s">
        <v>634</v>
      </c>
      <c r="F958" s="255">
        <f>IF(ISBLANK('4O'!J14),"##BLANK",'4O'!J14)</f>
        <v>1.5</v>
      </c>
    </row>
    <row r="959" spans="2:6">
      <c r="B959" s="219" t="str">
        <f>'4O'!AD15</f>
        <v>B0200DSFWWTC</v>
      </c>
      <c r="C959" s="219" t="s">
        <v>2951</v>
      </c>
      <c r="E959" s="249" t="s">
        <v>634</v>
      </c>
      <c r="F959" s="255">
        <f>IF(ISBLANK('4O'!E15),"##BLANK",'4O'!E15)</f>
        <v>9.1760000000000002</v>
      </c>
    </row>
    <row r="960" spans="2:6">
      <c r="B960" s="219" t="str">
        <f>'4O'!AE15</f>
        <v>B0200DSWDWWTC</v>
      </c>
      <c r="C960" s="219" t="s">
        <v>2952</v>
      </c>
      <c r="E960" s="249" t="s">
        <v>634</v>
      </c>
      <c r="F960" s="255">
        <f>IF(ISBLANK('4O'!F15),"##BLANK",'4O'!F15)</f>
        <v>0.93300000000000005</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10.109</v>
      </c>
    </row>
    <row r="965" spans="2:6">
      <c r="B965" s="219" t="str">
        <f>'4O'!AD18</f>
        <v>B0801NCF</v>
      </c>
      <c r="C965" s="219" t="s">
        <v>2957</v>
      </c>
      <c r="E965" s="249" t="s">
        <v>634</v>
      </c>
      <c r="F965" s="255">
        <f>IF(ISBLANK('4O'!E18),"##BLANK",'4O'!E18)</f>
        <v>-8.2000000000000003E-2</v>
      </c>
    </row>
    <row r="966" spans="2:6">
      <c r="B966" s="219" t="str">
        <f>'4O'!AE18</f>
        <v>B0801NCSWD</v>
      </c>
      <c r="C966" s="219" t="s">
        <v>2958</v>
      </c>
      <c r="E966" s="249" t="s">
        <v>634</v>
      </c>
      <c r="F966" s="255">
        <f>IF(ISBLANK('4O'!F18),"##BLANK",'4O'!F18)</f>
        <v>-6.0000000000000001E-3</v>
      </c>
    </row>
    <row r="967" spans="2:6">
      <c r="B967" s="219" t="str">
        <f>'4O'!AF18</f>
        <v>B0801NCHD</v>
      </c>
      <c r="C967" s="219" t="s">
        <v>2959</v>
      </c>
      <c r="E967" s="249" t="s">
        <v>634</v>
      </c>
      <c r="F967" s="255">
        <f>IF(ISBLANK('4O'!G18),"##BLANK",'4O'!G18)</f>
        <v>0</v>
      </c>
    </row>
    <row r="968" spans="2:6">
      <c r="B968" s="219" t="str">
        <f>'4O'!AG18</f>
        <v>B0801NCSTD</v>
      </c>
      <c r="C968" s="219" t="s">
        <v>2960</v>
      </c>
      <c r="E968" s="249" t="s">
        <v>634</v>
      </c>
      <c r="F968" s="255">
        <f>IF(ISBLANK('4O'!H18),"##BLANK",'4O'!H18)</f>
        <v>0</v>
      </c>
    </row>
    <row r="969" spans="2:6">
      <c r="B969" s="219" t="str">
        <f>'4O'!AH18</f>
        <v>B0801NCSLT</v>
      </c>
      <c r="C969" s="219" t="s">
        <v>2961</v>
      </c>
      <c r="E969" s="249" t="s">
        <v>634</v>
      </c>
      <c r="F969" s="255">
        <f>IF(ISBLANK('4O'!I18),"##BLANK",'4O'!I18)</f>
        <v>0</v>
      </c>
    </row>
    <row r="970" spans="2:6">
      <c r="B970" s="219" t="str">
        <f>'4O'!AI18</f>
        <v>B0801NCTOT</v>
      </c>
      <c r="C970" s="219" t="s">
        <v>2962</v>
      </c>
      <c r="E970" s="249" t="s">
        <v>634</v>
      </c>
      <c r="F970" s="255">
        <f>IF(ISBLANK('4O'!J18),"##BLANK",'4O'!J18)</f>
        <v>-8.8000000000000009E-2</v>
      </c>
    </row>
    <row r="971" spans="2:6">
      <c r="B971" s="219" t="str">
        <f>'4O'!AD19</f>
        <v>B0801RSF</v>
      </c>
      <c r="C971" s="219" t="s">
        <v>2963</v>
      </c>
      <c r="E971" s="249" t="s">
        <v>634</v>
      </c>
      <c r="F971" s="255">
        <f>IF(ISBLANK('4O'!E19),"##BLANK",'4O'!E19)</f>
        <v>2.8000000000000001E-2</v>
      </c>
    </row>
    <row r="972" spans="2:6">
      <c r="B972" s="219" t="str">
        <f>'4O'!AE19</f>
        <v>B0801RSSWD</v>
      </c>
      <c r="C972" s="219" t="s">
        <v>2964</v>
      </c>
      <c r="E972" s="249" t="s">
        <v>634</v>
      </c>
      <c r="F972" s="255">
        <f>IF(ISBLANK('4O'!F19),"##BLANK",'4O'!F19)</f>
        <v>2E-3</v>
      </c>
    </row>
    <row r="973" spans="2:6">
      <c r="B973" s="219" t="str">
        <f>'4O'!AF19</f>
        <v>B0801RSHD</v>
      </c>
      <c r="C973" s="219" t="s">
        <v>2965</v>
      </c>
      <c r="E973" s="249" t="s">
        <v>634</v>
      </c>
      <c r="F973" s="255">
        <f>IF(ISBLANK('4O'!G19),"##BLANK",'4O'!G19)</f>
        <v>0</v>
      </c>
    </row>
    <row r="974" spans="2:6">
      <c r="B974" s="219" t="str">
        <f>'4O'!AG19</f>
        <v>B0801RSSTD</v>
      </c>
      <c r="C974" s="219" t="s">
        <v>2966</v>
      </c>
      <c r="E974" s="249" t="s">
        <v>634</v>
      </c>
      <c r="F974" s="255">
        <f>IF(ISBLANK('4O'!H19),"##BLANK",'4O'!H19)</f>
        <v>0</v>
      </c>
    </row>
    <row r="975" spans="2:6">
      <c r="B975" s="219" t="str">
        <f>'4O'!AH19</f>
        <v>B0801RSSLT</v>
      </c>
      <c r="C975" s="219" t="s">
        <v>2967</v>
      </c>
      <c r="E975" s="249" t="s">
        <v>634</v>
      </c>
      <c r="F975" s="255">
        <f>IF(ISBLANK('4O'!I19),"##BLANK",'4O'!I19)</f>
        <v>0</v>
      </c>
    </row>
    <row r="976" spans="2:6">
      <c r="B976" s="219" t="str">
        <f>'4O'!AI19</f>
        <v>B0801RSTOT</v>
      </c>
      <c r="C976" s="219" t="s">
        <v>2968</v>
      </c>
      <c r="E976" s="249" t="s">
        <v>634</v>
      </c>
      <c r="F976" s="255">
        <f>IF(ISBLANK('4O'!J19),"##BLANK",'4O'!J19)</f>
        <v>0.03</v>
      </c>
    </row>
    <row r="977" spans="2:6">
      <c r="B977" s="219" t="str">
        <f>'4O'!AD20</f>
        <v>B0200DSIFWWO</v>
      </c>
      <c r="C977" s="219" t="s">
        <v>2969</v>
      </c>
      <c r="E977" s="249" t="s">
        <v>634</v>
      </c>
      <c r="F977" s="255">
        <f>IF(ISBLANK('4O'!E20),"##BLANK",'4O'!E20)</f>
        <v>2.5999999999999999E-2</v>
      </c>
    </row>
    <row r="978" spans="2:6">
      <c r="B978" s="219" t="str">
        <f>'4O'!AE20</f>
        <v>B0200DSIWDWWO</v>
      </c>
      <c r="C978" s="219" t="s">
        <v>2970</v>
      </c>
      <c r="E978" s="249" t="s">
        <v>634</v>
      </c>
      <c r="F978" s="255">
        <f>IF(ISBLANK('4O'!F20),"##BLANK",'4O'!F20)</f>
        <v>0</v>
      </c>
    </row>
    <row r="979" spans="2:6">
      <c r="B979" s="219" t="str">
        <f>'4O'!AF20</f>
        <v>B0200DSIHDWWO</v>
      </c>
      <c r="C979" s="219" t="s">
        <v>2971</v>
      </c>
      <c r="E979" s="249" t="s">
        <v>634</v>
      </c>
      <c r="F979" s="255">
        <f>IF(ISBLANK('4O'!G20),"##BLANK",'4O'!G20)</f>
        <v>0</v>
      </c>
    </row>
    <row r="980" spans="2:6">
      <c r="B980" s="219" t="str">
        <f>'4O'!AG20</f>
        <v>B0200DSISTWWO</v>
      </c>
      <c r="C980" s="219" t="s">
        <v>2972</v>
      </c>
      <c r="E980" s="249" t="s">
        <v>634</v>
      </c>
      <c r="F980" s="255">
        <f>IF(ISBLANK('4O'!H20),"##BLANK",'4O'!H20)</f>
        <v>0</v>
      </c>
    </row>
    <row r="981" spans="2:6">
      <c r="B981" s="219" t="str">
        <f>'4O'!AH20</f>
        <v>B0200DSISLWWO</v>
      </c>
      <c r="C981" s="219" t="s">
        <v>2973</v>
      </c>
      <c r="E981" s="249" t="s">
        <v>634</v>
      </c>
      <c r="F981" s="255">
        <f>IF(ISBLANK('4O'!I20),"##BLANK",'4O'!I20)</f>
        <v>0</v>
      </c>
    </row>
    <row r="982" spans="2:6">
      <c r="B982" s="219" t="str">
        <f>'4O'!AI20</f>
        <v>B0801INRTOT</v>
      </c>
      <c r="C982" s="219" t="s">
        <v>2974</v>
      </c>
      <c r="E982" s="249" t="s">
        <v>634</v>
      </c>
      <c r="F982" s="255">
        <f>IF(ISBLANK('4O'!J20),"##BLANK",'4O'!J20)</f>
        <v>2.5999999999999999E-2</v>
      </c>
    </row>
    <row r="983" spans="2:6">
      <c r="B983" s="219" t="str">
        <f>'4O'!AD21</f>
        <v>B0200DSDFWWO</v>
      </c>
      <c r="C983" s="219" t="s">
        <v>2975</v>
      </c>
      <c r="E983" s="249" t="s">
        <v>634</v>
      </c>
      <c r="F983" s="255">
        <f>IF(ISBLANK('4O'!E21),"##BLANK",'4O'!E21)</f>
        <v>0.35899999999999999</v>
      </c>
    </row>
    <row r="984" spans="2:6">
      <c r="B984" s="219" t="str">
        <f>'4O'!AE21</f>
        <v>B0200DSDWDWWO</v>
      </c>
      <c r="C984" s="219" t="s">
        <v>2976</v>
      </c>
      <c r="E984" s="249" t="s">
        <v>634</v>
      </c>
      <c r="F984" s="255">
        <f>IF(ISBLANK('4O'!F21),"##BLANK",'4O'!F21)</f>
        <v>0.42700000000000005</v>
      </c>
    </row>
    <row r="985" spans="2:6">
      <c r="B985" s="219" t="str">
        <f>'4O'!AF21</f>
        <v>B0200DSDHDWWO</v>
      </c>
      <c r="C985" s="219" t="s">
        <v>2977</v>
      </c>
      <c r="E985" s="249" t="s">
        <v>634</v>
      </c>
      <c r="F985" s="255">
        <f>IF(ISBLANK('4O'!G21),"##BLANK",'4O'!G21)</f>
        <v>0</v>
      </c>
    </row>
    <row r="986" spans="2:6">
      <c r="B986" s="219" t="str">
        <f>'4O'!AG21</f>
        <v>B0200DSDSTWWO</v>
      </c>
      <c r="C986" s="219" t="s">
        <v>2978</v>
      </c>
      <c r="E986" s="249" t="s">
        <v>634</v>
      </c>
      <c r="F986" s="255">
        <f>IF(ISBLANK('4O'!H21),"##BLANK",'4O'!H21)</f>
        <v>0</v>
      </c>
    </row>
    <row r="987" spans="2:6">
      <c r="B987" s="219" t="str">
        <f>'4O'!AH21</f>
        <v>B0200DSDSLWWO</v>
      </c>
      <c r="C987" s="219" t="s">
        <v>2979</v>
      </c>
      <c r="E987" s="249" t="s">
        <v>634</v>
      </c>
      <c r="F987" s="255">
        <f>IF(ISBLANK('4O'!I21),"##BLANK",'4O'!I21)</f>
        <v>0</v>
      </c>
    </row>
    <row r="988" spans="2:6">
      <c r="B988" s="219" t="str">
        <f>'4O'!AI21</f>
        <v>B0801185TOT</v>
      </c>
      <c r="C988" s="219" t="s">
        <v>2980</v>
      </c>
      <c r="E988" s="249" t="s">
        <v>634</v>
      </c>
      <c r="F988" s="255">
        <f>IF(ISBLANK('4O'!J21),"##BLANK",'4O'!J21)</f>
        <v>0.78600000000000003</v>
      </c>
    </row>
    <row r="989" spans="2:6">
      <c r="B989" s="219" t="str">
        <f>'4O'!AD22</f>
        <v>B0200DSOFWWO</v>
      </c>
      <c r="C989" s="219" t="s">
        <v>2981</v>
      </c>
      <c r="E989" s="249" t="s">
        <v>634</v>
      </c>
      <c r="F989" s="255">
        <f>IF(ISBLANK('4O'!E22),"##BLANK",'4O'!E22)</f>
        <v>0.35899999999999999</v>
      </c>
    </row>
    <row r="990" spans="2:6">
      <c r="B990" s="219" t="str">
        <f>'4O'!AE22</f>
        <v>B0200DSOWDWWO</v>
      </c>
      <c r="C990" s="219" t="s">
        <v>2982</v>
      </c>
      <c r="E990" s="249" t="s">
        <v>634</v>
      </c>
      <c r="F990" s="255">
        <f>IF(ISBLANK('4O'!F22),"##BLANK",'4O'!F22)</f>
        <v>0.16900000000000001</v>
      </c>
    </row>
    <row r="991" spans="2:6">
      <c r="B991" s="219" t="str">
        <f>'4O'!AF22</f>
        <v>B0200DSOHDWWO</v>
      </c>
      <c r="C991" s="219" t="s">
        <v>2983</v>
      </c>
      <c r="E991" s="249" t="s">
        <v>634</v>
      </c>
      <c r="F991" s="255">
        <f>IF(ISBLANK('4O'!G22),"##BLANK",'4O'!G22)</f>
        <v>0</v>
      </c>
    </row>
    <row r="992" spans="2:6">
      <c r="B992" s="219" t="str">
        <f>'4O'!AG22</f>
        <v>B0200DSOSTWWO</v>
      </c>
      <c r="C992" s="219" t="s">
        <v>2984</v>
      </c>
      <c r="E992" s="249" t="s">
        <v>634</v>
      </c>
      <c r="F992" s="255">
        <f>IF(ISBLANK('4O'!H22),"##BLANK",'4O'!H22)</f>
        <v>0</v>
      </c>
    </row>
    <row r="993" spans="2:6">
      <c r="B993" s="219" t="str">
        <f>'4O'!AH22</f>
        <v>B0200DSOSLWWO</v>
      </c>
      <c r="C993" s="219" t="s">
        <v>2985</v>
      </c>
      <c r="E993" s="249" t="s">
        <v>634</v>
      </c>
      <c r="F993" s="255">
        <f>IF(ISBLANK('4O'!I22),"##BLANK",'4O'!I22)</f>
        <v>0</v>
      </c>
    </row>
    <row r="994" spans="2:6">
      <c r="B994" s="219" t="str">
        <f>'4O'!AI22</f>
        <v>B0801OPCTOT</v>
      </c>
      <c r="C994" s="219" t="s">
        <v>2986</v>
      </c>
      <c r="E994" s="249" t="s">
        <v>634</v>
      </c>
      <c r="F994" s="255">
        <f>IF(ISBLANK('4O'!J22),"##BLANK",'4O'!J22)</f>
        <v>0.52800000000000002</v>
      </c>
    </row>
    <row r="995" spans="2:6">
      <c r="B995" s="219" t="str">
        <f>'4O'!AD23</f>
        <v>B0200DSFWWTO</v>
      </c>
      <c r="C995" s="219" t="s">
        <v>2987</v>
      </c>
      <c r="E995" s="249" t="s">
        <v>634</v>
      </c>
      <c r="F995" s="255">
        <f>IF(ISBLANK('4O'!E23),"##BLANK",'4O'!E23)</f>
        <v>0.69</v>
      </c>
    </row>
    <row r="996" spans="2:6">
      <c r="B996" s="219" t="str">
        <f>'4O'!AE23</f>
        <v>B0200DSWDWWTO</v>
      </c>
      <c r="C996" s="219" t="s">
        <v>2988</v>
      </c>
      <c r="E996" s="249" t="s">
        <v>634</v>
      </c>
      <c r="F996" s="255">
        <f>IF(ISBLANK('4O'!F23),"##BLANK",'4O'!F23)</f>
        <v>0.59200000000000008</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1.282</v>
      </c>
    </row>
    <row r="1001" spans="2:6">
      <c r="B1001" s="219" t="str">
        <f>'4O'!AD26</f>
        <v>B0200DSFWWT</v>
      </c>
      <c r="C1001" s="219" t="s">
        <v>2993</v>
      </c>
      <c r="E1001" s="249" t="s">
        <v>634</v>
      </c>
      <c r="F1001" s="255">
        <f>IF(ISBLANK('4O'!E26),"##BLANK",'4O'!E26)</f>
        <v>9.8659999999999997</v>
      </c>
    </row>
    <row r="1002" spans="2:6">
      <c r="B1002" s="219" t="str">
        <f>'4O'!AE26</f>
        <v>B0200DSWDWWT</v>
      </c>
      <c r="C1002" s="219" t="s">
        <v>2994</v>
      </c>
      <c r="E1002" s="249" t="s">
        <v>634</v>
      </c>
      <c r="F1002" s="255">
        <f>IF(ISBLANK('4O'!F26),"##BLANK",'4O'!F26)</f>
        <v>1.5250000000000001</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11.391</v>
      </c>
    </row>
    <row r="1007" spans="2:6">
      <c r="B1007" s="219" t="str">
        <f>'4Q'!U8</f>
        <v>B0007DSCRW</v>
      </c>
      <c r="C1007" s="219" t="s">
        <v>2999</v>
      </c>
      <c r="E1007" s="249" t="s">
        <v>634</v>
      </c>
      <c r="F1007" s="255">
        <f>IF(ISBLANK('4Q'!E8),"##BLANK",'4Q'!E8)</f>
        <v>6308</v>
      </c>
    </row>
    <row r="1008" spans="2:6">
      <c r="B1008" s="219" t="str">
        <f>'4Q'!V8</f>
        <v>B0007DSCRWW</v>
      </c>
      <c r="C1008" s="219" t="s">
        <v>3000</v>
      </c>
      <c r="E1008" s="249" t="s">
        <v>634</v>
      </c>
      <c r="F1008" s="255">
        <f>IF(ISBLANK('4Q'!F8),"##BLANK",'4Q'!F8)</f>
        <v>625</v>
      </c>
    </row>
    <row r="1009" spans="2:6">
      <c r="B1009" s="219" t="str">
        <f>'4Q'!W8</f>
        <v>B0007DSCRT</v>
      </c>
      <c r="C1009" s="219" t="s">
        <v>3001</v>
      </c>
      <c r="E1009" s="249" t="s">
        <v>634</v>
      </c>
      <c r="F1009" s="255">
        <f>IF(ISBLANK('4Q'!G8),"##BLANK",'4Q'!G8)</f>
        <v>6933</v>
      </c>
    </row>
    <row r="1010" spans="2:6">
      <c r="B1010" s="219" t="str">
        <f>'4Q'!U9</f>
        <v>B0007DSCBW</v>
      </c>
      <c r="C1010" s="219" t="s">
        <v>3002</v>
      </c>
      <c r="E1010" s="249" t="s">
        <v>634</v>
      </c>
      <c r="F1010" s="255">
        <f>IF(ISBLANK('4Q'!E9),"##BLANK",'4Q'!E9)</f>
        <v>476</v>
      </c>
    </row>
    <row r="1011" spans="2:6">
      <c r="B1011" s="219" t="str">
        <f>'4Q'!V9</f>
        <v>B0007DSCBWW</v>
      </c>
      <c r="C1011" s="219" t="s">
        <v>3003</v>
      </c>
      <c r="E1011" s="249" t="s">
        <v>634</v>
      </c>
      <c r="F1011" s="255">
        <f>IF(ISBLANK('4Q'!F9),"##BLANK",'4Q'!F9)</f>
        <v>47</v>
      </c>
    </row>
    <row r="1012" spans="2:6">
      <c r="B1012" s="219" t="str">
        <f>'4Q'!W9</f>
        <v>B0007DSCBT</v>
      </c>
      <c r="C1012" s="219" t="s">
        <v>3004</v>
      </c>
      <c r="E1012" s="249" t="s">
        <v>634</v>
      </c>
      <c r="F1012" s="255">
        <f>IF(ISBLANK('4Q'!G9),"##BLANK",'4Q'!G9)</f>
        <v>523</v>
      </c>
    </row>
    <row r="1013" spans="2:6">
      <c r="B1013" s="219" t="str">
        <f>'4Q'!U10</f>
        <v>B0007DSCIWT</v>
      </c>
      <c r="C1013" s="219" t="s">
        <v>3005</v>
      </c>
      <c r="E1013" s="249" t="s">
        <v>634</v>
      </c>
      <c r="F1013" s="255">
        <f>IF(ISBLANK('4Q'!E10),"##BLANK",'4Q'!E10)</f>
        <v>6784</v>
      </c>
    </row>
    <row r="1014" spans="2:6">
      <c r="B1014" s="219" t="str">
        <f>'4Q'!V10</f>
        <v>B0007DSCIWWT</v>
      </c>
      <c r="C1014" s="219" t="s">
        <v>3006</v>
      </c>
      <c r="E1014" s="249" t="s">
        <v>634</v>
      </c>
      <c r="F1014" s="255">
        <f>IF(ISBLANK('4Q'!F10),"##BLANK",'4Q'!F10)</f>
        <v>672</v>
      </c>
    </row>
    <row r="1015" spans="2:6">
      <c r="B1015" s="219" t="str">
        <f>'4Q'!W10</f>
        <v>B0007DSCIT</v>
      </c>
      <c r="C1015" s="219" t="s">
        <v>3007</v>
      </c>
      <c r="E1015" s="249" t="s">
        <v>634</v>
      </c>
      <c r="F1015" s="255">
        <f>IF(ISBLANK('4Q'!G10),"##BLANK",'4Q'!G10)</f>
        <v>7456</v>
      </c>
    </row>
    <row r="1016" spans="2:6">
      <c r="B1016" s="219" t="str">
        <f>'4Q'!U12</f>
        <v>B0007DSCSLP</v>
      </c>
      <c r="C1016" s="219" t="s">
        <v>3008</v>
      </c>
      <c r="E1016" s="249" t="s">
        <v>634</v>
      </c>
      <c r="F1016" s="255">
        <f>IF(ISBLANK('4Q'!E12),"##BLANK",'4Q'!E12)</f>
        <v>1493</v>
      </c>
    </row>
    <row r="1017" spans="2:6">
      <c r="B1017" s="219" t="str">
        <f>'4Q'!U15</f>
        <v>B0007DSPRW</v>
      </c>
      <c r="C1017" s="219" t="s">
        <v>3009</v>
      </c>
      <c r="E1017" s="249" t="s">
        <v>634</v>
      </c>
      <c r="F1017" s="255">
        <f>IF(ISBLANK('4Q'!E15),"##BLANK",'4Q'!E15)</f>
        <v>7465</v>
      </c>
    </row>
    <row r="1018" spans="2:6">
      <c r="B1018" s="219" t="str">
        <f>'4Q'!V15</f>
        <v>B0007DSPRWW</v>
      </c>
      <c r="C1018" s="219" t="s">
        <v>3010</v>
      </c>
      <c r="E1018" s="249" t="s">
        <v>634</v>
      </c>
      <c r="F1018" s="255">
        <f>IF(ISBLANK('4Q'!F15),"##BLANK",'4Q'!F15)</f>
        <v>8885</v>
      </c>
    </row>
    <row r="1019" spans="2:6">
      <c r="B1019" s="219" t="str">
        <f>'4Q'!W15</f>
        <v>B0007DSPRT</v>
      </c>
      <c r="C1019" s="219" t="s">
        <v>3011</v>
      </c>
      <c r="E1019" s="249" t="s">
        <v>634</v>
      </c>
      <c r="F1019" s="255">
        <f>IF(ISBLANK('4Q'!G15),"##BLANK",'4Q'!G15)</f>
        <v>16350</v>
      </c>
    </row>
    <row r="1020" spans="2:6">
      <c r="B1020" s="219" t="str">
        <f>'4Q'!U16</f>
        <v>B0007DSPBW</v>
      </c>
      <c r="C1020" s="219" t="s">
        <v>3012</v>
      </c>
      <c r="E1020" s="249" t="s">
        <v>634</v>
      </c>
      <c r="F1020" s="255">
        <f>IF(ISBLANK('4Q'!E16),"##BLANK",'4Q'!E16)</f>
        <v>498</v>
      </c>
    </row>
    <row r="1021" spans="2:6">
      <c r="B1021" s="219" t="str">
        <f>'4Q'!V16</f>
        <v>B0007DSPBWW</v>
      </c>
      <c r="C1021" s="219" t="s">
        <v>3013</v>
      </c>
      <c r="E1021" s="249" t="s">
        <v>634</v>
      </c>
      <c r="F1021" s="255">
        <f>IF(ISBLANK('4Q'!F16),"##BLANK",'4Q'!F16)</f>
        <v>670</v>
      </c>
    </row>
    <row r="1022" spans="2:6">
      <c r="B1022" s="219" t="str">
        <f>'4Q'!W16</f>
        <v>B0007DSPBT</v>
      </c>
      <c r="C1022" s="219" t="s">
        <v>3014</v>
      </c>
      <c r="E1022" s="249" t="s">
        <v>634</v>
      </c>
      <c r="F1022" s="255">
        <f>IF(ISBLANK('4Q'!G16),"##BLANK",'4Q'!G16)</f>
        <v>1168</v>
      </c>
    </row>
    <row r="1023" spans="2:6">
      <c r="B1023" s="219" t="str">
        <f>'4Q'!U17</f>
        <v>B0007DSPIWT</v>
      </c>
      <c r="C1023" s="219" t="s">
        <v>3015</v>
      </c>
      <c r="E1023" s="249" t="s">
        <v>634</v>
      </c>
      <c r="F1023" s="255">
        <f>IF(ISBLANK('4Q'!E17),"##BLANK",'4Q'!E17)</f>
        <v>7963</v>
      </c>
    </row>
    <row r="1024" spans="2:6">
      <c r="B1024" s="219" t="str">
        <f>'4Q'!V17</f>
        <v>B0007DSPIWWT</v>
      </c>
      <c r="C1024" s="219" t="s">
        <v>3016</v>
      </c>
      <c r="E1024" s="249" t="s">
        <v>634</v>
      </c>
      <c r="F1024" s="255">
        <f>IF(ISBLANK('4Q'!F17),"##BLANK",'4Q'!F17)</f>
        <v>9555</v>
      </c>
    </row>
    <row r="1025" spans="2:6">
      <c r="B1025" s="219" t="str">
        <f>'4Q'!W17</f>
        <v>B0007DSPIT</v>
      </c>
      <c r="C1025" s="219" t="s">
        <v>3017</v>
      </c>
      <c r="E1025" s="249" t="s">
        <v>634</v>
      </c>
      <c r="F1025" s="255">
        <f>IF(ISBLANK('4Q'!G17),"##BLANK",'4Q'!G17)</f>
        <v>17518</v>
      </c>
    </row>
    <row r="1026" spans="2:6">
      <c r="B1026" s="219" t="str">
        <f>'4Q'!U18</f>
        <v>B0007DSPRNAVW</v>
      </c>
      <c r="C1026" s="219" t="s">
        <v>3018</v>
      </c>
      <c r="E1026" s="249" t="s">
        <v>634</v>
      </c>
      <c r="F1026" s="255">
        <f>IF(ISBLANK('4Q'!E18),"##BLANK",'4Q'!E18)</f>
        <v>0</v>
      </c>
    </row>
    <row r="1027" spans="2:6">
      <c r="B1027" s="219" t="str">
        <f>'4Q'!V18</f>
        <v>B0007DSPRNAVWW</v>
      </c>
      <c r="C1027" s="219" t="s">
        <v>3019</v>
      </c>
      <c r="E1027" s="249" t="s">
        <v>634</v>
      </c>
      <c r="F1027" s="255">
        <f>IF(ISBLANK('4Q'!F18),"##BLANK",'4Q'!F18)</f>
        <v>283</v>
      </c>
    </row>
    <row r="1028" spans="2:6">
      <c r="B1028" s="219" t="str">
        <f>'4Q'!W18</f>
        <v>B0007DSPRNAVT</v>
      </c>
      <c r="C1028" s="219" t="s">
        <v>3020</v>
      </c>
      <c r="E1028" s="249" t="s">
        <v>634</v>
      </c>
      <c r="F1028" s="255">
        <f>IF(ISBLANK('4Q'!G18),"##BLANK",'4Q'!G18)</f>
        <v>283</v>
      </c>
    </row>
    <row r="1029" spans="2:6">
      <c r="B1029" s="219" t="str">
        <f>'4Q'!U19</f>
        <v>B0007DSPBNAVW</v>
      </c>
      <c r="C1029" s="219" t="s">
        <v>3021</v>
      </c>
      <c r="E1029" s="249" t="s">
        <v>634</v>
      </c>
      <c r="F1029" s="255">
        <f>IF(ISBLANK('4Q'!E19),"##BLANK",'4Q'!E19)</f>
        <v>0</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0</v>
      </c>
    </row>
    <row r="1032" spans="2:6">
      <c r="B1032" s="219" t="str">
        <f>'4Q'!U20</f>
        <v>B0007DSPNAVWT</v>
      </c>
      <c r="C1032" s="219" t="s">
        <v>3024</v>
      </c>
      <c r="E1032" s="249" t="s">
        <v>634</v>
      </c>
      <c r="F1032" s="255">
        <f>IF(ISBLANK('4Q'!E20),"##BLANK",'4Q'!E20)</f>
        <v>0</v>
      </c>
    </row>
    <row r="1033" spans="2:6">
      <c r="B1033" s="219" t="str">
        <f>'4Q'!V20</f>
        <v>B0007DSPNAVWWT</v>
      </c>
      <c r="C1033" s="219" t="s">
        <v>3025</v>
      </c>
      <c r="E1033" s="249" t="s">
        <v>634</v>
      </c>
      <c r="F1033" s="255">
        <f>IF(ISBLANK('4Q'!F20),"##BLANK",'4Q'!F20)</f>
        <v>283</v>
      </c>
    </row>
    <row r="1034" spans="2:6">
      <c r="B1034" s="219" t="str">
        <f>'4Q'!W20</f>
        <v>B0007DSPNAVT</v>
      </c>
      <c r="C1034" s="219" t="s">
        <v>3026</v>
      </c>
      <c r="E1034" s="249" t="s">
        <v>634</v>
      </c>
      <c r="F1034" s="255">
        <f>IF(ISBLANK('4Q'!G20),"##BLANK",'4Q'!G20)</f>
        <v>283</v>
      </c>
    </row>
    <row r="1035" spans="2:6">
      <c r="B1035" s="219" t="str">
        <f>'4Q'!U21</f>
        <v>B0007DSPWT</v>
      </c>
      <c r="C1035" s="219" t="s">
        <v>3027</v>
      </c>
      <c r="E1035" s="249" t="s">
        <v>634</v>
      </c>
      <c r="F1035" s="255">
        <f>IF(ISBLANK('4Q'!E21),"##BLANK",'4Q'!E21)</f>
        <v>7963</v>
      </c>
    </row>
    <row r="1036" spans="2:6">
      <c r="B1036" s="219" t="str">
        <f>'4Q'!V21</f>
        <v>B0007DSPWWT</v>
      </c>
      <c r="C1036" s="219" t="s">
        <v>3028</v>
      </c>
      <c r="E1036" s="249" t="s">
        <v>634</v>
      </c>
      <c r="F1036" s="255">
        <f>IF(ISBLANK('4Q'!F21),"##BLANK",'4Q'!F21)</f>
        <v>9838</v>
      </c>
    </row>
    <row r="1037" spans="2:6">
      <c r="B1037" s="219" t="str">
        <f>'4Q'!W21</f>
        <v>B0007DSPTOT</v>
      </c>
      <c r="C1037" s="219" t="s">
        <v>3029</v>
      </c>
      <c r="E1037" s="249" t="s">
        <v>634</v>
      </c>
      <c r="F1037" s="255">
        <f>IF(ISBLANK('4Q'!G21),"##BLANK",'4Q'!G21)</f>
        <v>17801</v>
      </c>
    </row>
    <row r="1038" spans="2:6">
      <c r="B1038" s="219" t="str">
        <f>'4Q'!U23</f>
        <v>B0007DSPSLP</v>
      </c>
      <c r="C1038" s="219" t="s">
        <v>3030</v>
      </c>
      <c r="E1038" s="249" t="s">
        <v>634</v>
      </c>
      <c r="F1038" s="255">
        <f>IF(ISBLANK('4Q'!E23),"##BLANK",'4Q'!E23)</f>
        <v>1500</v>
      </c>
    </row>
    <row r="1039" spans="2:6">
      <c r="B1039" s="257" t="str">
        <f>'4Q'!U26</f>
        <v>B0007DSDLREQ</v>
      </c>
      <c r="C1039" s="219" t="s">
        <v>3031</v>
      </c>
      <c r="E1039" s="249" t="s">
        <v>634</v>
      </c>
      <c r="F1039" s="255">
        <f>IF(ISBLANK('4Q'!E26),"##BLANK",'4Q'!E26)</f>
        <v>35</v>
      </c>
    </row>
    <row r="1040" spans="2:6">
      <c r="B1040" s="257" t="str">
        <f>'4Q'!U27</f>
        <v>B0007DSDLSLP</v>
      </c>
      <c r="C1040" s="219" t="s">
        <v>3032</v>
      </c>
      <c r="E1040" s="249" t="s">
        <v>634</v>
      </c>
      <c r="F1040" s="255">
        <f>IF(ISBLANK('4Q'!E27),"##BLANK",'4Q'!E27)</f>
        <v>11</v>
      </c>
    </row>
    <row r="1041" spans="2:6">
      <c r="B1041" s="219" t="str">
        <f>'4R'!AX8</f>
        <v>R3017</v>
      </c>
      <c r="C1041" s="219" t="s">
        <v>3033</v>
      </c>
      <c r="E1041" s="249" t="s">
        <v>634</v>
      </c>
      <c r="F1041" s="255">
        <f>IF(ISBLANK('4R'!E8),"##BLANK",'4R'!E8)</f>
        <v>52.1</v>
      </c>
    </row>
    <row r="1042" spans="2:6">
      <c r="B1042" s="219" t="str">
        <f>'4R'!AY8</f>
        <v>R3018</v>
      </c>
      <c r="C1042" s="219" t="s">
        <v>3034</v>
      </c>
      <c r="E1042" s="249" t="s">
        <v>634</v>
      </c>
      <c r="F1042" s="255">
        <f>IF(ISBLANK('4R'!F8),"##BLANK",'4R'!F8)</f>
        <v>33.220999999999997</v>
      </c>
    </row>
    <row r="1043" spans="2:6">
      <c r="B1043" s="219" t="str">
        <f>'4R'!AZ8</f>
        <v>R3042TOT</v>
      </c>
      <c r="C1043" s="219" t="s">
        <v>3035</v>
      </c>
      <c r="E1043" s="249" t="s">
        <v>634</v>
      </c>
      <c r="F1043" s="255">
        <f>IF(ISBLANK('4R'!G8),"##BLANK",'4R'!G8)</f>
        <v>85.320999999999998</v>
      </c>
    </row>
    <row r="1044" spans="2:6">
      <c r="B1044" s="219" t="str">
        <f>'4R'!BA8</f>
        <v>R3042VOI</v>
      </c>
      <c r="C1044" s="219" t="s">
        <v>3036</v>
      </c>
      <c r="E1044" s="249" t="s">
        <v>634</v>
      </c>
      <c r="F1044" s="255">
        <f>IF(ISBLANK('4R'!H8),"##BLANK",'4R'!H8)</f>
        <v>2.9790000000000001</v>
      </c>
    </row>
    <row r="1045" spans="2:6">
      <c r="B1045" s="219" t="str">
        <f>'4R'!AX9</f>
        <v>R3019</v>
      </c>
      <c r="C1045" s="219" t="s">
        <v>3037</v>
      </c>
      <c r="E1045" s="249" t="s">
        <v>634</v>
      </c>
      <c r="F1045" s="255">
        <f>IF(ISBLANK('4R'!E9),"##BLANK",'4R'!E9)</f>
        <v>46.997999999999998</v>
      </c>
    </row>
    <row r="1046" spans="2:6">
      <c r="B1046" s="219" t="str">
        <f>'4R'!AY9</f>
        <v>R3020</v>
      </c>
      <c r="C1046" s="219" t="s">
        <v>3038</v>
      </c>
      <c r="E1046" s="249" t="s">
        <v>634</v>
      </c>
      <c r="F1046" s="255">
        <f>IF(ISBLANK('4R'!F9),"##BLANK",'4R'!F9)</f>
        <v>83.611999999999995</v>
      </c>
    </row>
    <row r="1047" spans="2:6">
      <c r="B1047" s="219" t="str">
        <f>'4R'!AZ9</f>
        <v>R3043TOT</v>
      </c>
      <c r="C1047" s="219" t="s">
        <v>3039</v>
      </c>
      <c r="E1047" s="249" t="s">
        <v>634</v>
      </c>
      <c r="F1047" s="255">
        <f>IF(ISBLANK('4R'!G9),"##BLANK",'4R'!G9)</f>
        <v>130.60999999999999</v>
      </c>
    </row>
    <row r="1048" spans="2:6">
      <c r="B1048" s="219" t="str">
        <f>'4R'!BA9</f>
        <v>R3043VOI</v>
      </c>
      <c r="C1048" s="219" t="s">
        <v>3040</v>
      </c>
      <c r="E1048" s="249" t="s">
        <v>634</v>
      </c>
      <c r="F1048" s="255">
        <f>IF(ISBLANK('4R'!H9),"##BLANK",'4R'!H9)</f>
        <v>4.03</v>
      </c>
    </row>
    <row r="1049" spans="2:6">
      <c r="B1049" s="219" t="str">
        <f>'4R'!AX10</f>
        <v>R3021</v>
      </c>
      <c r="C1049" s="219" t="s">
        <v>3041</v>
      </c>
      <c r="E1049" s="249" t="s">
        <v>634</v>
      </c>
      <c r="F1049" s="255">
        <f>IF(ISBLANK('4R'!E10),"##BLANK",'4R'!E10)</f>
        <v>629.47299999999996</v>
      </c>
    </row>
    <row r="1050" spans="2:6">
      <c r="B1050" s="219" t="str">
        <f>'4R'!AY10</f>
        <v>R3022</v>
      </c>
      <c r="C1050" s="219" t="s">
        <v>3042</v>
      </c>
      <c r="E1050" s="249" t="s">
        <v>634</v>
      </c>
      <c r="F1050" s="255">
        <f>IF(ISBLANK('4R'!F10),"##BLANK",'4R'!F10)</f>
        <v>598.971</v>
      </c>
    </row>
    <row r="1051" spans="2:6">
      <c r="B1051" s="219" t="str">
        <f>'4R'!AZ10</f>
        <v>R3044TOT</v>
      </c>
      <c r="C1051" s="219" t="s">
        <v>3043</v>
      </c>
      <c r="E1051" s="249" t="s">
        <v>634</v>
      </c>
      <c r="F1051" s="255">
        <f>IF(ISBLANK('4R'!G10),"##BLANK",'4R'!G10)</f>
        <v>1228.444</v>
      </c>
    </row>
    <row r="1052" spans="2:6">
      <c r="B1052" s="219" t="str">
        <f>'4R'!BA10</f>
        <v>R3044VOI</v>
      </c>
      <c r="C1052" s="219" t="s">
        <v>3044</v>
      </c>
      <c r="E1052" s="249" t="s">
        <v>634</v>
      </c>
      <c r="F1052" s="255">
        <f>IF(ISBLANK('4R'!H10),"##BLANK",'4R'!H10)</f>
        <v>43.648000000000003</v>
      </c>
    </row>
    <row r="1053" spans="2:6">
      <c r="B1053" s="219" t="str">
        <f>'4R'!AX11</f>
        <v>R1005UTO</v>
      </c>
      <c r="C1053" s="219" t="s">
        <v>3045</v>
      </c>
      <c r="E1053" s="249" t="s">
        <v>634</v>
      </c>
      <c r="F1053" s="255">
        <f>IF(ISBLANK('4R'!E11),"##BLANK",'4R'!E11)</f>
        <v>728.57099999999991</v>
      </c>
    </row>
    <row r="1054" spans="2:6">
      <c r="B1054" s="219" t="str">
        <f>'4R'!AY11</f>
        <v>R1005MTO</v>
      </c>
      <c r="C1054" s="219" t="s">
        <v>3046</v>
      </c>
      <c r="E1054" s="249" t="s">
        <v>634</v>
      </c>
      <c r="F1054" s="255">
        <f>IF(ISBLANK('4R'!F11),"##BLANK",'4R'!F11)</f>
        <v>715.80399999999997</v>
      </c>
    </row>
    <row r="1055" spans="2:6">
      <c r="B1055" s="219" t="str">
        <f>'4R'!AZ11</f>
        <v>R1005TOT</v>
      </c>
      <c r="C1055" s="219" t="s">
        <v>3047</v>
      </c>
      <c r="E1055" s="249" t="s">
        <v>634</v>
      </c>
      <c r="F1055" s="255">
        <f>IF(ISBLANK('4R'!G11),"##BLANK",'4R'!G11)</f>
        <v>1444.375</v>
      </c>
    </row>
    <row r="1056" spans="2:6">
      <c r="B1056" s="219" t="str">
        <f>'4R'!BA11</f>
        <v>R1005VOI</v>
      </c>
      <c r="C1056" s="219" t="s">
        <v>3048</v>
      </c>
      <c r="E1056" s="249" t="s">
        <v>634</v>
      </c>
      <c r="F1056" s="255">
        <f>IF(ISBLANK('4R'!H11),"##BLANK",'4R'!H11)</f>
        <v>50.657000000000004</v>
      </c>
    </row>
    <row r="1057" spans="2:6">
      <c r="B1057" s="219" t="str">
        <f>'4R'!AX12</f>
        <v>R3032UTO</v>
      </c>
      <c r="C1057" s="219" t="s">
        <v>3049</v>
      </c>
      <c r="E1057" s="249" t="s">
        <v>634</v>
      </c>
      <c r="F1057" s="255">
        <f>IF(ISBLANK('4R'!E12),"##BLANK",'4R'!E12)</f>
        <v>1.7230000000000001</v>
      </c>
    </row>
    <row r="1058" spans="2:6">
      <c r="B1058" s="219" t="str">
        <f>'4R'!AY12</f>
        <v>R3032MTO</v>
      </c>
      <c r="C1058" s="219" t="s">
        <v>3050</v>
      </c>
      <c r="E1058" s="249" t="s">
        <v>634</v>
      </c>
      <c r="F1058" s="255">
        <f>IF(ISBLANK('4R'!F12),"##BLANK",'4R'!F12)</f>
        <v>32.311999999999998</v>
      </c>
    </row>
    <row r="1059" spans="2:6">
      <c r="B1059" s="219" t="str">
        <f>'4R'!AZ12</f>
        <v>R3032TOT</v>
      </c>
      <c r="C1059" s="219" t="s">
        <v>3051</v>
      </c>
      <c r="E1059" s="249" t="s">
        <v>634</v>
      </c>
      <c r="F1059" s="255">
        <f>IF(ISBLANK('4R'!G12),"##BLANK",'4R'!G12)</f>
        <v>34.034999999999997</v>
      </c>
    </row>
    <row r="1060" spans="2:6">
      <c r="B1060" s="219" t="str">
        <f>'4R'!BA12</f>
        <v>R3032VOI</v>
      </c>
      <c r="C1060" s="219" t="s">
        <v>3052</v>
      </c>
      <c r="E1060" s="249" t="s">
        <v>634</v>
      </c>
      <c r="F1060" s="255">
        <f>IF(ISBLANK('4R'!H12),"##BLANK",'4R'!H12)</f>
        <v>2.3050000000000002</v>
      </c>
    </row>
    <row r="1061" spans="2:6">
      <c r="B1061" s="219" t="str">
        <f>'4R'!AX13</f>
        <v>R3034UTO</v>
      </c>
      <c r="C1061" s="219" t="s">
        <v>3053</v>
      </c>
      <c r="E1061" s="249" t="s">
        <v>634</v>
      </c>
      <c r="F1061" s="255">
        <f>IF(ISBLANK('4R'!E13),"##BLANK",'4R'!E13)</f>
        <v>1.0249999999999999</v>
      </c>
    </row>
    <row r="1062" spans="2:6">
      <c r="B1062" s="219" t="str">
        <f>'4R'!AY13</f>
        <v>R3034MTO</v>
      </c>
      <c r="C1062" s="219" t="s">
        <v>3054</v>
      </c>
      <c r="E1062" s="249" t="s">
        <v>634</v>
      </c>
      <c r="F1062" s="255">
        <f>IF(ISBLANK('4R'!F13),"##BLANK",'4R'!F13)</f>
        <v>5.7489999999999997</v>
      </c>
    </row>
    <row r="1063" spans="2:6">
      <c r="B1063" s="219" t="str">
        <f>'4R'!AZ13</f>
        <v>R3034TOT</v>
      </c>
      <c r="C1063" s="219" t="s">
        <v>3055</v>
      </c>
      <c r="E1063" s="249" t="s">
        <v>634</v>
      </c>
      <c r="F1063" s="255">
        <f>IF(ISBLANK('4R'!G13),"##BLANK",'4R'!G13)</f>
        <v>6.7739999999999991</v>
      </c>
    </row>
    <row r="1064" spans="2:6">
      <c r="B1064" s="219" t="str">
        <f>'4R'!BA13</f>
        <v>R3034VOI</v>
      </c>
      <c r="C1064" s="219" t="s">
        <v>3056</v>
      </c>
      <c r="E1064" s="249" t="s">
        <v>634</v>
      </c>
      <c r="F1064" s="255">
        <f>IF(ISBLANK('4R'!H13),"##BLANK",'4R'!H13)</f>
        <v>1.827</v>
      </c>
    </row>
    <row r="1065" spans="2:6">
      <c r="B1065" s="219" t="str">
        <f>'4R'!AX14</f>
        <v>R3036UTO</v>
      </c>
      <c r="C1065" s="219" t="s">
        <v>3057</v>
      </c>
      <c r="E1065" s="249" t="s">
        <v>634</v>
      </c>
      <c r="F1065" s="255">
        <f>IF(ISBLANK('4R'!E14),"##BLANK",'4R'!E14)</f>
        <v>5.4779999999999998</v>
      </c>
    </row>
    <row r="1066" spans="2:6">
      <c r="B1066" s="219" t="str">
        <f>'4R'!AY14</f>
        <v>R3036MTO</v>
      </c>
      <c r="C1066" s="219" t="s">
        <v>3058</v>
      </c>
      <c r="E1066" s="249" t="s">
        <v>634</v>
      </c>
      <c r="F1066" s="255">
        <f>IF(ISBLANK('4R'!F14),"##BLANK",'4R'!F14)</f>
        <v>59.350999999999999</v>
      </c>
    </row>
    <row r="1067" spans="2:6">
      <c r="B1067" s="219" t="str">
        <f>'4R'!AZ14</f>
        <v>R3036TOT</v>
      </c>
      <c r="C1067" s="219" t="s">
        <v>3059</v>
      </c>
      <c r="E1067" s="249" t="s">
        <v>634</v>
      </c>
      <c r="F1067" s="255">
        <f>IF(ISBLANK('4R'!G14),"##BLANK",'4R'!G14)</f>
        <v>64.828999999999994</v>
      </c>
    </row>
    <row r="1068" spans="2:6">
      <c r="B1068" s="219" t="str">
        <f>'4R'!BA14</f>
        <v>R3036VOI</v>
      </c>
      <c r="C1068" s="219" t="s">
        <v>3060</v>
      </c>
      <c r="E1068" s="249" t="s">
        <v>634</v>
      </c>
      <c r="F1068" s="255">
        <f>IF(ISBLANK('4R'!H14),"##BLANK",'4R'!H14)</f>
        <v>8.0839999999999996</v>
      </c>
    </row>
    <row r="1069" spans="2:6">
      <c r="B1069" s="219" t="str">
        <f>'4R'!AX15</f>
        <v>R3038UTO</v>
      </c>
      <c r="C1069" s="219" t="s">
        <v>3061</v>
      </c>
      <c r="E1069" s="249" t="s">
        <v>634</v>
      </c>
      <c r="F1069" s="255">
        <f>IF(ISBLANK('4R'!E15),"##BLANK",'4R'!E15)</f>
        <v>8.2259999999999991</v>
      </c>
    </row>
    <row r="1070" spans="2:6">
      <c r="B1070" s="219" t="str">
        <f>'4R'!AY15</f>
        <v>R3038MTO</v>
      </c>
      <c r="C1070" s="219" t="s">
        <v>3062</v>
      </c>
      <c r="E1070" s="249" t="s">
        <v>634</v>
      </c>
      <c r="F1070" s="255">
        <f>IF(ISBLANK('4R'!F15),"##BLANK",'4R'!F15)</f>
        <v>97.412000000000006</v>
      </c>
    </row>
    <row r="1071" spans="2:6">
      <c r="B1071" s="219" t="str">
        <f>'4R'!AZ15</f>
        <v>R3038TOT</v>
      </c>
      <c r="C1071" s="219" t="s">
        <v>3063</v>
      </c>
      <c r="E1071" s="249" t="s">
        <v>634</v>
      </c>
      <c r="F1071" s="255">
        <f>IF(ISBLANK('4R'!G15),"##BLANK",'4R'!G15)</f>
        <v>105.63800000000001</v>
      </c>
    </row>
    <row r="1072" spans="2:6">
      <c r="B1072" s="219" t="str">
        <f>'4R'!BA15</f>
        <v>R3038VOI</v>
      </c>
      <c r="C1072" s="219" t="s">
        <v>3064</v>
      </c>
      <c r="E1072" s="249" t="s">
        <v>634</v>
      </c>
      <c r="F1072" s="255">
        <f>IF(ISBLANK('4R'!H15),"##BLANK",'4R'!H15)</f>
        <v>12.215999999999999</v>
      </c>
    </row>
    <row r="1073" spans="2:6">
      <c r="B1073" s="219" t="str">
        <f>'4R'!AX16</f>
        <v>R3040UTO</v>
      </c>
      <c r="C1073" s="219" t="s">
        <v>3065</v>
      </c>
      <c r="E1073" s="249" t="s">
        <v>634</v>
      </c>
      <c r="F1073" s="255">
        <f>IF(ISBLANK('4R'!E16),"##BLANK",'4R'!E16)</f>
        <v>736.79699999999991</v>
      </c>
    </row>
    <row r="1074" spans="2:6">
      <c r="B1074" s="219" t="str">
        <f>'4R'!AY16</f>
        <v>R3040MTO</v>
      </c>
      <c r="C1074" s="219" t="s">
        <v>3066</v>
      </c>
      <c r="E1074" s="249" t="s">
        <v>634</v>
      </c>
      <c r="F1074" s="255">
        <f>IF(ISBLANK('4R'!F16),"##BLANK",'4R'!F16)</f>
        <v>813.21600000000001</v>
      </c>
    </row>
    <row r="1075" spans="2:6">
      <c r="B1075" s="219" t="str">
        <f>'4R'!AZ16</f>
        <v>R3040TOT</v>
      </c>
      <c r="C1075" s="219" t="s">
        <v>3067</v>
      </c>
      <c r="E1075" s="249" t="s">
        <v>634</v>
      </c>
      <c r="F1075" s="255">
        <f>IF(ISBLANK('4R'!G16),"##BLANK",'4R'!G16)</f>
        <v>1550.0129999999999</v>
      </c>
    </row>
    <row r="1076" spans="2:6">
      <c r="B1076" s="219" t="str">
        <f>'4R'!BA16</f>
        <v>R3040VOI</v>
      </c>
      <c r="C1076" s="219" t="s">
        <v>3068</v>
      </c>
      <c r="E1076" s="249" t="s">
        <v>634</v>
      </c>
      <c r="F1076" s="255">
        <f>IF(ISBLANK('4R'!H16),"##BLANK",'4R'!H16)</f>
        <v>62.873000000000005</v>
      </c>
    </row>
    <row r="1077" spans="2:6">
      <c r="B1077" s="219" t="str">
        <f>'4R'!AX22</f>
        <v>BN2100UTO</v>
      </c>
      <c r="C1077" s="219" t="s">
        <v>3069</v>
      </c>
      <c r="E1077" s="249" t="s">
        <v>634</v>
      </c>
      <c r="F1077" s="255">
        <f>IF(ISBLANK('4R'!E22),"##BLANK",'4R'!E22)</f>
        <v>681.57299999999998</v>
      </c>
    </row>
    <row r="1078" spans="2:6">
      <c r="B1078" s="219" t="str">
        <f>'4R'!AY22</f>
        <v>BN2100MTO</v>
      </c>
      <c r="C1078" s="219" t="s">
        <v>3070</v>
      </c>
      <c r="E1078" s="249" t="s">
        <v>634</v>
      </c>
      <c r="F1078" s="255">
        <f>IF(ISBLANK('4R'!F22),"##BLANK",'4R'!F22)</f>
        <v>632.19200000000001</v>
      </c>
    </row>
    <row r="1079" spans="2:6">
      <c r="B1079" s="219" t="str">
        <f>'4R'!AZ22</f>
        <v>BN2100TOT</v>
      </c>
      <c r="C1079" s="219" t="s">
        <v>3071</v>
      </c>
      <c r="E1079" s="249" t="s">
        <v>634</v>
      </c>
      <c r="F1079" s="255">
        <f>IF(ISBLANK('4R'!G22),"##BLANK",'4R'!G22)</f>
        <v>1313.7649999999999</v>
      </c>
    </row>
    <row r="1080" spans="2:6">
      <c r="B1080" s="219" t="str">
        <f>'4R'!BA22</f>
        <v>BN2130</v>
      </c>
      <c r="C1080" s="219" t="s">
        <v>3072</v>
      </c>
      <c r="E1080" s="249" t="s">
        <v>634</v>
      </c>
      <c r="F1080" s="255">
        <f>IF(ISBLANK('4R'!H22),"##BLANK",'4R'!H22)</f>
        <v>676.471</v>
      </c>
    </row>
    <row r="1081" spans="2:6">
      <c r="B1081" s="219" t="str">
        <f>'4R'!BB22</f>
        <v>BN2140</v>
      </c>
      <c r="C1081" s="219" t="s">
        <v>3073</v>
      </c>
      <c r="E1081" s="249" t="s">
        <v>634</v>
      </c>
      <c r="F1081" s="255">
        <f>IF(ISBLANK('4R'!I22),"##BLANK",'4R'!I22)</f>
        <v>682.58299999999997</v>
      </c>
    </row>
    <row r="1082" spans="2:6">
      <c r="B1082" s="219" t="str">
        <f>'4R'!BC22</f>
        <v>BN2150</v>
      </c>
      <c r="C1082" s="219" t="s">
        <v>3074</v>
      </c>
      <c r="E1082" s="249" t="s">
        <v>634</v>
      </c>
      <c r="F1082" s="255">
        <f>IF(ISBLANK('4R'!J22),"##BLANK",'4R'!J22)</f>
        <v>1359.0540000000001</v>
      </c>
    </row>
    <row r="1083" spans="2:6">
      <c r="B1083" s="219" t="str">
        <f>'4R'!AZ23</f>
        <v>BN2300A</v>
      </c>
      <c r="C1083" s="219" t="s">
        <v>3075</v>
      </c>
      <c r="E1083" s="249" t="s">
        <v>634</v>
      </c>
      <c r="F1083" s="255">
        <f>IF(ISBLANK('4R'!G23),"##BLANK",'4R'!G23)</f>
        <v>46.627000000000002</v>
      </c>
    </row>
    <row r="1084" spans="2:6">
      <c r="B1084" s="219" t="str">
        <f>'4R'!BC23</f>
        <v>BN2310A</v>
      </c>
      <c r="C1084" s="219" t="s">
        <v>3076</v>
      </c>
      <c r="E1084" s="249" t="s">
        <v>634</v>
      </c>
      <c r="F1084" s="255">
        <f>IF(ISBLANK('4R'!J23),"##BLANK",'4R'!J23)</f>
        <v>47.677999999999997</v>
      </c>
    </row>
    <row r="1085" spans="2:6">
      <c r="B1085" s="219" t="str">
        <f>'4R'!AZ24</f>
        <v>BN2400</v>
      </c>
      <c r="C1085" s="219" t="s">
        <v>3077</v>
      </c>
      <c r="E1085" s="249" t="s">
        <v>634</v>
      </c>
      <c r="F1085" s="255">
        <f>IF(ISBLANK('4R'!G24),"##BLANK",'4R'!G24)</f>
        <v>1360.3919999999998</v>
      </c>
    </row>
    <row r="1086" spans="2:6">
      <c r="B1086" s="219" t="str">
        <f>'4R'!BC24</f>
        <v>BN2410</v>
      </c>
      <c r="C1086" s="219" t="s">
        <v>3078</v>
      </c>
      <c r="E1086" s="249" t="s">
        <v>634</v>
      </c>
      <c r="F1086" s="255">
        <f>IF(ISBLANK('4R'!J24),"##BLANK",'4R'!J24)</f>
        <v>1406.732</v>
      </c>
    </row>
    <row r="1087" spans="2:6">
      <c r="B1087" s="219" t="str">
        <f>'4R'!AX25</f>
        <v>BN2200</v>
      </c>
      <c r="C1087" s="219" t="s">
        <v>3079</v>
      </c>
      <c r="E1087" s="249" t="s">
        <v>634</v>
      </c>
      <c r="F1087" s="255">
        <f>IF(ISBLANK('4R'!E25),"##BLANK",'4R'!E25)</f>
        <v>7.2009999999999996</v>
      </c>
    </row>
    <row r="1088" spans="2:6">
      <c r="B1088" s="219" t="str">
        <f>'4R'!AY25</f>
        <v>BN2210</v>
      </c>
      <c r="C1088" s="219" t="s">
        <v>3080</v>
      </c>
      <c r="E1088" s="249" t="s">
        <v>634</v>
      </c>
      <c r="F1088" s="255">
        <f>IF(ISBLANK('4R'!F25),"##BLANK",'4R'!F25)</f>
        <v>91.662999999999997</v>
      </c>
    </row>
    <row r="1089" spans="2:6">
      <c r="B1089" s="219" t="str">
        <f>'4R'!AZ25</f>
        <v>BN2220A</v>
      </c>
      <c r="C1089" s="219" t="s">
        <v>3081</v>
      </c>
      <c r="E1089" s="249" t="s">
        <v>634</v>
      </c>
      <c r="F1089" s="255">
        <f>IF(ISBLANK('4R'!G25),"##BLANK",'4R'!G25)</f>
        <v>98.86399999999999</v>
      </c>
    </row>
    <row r="1090" spans="2:6">
      <c r="B1090" s="219" t="str">
        <f>'4R'!BA25</f>
        <v>BN2250</v>
      </c>
      <c r="C1090" s="219" t="s">
        <v>3082</v>
      </c>
      <c r="E1090" s="249" t="s">
        <v>634</v>
      </c>
      <c r="F1090" s="255">
        <f>IF(ISBLANK('4R'!H25),"##BLANK",'4R'!H25)</f>
        <v>6.5030000000000001</v>
      </c>
    </row>
    <row r="1091" spans="2:6">
      <c r="B1091" s="219" t="str">
        <f>'4R'!BB25</f>
        <v>BN2260</v>
      </c>
      <c r="C1091" s="219" t="s">
        <v>3083</v>
      </c>
      <c r="E1091" s="249" t="s">
        <v>634</v>
      </c>
      <c r="F1091" s="255">
        <f>IF(ISBLANK('4R'!I25),"##BLANK",'4R'!I25)</f>
        <v>65.099999999999994</v>
      </c>
    </row>
    <row r="1092" spans="2:6">
      <c r="B1092" s="219" t="str">
        <f>'4R'!BC25</f>
        <v>BN2270</v>
      </c>
      <c r="C1092" s="219" t="s">
        <v>3084</v>
      </c>
      <c r="E1092" s="249" t="s">
        <v>634</v>
      </c>
      <c r="F1092" s="255">
        <f>IF(ISBLANK('4R'!J25),"##BLANK",'4R'!J25)</f>
        <v>71.602999999999994</v>
      </c>
    </row>
    <row r="1093" spans="2:6">
      <c r="B1093" s="219" t="str">
        <f>'4R'!AZ26</f>
        <v>BN2500</v>
      </c>
      <c r="C1093" s="219" t="s">
        <v>3085</v>
      </c>
      <c r="E1093" s="249" t="s">
        <v>634</v>
      </c>
      <c r="F1093" s="255">
        <f>IF(ISBLANK('4R'!G26),"##BLANK",'4R'!G26)</f>
        <v>10.388999999999999</v>
      </c>
    </row>
    <row r="1094" spans="2:6">
      <c r="B1094" s="219" t="str">
        <f>'4R'!BC26</f>
        <v>BN2510</v>
      </c>
      <c r="C1094" s="219" t="s">
        <v>3086</v>
      </c>
      <c r="E1094" s="249" t="s">
        <v>634</v>
      </c>
      <c r="F1094" s="255">
        <f>IF(ISBLANK('4R'!J26),"##BLANK",'4R'!J26)</f>
        <v>9.9109999999999996</v>
      </c>
    </row>
    <row r="1095" spans="2:6">
      <c r="B1095" s="219" t="str">
        <f>'4R'!AZ27</f>
        <v>BN2600A</v>
      </c>
      <c r="C1095" s="219" t="s">
        <v>3087</v>
      </c>
      <c r="E1095" s="249" t="s">
        <v>634</v>
      </c>
      <c r="F1095" s="255">
        <f>IF(ISBLANK('4R'!G27),"##BLANK",'4R'!G27)</f>
        <v>109.25299999999999</v>
      </c>
    </row>
    <row r="1096" spans="2:6">
      <c r="B1096" s="219" t="str">
        <f>'4R'!BC27</f>
        <v>BN2610A</v>
      </c>
      <c r="C1096" s="219" t="s">
        <v>3088</v>
      </c>
      <c r="E1096" s="249" t="s">
        <v>634</v>
      </c>
      <c r="F1096" s="255">
        <f>IF(ISBLANK('4R'!J27),"##BLANK",'4R'!J27)</f>
        <v>81.513999999999996</v>
      </c>
    </row>
    <row r="1097" spans="2:6">
      <c r="B1097" s="219" t="str">
        <f>'4R'!AZ28</f>
        <v>BN2700</v>
      </c>
      <c r="C1097" s="219" t="s">
        <v>3089</v>
      </c>
      <c r="E1097" s="249" t="s">
        <v>634</v>
      </c>
      <c r="F1097" s="255">
        <f>IF(ISBLANK('4R'!G28),"##BLANK",'4R'!G28)</f>
        <v>1469.6449999999998</v>
      </c>
    </row>
    <row r="1098" spans="2:6">
      <c r="B1098" s="219" t="str">
        <f>'4R'!BC28</f>
        <v>BN2710</v>
      </c>
      <c r="C1098" s="219" t="s">
        <v>3090</v>
      </c>
      <c r="E1098" s="249" t="s">
        <v>634</v>
      </c>
      <c r="F1098" s="255">
        <f>IF(ISBLANK('4R'!J28),"##BLANK",'4R'!J28)</f>
        <v>1488.2459999999999</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5.9749999999999996</v>
      </c>
    </row>
    <row r="1107" spans="2:6">
      <c r="B1107" s="219" t="str">
        <f>'4R'!BF35</f>
        <v>B0402RPAMR_MM</v>
      </c>
      <c r="C1107" s="219" t="s">
        <v>3099</v>
      </c>
      <c r="E1107" s="249" t="s">
        <v>634</v>
      </c>
      <c r="F1107" s="255">
        <f>IF(ISBLANK('4R'!M35),"##BLANK",'4R'!M35)</f>
        <v>4.2000000000000003E-2</v>
      </c>
    </row>
    <row r="1108" spans="2:6">
      <c r="B1108" s="219" t="str">
        <f>'4R'!BG35</f>
        <v>B0402RPAMR_MC</v>
      </c>
      <c r="C1108" s="219" t="s">
        <v>3100</v>
      </c>
      <c r="E1108" s="249" t="s">
        <v>634</v>
      </c>
      <c r="F1108" s="255">
        <f>IF(ISBLANK('4R'!N35),"##BLANK",'4R'!N35)</f>
        <v>1.905</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7.9219999999999997</v>
      </c>
    </row>
    <row r="1111" spans="2:6">
      <c r="B1111" s="219" t="str">
        <f>'4R'!BM35</f>
        <v>B0402RPC__TOT</v>
      </c>
      <c r="C1111" s="219" t="s">
        <v>3103</v>
      </c>
      <c r="E1111" s="249" t="s">
        <v>634</v>
      </c>
      <c r="F1111" s="255">
        <f>IF(ISBLANK('4R'!T35),"##BLANK",'4R'!T35)</f>
        <v>7.9219999999999997</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0.57499999999999996</v>
      </c>
    </row>
    <row r="1120" spans="2:6">
      <c r="B1120" s="219" t="str">
        <f>'4R'!BF36</f>
        <v>B0402BPAMR_MM</v>
      </c>
      <c r="C1120" s="219" t="s">
        <v>3112</v>
      </c>
      <c r="E1120" s="249" t="s">
        <v>634</v>
      </c>
      <c r="F1120" s="255">
        <f>IF(ISBLANK('4R'!M36),"##BLANK",'4R'!M36)</f>
        <v>1E-3</v>
      </c>
    </row>
    <row r="1121" spans="2:6">
      <c r="B1121" s="219" t="str">
        <f>'4R'!BG36</f>
        <v>B0402BPAMR_MC</v>
      </c>
      <c r="C1121" s="219" t="s">
        <v>3113</v>
      </c>
      <c r="E1121" s="249" t="s">
        <v>634</v>
      </c>
      <c r="F1121" s="255">
        <f>IF(ISBLANK('4R'!N36),"##BLANK",'4R'!N36)</f>
        <v>2.5000000000000001E-2</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0.60099999999999998</v>
      </c>
    </row>
    <row r="1124" spans="2:6">
      <c r="B1124" s="219" t="str">
        <f>'4R'!BM36</f>
        <v>B0402BPC__TOT</v>
      </c>
      <c r="C1124" s="219" t="s">
        <v>3116</v>
      </c>
      <c r="E1124" s="249" t="s">
        <v>634</v>
      </c>
      <c r="F1124" s="255">
        <f>IF(ISBLANK('4R'!T36),"##BLANK",'4R'!T36)</f>
        <v>0.60099999999999998</v>
      </c>
    </row>
    <row r="1125" spans="2:6">
      <c r="B1125" s="219" t="str">
        <f>'4R'!AX37</f>
        <v>B0204UNO</v>
      </c>
      <c r="C1125" s="219" t="s">
        <v>3117</v>
      </c>
      <c r="E1125" s="249" t="s">
        <v>634</v>
      </c>
      <c r="F1125" s="255">
        <f>IF(ISBLANK('4R'!E37),"##BLANK",'4R'!E37)</f>
        <v>677.98699999999997</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677.98699999999997</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623.69100000000003</v>
      </c>
    </row>
    <row r="1133" spans="2:6">
      <c r="B1133" s="219" t="str">
        <f>'4R'!BF37</f>
        <v>B0402RPBAMR_MM</v>
      </c>
      <c r="C1133" s="219" t="s">
        <v>3125</v>
      </c>
      <c r="E1133" s="249" t="s">
        <v>634</v>
      </c>
      <c r="F1133" s="255">
        <f>IF(ISBLANK('4R'!M37),"##BLANK",'4R'!M37)</f>
        <v>2.456</v>
      </c>
    </row>
    <row r="1134" spans="2:6">
      <c r="B1134" s="219" t="str">
        <f>'4R'!BG37</f>
        <v>B0402RPBAMR_MC</v>
      </c>
      <c r="C1134" s="219" t="s">
        <v>3126</v>
      </c>
      <c r="E1134" s="249" t="s">
        <v>634</v>
      </c>
      <c r="F1134" s="255">
        <f>IF(ISBLANK('4R'!N37),"##BLANK",'4R'!N37)</f>
        <v>10.709000000000001</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636.85599999999999</v>
      </c>
    </row>
    <row r="1137" spans="2:6">
      <c r="B1137" s="219" t="str">
        <f>'4R'!BM37</f>
        <v>B0402RPB__TOT</v>
      </c>
      <c r="C1137" s="219" t="s">
        <v>3129</v>
      </c>
      <c r="E1137" s="249" t="s">
        <v>634</v>
      </c>
      <c r="F1137" s="255">
        <f>IF(ISBLANK('4R'!T37),"##BLANK",'4R'!T37)</f>
        <v>1314.8429999999998</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25.312999999999999</v>
      </c>
    </row>
    <row r="1142" spans="2:6">
      <c r="B1142" s="219" t="str">
        <f>'4R'!BI39</f>
        <v>B0402RVP__MT</v>
      </c>
      <c r="C1142" s="219" t="s">
        <v>3134</v>
      </c>
      <c r="E1142" s="249" t="s">
        <v>634</v>
      </c>
      <c r="F1142" s="255">
        <f>IF(ISBLANK('4R'!P39),"##BLANK",'4R'!P39)</f>
        <v>17.975000000000001</v>
      </c>
    </row>
    <row r="1143" spans="2:6">
      <c r="B1143" s="219" t="str">
        <f>'4R'!BM39</f>
        <v>B0402RPBC__TOT</v>
      </c>
      <c r="C1143" s="219" t="s">
        <v>3135</v>
      </c>
      <c r="E1143" s="249" t="s">
        <v>634</v>
      </c>
      <c r="F1143" s="255">
        <f>IF(ISBLANK('4R'!T39),"##BLANK",'4R'!T39)</f>
        <v>43.287999999999997</v>
      </c>
    </row>
    <row r="1144" spans="2:6">
      <c r="B1144" s="219" t="str">
        <f>'4R'!BC40</f>
        <v>BN2161UTO</v>
      </c>
      <c r="C1144" s="219" t="s">
        <v>3136</v>
      </c>
      <c r="E1144" s="249" t="s">
        <v>634</v>
      </c>
      <c r="F1144" s="255">
        <f>IF(ISBLANK('4R'!J40),"##BLANK",'4R'!J40)</f>
        <v>703.3</v>
      </c>
    </row>
    <row r="1145" spans="2:6">
      <c r="B1145" s="219" t="str">
        <f>'4R'!BI40</f>
        <v>B0402CRP__MT</v>
      </c>
      <c r="C1145" s="219" t="s">
        <v>3137</v>
      </c>
      <c r="E1145" s="249" t="s">
        <v>634</v>
      </c>
      <c r="F1145" s="255">
        <f>IF(ISBLANK('4R'!P40),"##BLANK",'4R'!P40)</f>
        <v>654.83100000000002</v>
      </c>
    </row>
    <row r="1146" spans="2:6">
      <c r="B1146" s="219" t="str">
        <f>'4R'!BM40</f>
        <v>B0402CRP__TOT</v>
      </c>
      <c r="C1146" s="219" t="s">
        <v>3138</v>
      </c>
      <c r="E1146" s="249" t="s">
        <v>634</v>
      </c>
      <c r="F1146" s="255">
        <f>IF(ISBLANK('4R'!T40),"##BLANK",'4R'!T40)</f>
        <v>1358.1309999999999</v>
      </c>
    </row>
    <row r="1147" spans="2:6">
      <c r="B1147" s="219" t="str">
        <f>'4R'!AX41</f>
        <v>B0207UNO</v>
      </c>
      <c r="C1147" s="219" t="s">
        <v>3139</v>
      </c>
      <c r="E1147" s="249" t="s">
        <v>634</v>
      </c>
      <c r="F1147" s="255">
        <f>IF(ISBLANK('4R'!E41),"##BLANK",'4R'!E41)</f>
        <v>7.3529999999999998</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7.3529999999999998</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90.638000000000005</v>
      </c>
    </row>
    <row r="1155" spans="2:6">
      <c r="B1155" s="219" t="str">
        <f>'4R'!BF41</f>
        <v>B0403BPB_AM</v>
      </c>
      <c r="C1155" s="219" t="s">
        <v>3147</v>
      </c>
      <c r="E1155" s="249" t="s">
        <v>634</v>
      </c>
      <c r="F1155" s="255">
        <f>IF(ISBLANK('4R'!M41),"##BLANK",'4R'!M41)</f>
        <v>0.52099999999999991</v>
      </c>
    </row>
    <row r="1156" spans="2:6">
      <c r="B1156" s="219" t="str">
        <f>'4R'!BG41</f>
        <v>B0403BPB_CM</v>
      </c>
      <c r="C1156" s="219" t="s">
        <v>3148</v>
      </c>
      <c r="E1156" s="249" t="s">
        <v>634</v>
      </c>
      <c r="F1156" s="255">
        <f>IF(ISBLANK('4R'!N41),"##BLANK",'4R'!N41)</f>
        <v>0.11600000000000001</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91.275000000000006</v>
      </c>
    </row>
    <row r="1159" spans="2:6">
      <c r="B1159" s="219" t="str">
        <f>'4R'!BM41</f>
        <v>B0403BPB_TOT</v>
      </c>
      <c r="C1159" s="219" t="s">
        <v>3151</v>
      </c>
      <c r="E1159" s="249" t="s">
        <v>634</v>
      </c>
      <c r="F1159" s="255">
        <f>IF(ISBLANK('4R'!T41),"##BLANK",'4R'!T41)</f>
        <v>98.628</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1.94</v>
      </c>
    </row>
    <row r="1164" spans="2:6">
      <c r="B1164" s="219" t="str">
        <f>'4R'!BI43</f>
        <v>B0404BVP__MT</v>
      </c>
      <c r="C1164" s="219" t="s">
        <v>3155</v>
      </c>
      <c r="E1164" s="249" t="s">
        <v>634</v>
      </c>
      <c r="F1164" s="255">
        <f>IF(ISBLANK('4R'!P43),"##BLANK",'4R'!P43)</f>
        <v>10.031000000000001</v>
      </c>
    </row>
    <row r="1165" spans="2:6">
      <c r="B1165" s="219" t="str">
        <f>'4R'!BM43</f>
        <v>B0404BVP_TOT</v>
      </c>
      <c r="C1165" s="219" t="s">
        <v>3156</v>
      </c>
      <c r="E1165" s="249" t="s">
        <v>634</v>
      </c>
      <c r="F1165" s="255">
        <f>IF(ISBLANK('4R'!T43),"##BLANK",'4R'!T43)</f>
        <v>11.971</v>
      </c>
    </row>
    <row r="1166" spans="2:6">
      <c r="B1166" s="219" t="str">
        <f>'4R'!BC44</f>
        <v>BN2221UTO</v>
      </c>
      <c r="C1166" s="219" t="s">
        <v>3157</v>
      </c>
      <c r="E1166" s="249" t="s">
        <v>634</v>
      </c>
      <c r="F1166" s="255">
        <f>IF(ISBLANK('4R'!J44),"##BLANK",'4R'!J44)</f>
        <v>9.2929999999999993</v>
      </c>
    </row>
    <row r="1167" spans="2:6">
      <c r="B1167" s="219" t="str">
        <f>'4R'!BI44</f>
        <v>B0405CBP__MT</v>
      </c>
      <c r="C1167" s="219" t="s">
        <v>3158</v>
      </c>
      <c r="E1167" s="249" t="s">
        <v>634</v>
      </c>
      <c r="F1167" s="255">
        <f>IF(ISBLANK('4R'!P44),"##BLANK",'4R'!P44)</f>
        <v>101.30600000000001</v>
      </c>
    </row>
    <row r="1168" spans="2:6">
      <c r="B1168" s="219" t="str">
        <f>'4R'!BM44</f>
        <v>B0405CBP__TOT</v>
      </c>
      <c r="C1168" s="219" t="s">
        <v>3159</v>
      </c>
      <c r="E1168" s="249" t="s">
        <v>634</v>
      </c>
      <c r="F1168" s="255">
        <f>IF(ISBLANK('4R'!T44),"##BLANK",'4R'!T44)</f>
        <v>110.599</v>
      </c>
    </row>
    <row r="1169" spans="2:6">
      <c r="B1169" s="219" t="str">
        <f>'4R'!BC45</f>
        <v>BN1001UTO</v>
      </c>
      <c r="C1169" s="219" t="s">
        <v>3160</v>
      </c>
      <c r="E1169" s="249" t="s">
        <v>634</v>
      </c>
      <c r="F1169" s="255">
        <f>IF(ISBLANK('4R'!J45),"##BLANK",'4R'!J45)</f>
        <v>712.59299999999996</v>
      </c>
    </row>
    <row r="1170" spans="2:6">
      <c r="B1170" s="219" t="str">
        <f>'4R'!BI45</f>
        <v>B0406CP__MT</v>
      </c>
      <c r="C1170" s="219" t="s">
        <v>3161</v>
      </c>
      <c r="E1170" s="249" t="s">
        <v>634</v>
      </c>
      <c r="F1170" s="255">
        <f>IF(ISBLANK('4R'!P45),"##BLANK",'4R'!P45)</f>
        <v>756.13700000000006</v>
      </c>
    </row>
    <row r="1171" spans="2:6">
      <c r="B1171" s="219" t="str">
        <f>'4R'!BM45</f>
        <v>BN1001</v>
      </c>
      <c r="C1171" s="219" t="s">
        <v>3162</v>
      </c>
      <c r="E1171" s="249" t="s">
        <v>634</v>
      </c>
      <c r="F1171" s="255">
        <f>IF(ISBLANK('4R'!T45),"##BLANK",'4R'!T45)</f>
        <v>1468.7299999999998</v>
      </c>
    </row>
    <row r="1172" spans="2:6">
      <c r="B1172" s="219" t="str">
        <f>'4R'!AX50</f>
        <v>BN2590</v>
      </c>
      <c r="C1172" s="219" t="s">
        <v>3163</v>
      </c>
      <c r="E1172" s="249" t="s">
        <v>634</v>
      </c>
      <c r="F1172" s="255">
        <f>IF(ISBLANK('4R'!E50),"##BLANK",'4R'!E50)</f>
        <v>3027.848</v>
      </c>
    </row>
    <row r="1173" spans="2:6">
      <c r="B1173" s="219" t="str">
        <f>'4R'!AY50</f>
        <v>BN2630</v>
      </c>
      <c r="C1173" s="219" t="s">
        <v>3164</v>
      </c>
      <c r="E1173" s="249" t="s">
        <v>634</v>
      </c>
      <c r="F1173" s="255">
        <f>IF(ISBLANK('4R'!F50),"##BLANK",'4R'!F50)</f>
        <v>3056.7660000000001</v>
      </c>
    </row>
    <row r="1174" spans="2:6">
      <c r="B1174" s="219" t="str">
        <f>'4R'!AY51</f>
        <v>BN2620</v>
      </c>
      <c r="C1174" s="219" t="s">
        <v>3165</v>
      </c>
      <c r="E1174" s="249" t="s">
        <v>634</v>
      </c>
      <c r="F1174" s="255">
        <f>IF(ISBLANK('4R'!F51),"##BLANK",'4R'!F51)</f>
        <v>169.053</v>
      </c>
    </row>
    <row r="1175" spans="2:6">
      <c r="B1175" s="219" t="str">
        <f>'4R'!AX55</f>
        <v>B0407HP_RP</v>
      </c>
      <c r="C1175" s="219" t="s">
        <v>3166</v>
      </c>
      <c r="E1175" s="249" t="s">
        <v>634</v>
      </c>
      <c r="F1175" s="255">
        <f>IF(ISBLANK('4R'!E55),"##BLANK",'4R'!E55)</f>
        <v>2918.2739999999999</v>
      </c>
    </row>
    <row r="1176" spans="2:6">
      <c r="B1176" s="219" t="str">
        <f>'4R'!AY55</f>
        <v>B0407HP_NRP</v>
      </c>
      <c r="C1176" s="219" t="s">
        <v>3167</v>
      </c>
      <c r="E1176" s="249" t="s">
        <v>634</v>
      </c>
      <c r="F1176" s="255">
        <f>IF(ISBLANK('4R'!F55),"##BLANK",'4R'!F55)</f>
        <v>75.146000000000001</v>
      </c>
    </row>
    <row r="1177" spans="2:6">
      <c r="B1177" s="219" t="str">
        <f>'4R'!AZ55</f>
        <v>B0407HP_TOT</v>
      </c>
      <c r="C1177" s="219" t="s">
        <v>3168</v>
      </c>
      <c r="E1177" s="249" t="s">
        <v>634</v>
      </c>
      <c r="F1177" s="255">
        <f>IF(ISBLANK('4R'!G55),"##BLANK",'4R'!G55)</f>
        <v>2993.42</v>
      </c>
    </row>
    <row r="1178" spans="2:6">
      <c r="B1178" s="219" t="str">
        <f>'4R'!AX56</f>
        <v>B0408MHP_RP</v>
      </c>
      <c r="C1178" s="219" t="s">
        <v>3169</v>
      </c>
      <c r="E1178" s="249" t="s">
        <v>634</v>
      </c>
      <c r="F1178" s="255">
        <f>IF(ISBLANK('4R'!E56),"##BLANK",'4R'!E56)</f>
        <v>1337.6428530000001</v>
      </c>
    </row>
    <row r="1179" spans="2:6">
      <c r="B1179" s="219" t="str">
        <f>'4R'!AY56</f>
        <v>B0408MHP_NRP</v>
      </c>
      <c r="C1179" s="219" t="s">
        <v>3170</v>
      </c>
      <c r="E1179" s="249" t="s">
        <v>634</v>
      </c>
      <c r="F1179" s="255">
        <f>IF(ISBLANK('4R'!F56),"##BLANK",'4R'!F56)</f>
        <v>39.116999999999997</v>
      </c>
    </row>
    <row r="1180" spans="2:6">
      <c r="B1180" s="219" t="str">
        <f>'4R'!AZ56</f>
        <v>B0408MHP_TOT</v>
      </c>
      <c r="C1180" s="219" t="s">
        <v>3171</v>
      </c>
      <c r="E1180" s="249" t="s">
        <v>634</v>
      </c>
      <c r="F1180" s="255">
        <f>IF(ISBLANK('4R'!G56),"##BLANK",'4R'!G56)</f>
        <v>1376.759853</v>
      </c>
    </row>
    <row r="1181" spans="2:6">
      <c r="B1181" s="219" t="str">
        <f>'4R'!AX57</f>
        <v>B0409UHP_RP</v>
      </c>
      <c r="C1181" s="219" t="s">
        <v>3172</v>
      </c>
      <c r="E1181" s="249" t="s">
        <v>634</v>
      </c>
      <c r="F1181" s="255">
        <f>IF(ISBLANK('4R'!E57),"##BLANK",'4R'!E57)</f>
        <v>1580.6313103699999</v>
      </c>
    </row>
    <row r="1182" spans="2:6">
      <c r="B1182" s="219" t="str">
        <f>'4R'!AY57</f>
        <v>B0409UHP_NRP</v>
      </c>
      <c r="C1182" s="219" t="s">
        <v>3173</v>
      </c>
      <c r="E1182" s="249" t="s">
        <v>634</v>
      </c>
      <c r="F1182" s="255">
        <f>IF(ISBLANK('4R'!F57),"##BLANK",'4R'!F57)</f>
        <v>36.029000000000003</v>
      </c>
    </row>
    <row r="1183" spans="2:6">
      <c r="B1183" s="219" t="str">
        <f>'4R'!AZ57</f>
        <v>B0409UHP_TOT</v>
      </c>
      <c r="C1183" s="219" t="s">
        <v>3174</v>
      </c>
      <c r="E1183" s="249" t="s">
        <v>634</v>
      </c>
      <c r="F1183" s="255">
        <f>IF(ISBLANK('4R'!G57),"##BLANK",'4R'!G57)</f>
        <v>1616.6603103699999</v>
      </c>
    </row>
    <row r="1184" spans="2:6">
      <c r="B1184" s="2588" t="str">
        <f>'4S'!AO10</f>
        <v>B0757GRCE_WR</v>
      </c>
      <c r="C1184" s="219" t="s">
        <v>3175</v>
      </c>
      <c r="E1184" s="249" t="s">
        <v>634</v>
      </c>
      <c r="F1184" s="255">
        <f>IF(ISBLANK('4S'!F10),"##BLANK",'4S'!F10)</f>
        <v>0</v>
      </c>
    </row>
    <row r="1185" spans="2:6">
      <c r="B1185" s="219" t="str">
        <f>'4S'!AP10</f>
        <v>B0768GRCE_RW</v>
      </c>
      <c r="C1185" s="219" t="s">
        <v>3176</v>
      </c>
      <c r="E1185" s="249" t="s">
        <v>634</v>
      </c>
      <c r="F1185" s="255">
        <f>IF(ISBLANK('4S'!G10),"##BLANK",'4S'!G10)</f>
        <v>0</v>
      </c>
    </row>
    <row r="1186" spans="2:6">
      <c r="B1186" s="219" t="str">
        <f>'4S'!AQ10</f>
        <v>B0779GRCE_SW</v>
      </c>
      <c r="C1186" s="219" t="s">
        <v>3177</v>
      </c>
      <c r="E1186" s="249" t="s">
        <v>634</v>
      </c>
      <c r="F1186" s="255">
        <f>IF(ISBLANK('4S'!H10),"##BLANK",'4S'!H10)</f>
        <v>0</v>
      </c>
    </row>
    <row r="1187" spans="2:6">
      <c r="B1187" s="219" t="str">
        <f>'4S'!AR10</f>
        <v>B0790GRCE_TW</v>
      </c>
      <c r="C1187" s="219" t="s">
        <v>3178</v>
      </c>
      <c r="E1187" s="249" t="s">
        <v>634</v>
      </c>
      <c r="F1187" s="255">
        <f>IF(ISBLANK('4S'!I10),"##BLANK",'4S'!I10)</f>
        <v>0</v>
      </c>
    </row>
    <row r="1188" spans="2:6">
      <c r="B1188" s="219" t="str">
        <f>'4S'!AS10</f>
        <v>B0801GRCE_DW</v>
      </c>
      <c r="C1188" s="219" t="s">
        <v>3179</v>
      </c>
      <c r="E1188" s="249" t="s">
        <v>634</v>
      </c>
      <c r="F1188" s="255">
        <f>IF(ISBLANK('4S'!J10),"##BLANK",'4S'!J10)</f>
        <v>0</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f>IF(ISBLANK('4S'!L10),"##BLANK",'4S'!L10)</f>
        <v>0</v>
      </c>
    </row>
    <row r="1191" spans="2:6">
      <c r="B1191" s="219" t="str">
        <f>'4S'!AV10</f>
        <v>B0823GRCC_RW</v>
      </c>
      <c r="C1191" s="219" t="s">
        <v>3182</v>
      </c>
      <c r="E1191" s="249" t="s">
        <v>634</v>
      </c>
      <c r="F1191" s="255">
        <f>IF(ISBLANK('4S'!M10),"##BLANK",'4S'!M10)</f>
        <v>0</v>
      </c>
    </row>
    <row r="1192" spans="2:6">
      <c r="B1192" s="219" t="str">
        <f>'4S'!AW10</f>
        <v>B0834GRCC_SW</v>
      </c>
      <c r="C1192" s="219" t="s">
        <v>3183</v>
      </c>
      <c r="E1192" s="249" t="s">
        <v>634</v>
      </c>
      <c r="F1192" s="255">
        <f>IF(ISBLANK('4S'!N10),"##BLANK",'4S'!N10)</f>
        <v>0</v>
      </c>
    </row>
    <row r="1193" spans="2:6">
      <c r="B1193" s="219" t="str">
        <f>'4S'!AX10</f>
        <v>B0845GRCC_TW</v>
      </c>
      <c r="C1193" s="219" t="s">
        <v>3184</v>
      </c>
      <c r="E1193" s="249" t="s">
        <v>634</v>
      </c>
      <c r="F1193" s="255">
        <f>IF(ISBLANK('4S'!O10),"##BLANK",'4S'!O10)</f>
        <v>0</v>
      </c>
    </row>
    <row r="1194" spans="2:6">
      <c r="B1194" s="219" t="str">
        <f>'4S'!AY10</f>
        <v>B0856GRCC_DW</v>
      </c>
      <c r="C1194" s="219" t="s">
        <v>3185</v>
      </c>
      <c r="E1194" s="249" t="s">
        <v>634</v>
      </c>
      <c r="F1194" s="255">
        <f>IF(ISBLANK('4S'!P10),"##BLANK",'4S'!P10)</f>
        <v>0</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f>IF(ISBLANK('4S'!F11),"##BLANK",'4S'!F11)</f>
        <v>0</v>
      </c>
    </row>
    <row r="1197" spans="2:6">
      <c r="B1197" s="219" t="str">
        <f>'4S'!AP11</f>
        <v>B0769GROE_RW</v>
      </c>
      <c r="C1197" s="219" t="s">
        <v>3188</v>
      </c>
      <c r="E1197" s="249" t="s">
        <v>634</v>
      </c>
      <c r="F1197" s="255">
        <f>IF(ISBLANK('4S'!G11),"##BLANK",'4S'!G11)</f>
        <v>0</v>
      </c>
    </row>
    <row r="1198" spans="2:6">
      <c r="B1198" s="219" t="str">
        <f>'4S'!AQ11</f>
        <v>B0780GROE_SW</v>
      </c>
      <c r="C1198" s="219" t="s">
        <v>3189</v>
      </c>
      <c r="E1198" s="249" t="s">
        <v>634</v>
      </c>
      <c r="F1198" s="255">
        <f>IF(ISBLANK('4S'!H11),"##BLANK",'4S'!H11)</f>
        <v>0</v>
      </c>
    </row>
    <row r="1199" spans="2:6">
      <c r="B1199" s="219" t="str">
        <f>'4S'!AR11</f>
        <v>B0791GROE_TW</v>
      </c>
      <c r="C1199" s="219" t="s">
        <v>3190</v>
      </c>
      <c r="E1199" s="249" t="s">
        <v>634</v>
      </c>
      <c r="F1199" s="255">
        <f>IF(ISBLANK('4S'!I11),"##BLANK",'4S'!I11)</f>
        <v>0</v>
      </c>
    </row>
    <row r="1200" spans="2:6">
      <c r="B1200" s="219" t="str">
        <f>'4S'!AS11</f>
        <v>B0802GROE_DW</v>
      </c>
      <c r="C1200" s="219" t="s">
        <v>3191</v>
      </c>
      <c r="E1200" s="249" t="s">
        <v>634</v>
      </c>
      <c r="F1200" s="255">
        <f>IF(ISBLANK('4S'!J11),"##BLANK",'4S'!J11)</f>
        <v>0</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f>IF(ISBLANK('4S'!L11),"##BLANK",'4S'!L11)</f>
        <v>0</v>
      </c>
    </row>
    <row r="1203" spans="2:6">
      <c r="B1203" s="219" t="str">
        <f>'4S'!AV11</f>
        <v>B0824GROC_RW</v>
      </c>
      <c r="C1203" s="219" t="s">
        <v>3194</v>
      </c>
      <c r="E1203" s="249" t="s">
        <v>634</v>
      </c>
      <c r="F1203" s="255">
        <f>IF(ISBLANK('4S'!M11),"##BLANK",'4S'!M11)</f>
        <v>0</v>
      </c>
    </row>
    <row r="1204" spans="2:6">
      <c r="B1204" s="219" t="str">
        <f>'4S'!AW11</f>
        <v>B0835GROC_SW</v>
      </c>
      <c r="C1204" s="219" t="s">
        <v>3195</v>
      </c>
      <c r="E1204" s="249" t="s">
        <v>634</v>
      </c>
      <c r="F1204" s="255">
        <f>IF(ISBLANK('4S'!N11),"##BLANK",'4S'!N11)</f>
        <v>0</v>
      </c>
    </row>
    <row r="1205" spans="2:6">
      <c r="B1205" s="219" t="str">
        <f>'4S'!AX11</f>
        <v>B0846GROC_TW</v>
      </c>
      <c r="C1205" s="219" t="s">
        <v>3196</v>
      </c>
      <c r="E1205" s="249" t="s">
        <v>634</v>
      </c>
      <c r="F1205" s="255">
        <f>IF(ISBLANK('4S'!O11),"##BLANK",'4S'!O11)</f>
        <v>0</v>
      </c>
    </row>
    <row r="1206" spans="2:6">
      <c r="B1206" s="219" t="str">
        <f>'4S'!AY11</f>
        <v>B0857GROC_DW</v>
      </c>
      <c r="C1206" s="219" t="s">
        <v>3197</v>
      </c>
      <c r="E1206" s="249" t="s">
        <v>634</v>
      </c>
      <c r="F1206" s="255">
        <f>IF(ISBLANK('4S'!P11),"##BLANK",'4S'!P11)</f>
        <v>0</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f>IF(ISBLANK('4S'!F13),"##BLANK",'4S'!F13)</f>
        <v>0</v>
      </c>
    </row>
    <row r="1221" spans="2:6">
      <c r="B1221" s="219" t="str">
        <f>'4S'!AP13</f>
        <v>B0771GRCE_RW</v>
      </c>
      <c r="C1221" s="219" t="s">
        <v>3212</v>
      </c>
      <c r="E1221" s="249" t="s">
        <v>634</v>
      </c>
      <c r="F1221" s="255">
        <f>IF(ISBLANK('4S'!G13),"##BLANK",'4S'!G13)</f>
        <v>0</v>
      </c>
    </row>
    <row r="1222" spans="2:6">
      <c r="B1222" s="219" t="str">
        <f>'4S'!AQ13</f>
        <v>B0782GRCE_SW</v>
      </c>
      <c r="C1222" s="219" t="s">
        <v>3213</v>
      </c>
      <c r="E1222" s="249" t="s">
        <v>634</v>
      </c>
      <c r="F1222" s="255">
        <f>IF(ISBLANK('4S'!H13),"##BLANK",'4S'!H13)</f>
        <v>0</v>
      </c>
    </row>
    <row r="1223" spans="2:6">
      <c r="B1223" s="219" t="str">
        <f>'4S'!AR13</f>
        <v>B0793GRCE_TW</v>
      </c>
      <c r="C1223" s="219" t="s">
        <v>3214</v>
      </c>
      <c r="E1223" s="249" t="s">
        <v>634</v>
      </c>
      <c r="F1223" s="255">
        <f>IF(ISBLANK('4S'!I13),"##BLANK",'4S'!I13)</f>
        <v>0</v>
      </c>
    </row>
    <row r="1224" spans="2:6">
      <c r="B1224" s="219" t="str">
        <f>'4S'!AS13</f>
        <v>B0804GRCE_DW</v>
      </c>
      <c r="C1224" s="219" t="s">
        <v>3215</v>
      </c>
      <c r="E1224" s="249" t="s">
        <v>634</v>
      </c>
      <c r="F1224" s="255">
        <f>IF(ISBLANK('4S'!J13),"##BLANK",'4S'!J13)</f>
        <v>0</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f>IF(ISBLANK('4S'!L13),"##BLANK",'4S'!L13)</f>
        <v>0</v>
      </c>
    </row>
    <row r="1227" spans="2:6">
      <c r="B1227" s="219" t="str">
        <f>'4S'!AV13</f>
        <v>B0826GRCC_RW</v>
      </c>
      <c r="C1227" s="219" t="s">
        <v>3218</v>
      </c>
      <c r="E1227" s="249" t="s">
        <v>634</v>
      </c>
      <c r="F1227" s="255">
        <f>IF(ISBLANK('4S'!M13),"##BLANK",'4S'!M13)</f>
        <v>0</v>
      </c>
    </row>
    <row r="1228" spans="2:6">
      <c r="B1228" s="219" t="str">
        <f>'4S'!AW13</f>
        <v>B0837GRCC_SW</v>
      </c>
      <c r="C1228" s="219" t="s">
        <v>3219</v>
      </c>
      <c r="E1228" s="249" t="s">
        <v>634</v>
      </c>
      <c r="F1228" s="255">
        <f>IF(ISBLANK('4S'!N13),"##BLANK",'4S'!N13)</f>
        <v>0</v>
      </c>
    </row>
    <row r="1229" spans="2:6">
      <c r="B1229" s="219" t="str">
        <f>'4S'!AX13</f>
        <v>B0848GRCC_TW</v>
      </c>
      <c r="C1229" s="219" t="s">
        <v>3220</v>
      </c>
      <c r="E1229" s="249" t="s">
        <v>634</v>
      </c>
      <c r="F1229" s="255">
        <f>IF(ISBLANK('4S'!O13),"##BLANK",'4S'!O13)</f>
        <v>0</v>
      </c>
    </row>
    <row r="1230" spans="2:6">
      <c r="B1230" s="219" t="str">
        <f>'4S'!AY13</f>
        <v>B0859GRCC_DW</v>
      </c>
      <c r="C1230" s="219" t="s">
        <v>3221</v>
      </c>
      <c r="E1230" s="249" t="s">
        <v>634</v>
      </c>
      <c r="F1230" s="255">
        <f>IF(ISBLANK('4S'!P13),"##BLANK",'4S'!P13)</f>
        <v>0</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f>IF(ISBLANK('4S'!F14),"##BLANK",'4S'!F14)</f>
        <v>0</v>
      </c>
    </row>
    <row r="1233" spans="2:6">
      <c r="B1233" s="219" t="str">
        <f>'4S'!AP14</f>
        <v>B0772GROE_RW</v>
      </c>
      <c r="C1233" s="219" t="s">
        <v>3224</v>
      </c>
      <c r="E1233" s="249" t="s">
        <v>634</v>
      </c>
      <c r="F1233" s="255">
        <f>IF(ISBLANK('4S'!G14),"##BLANK",'4S'!G14)</f>
        <v>0</v>
      </c>
    </row>
    <row r="1234" spans="2:6">
      <c r="B1234" s="219" t="str">
        <f>'4S'!AQ14</f>
        <v>B0783GROE_SW</v>
      </c>
      <c r="C1234" s="219" t="s">
        <v>3225</v>
      </c>
      <c r="E1234" s="249" t="s">
        <v>634</v>
      </c>
      <c r="F1234" s="255">
        <f>IF(ISBLANK('4S'!H14),"##BLANK",'4S'!H14)</f>
        <v>0</v>
      </c>
    </row>
    <row r="1235" spans="2:6">
      <c r="B1235" s="219" t="str">
        <f>'4S'!AR14</f>
        <v>B0794GROE_TW</v>
      </c>
      <c r="C1235" s="219" t="s">
        <v>3226</v>
      </c>
      <c r="E1235" s="249" t="s">
        <v>634</v>
      </c>
      <c r="F1235" s="255">
        <f>IF(ISBLANK('4S'!I14),"##BLANK",'4S'!I14)</f>
        <v>0</v>
      </c>
    </row>
    <row r="1236" spans="2:6">
      <c r="B1236" s="219" t="str">
        <f>'4S'!AS14</f>
        <v>B0805GROE_DW</v>
      </c>
      <c r="C1236" s="219" t="s">
        <v>3227</v>
      </c>
      <c r="E1236" s="249" t="s">
        <v>634</v>
      </c>
      <c r="F1236" s="255">
        <f>IF(ISBLANK('4S'!J14),"##BLANK",'4S'!J14)</f>
        <v>0</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f>IF(ISBLANK('4S'!L14),"##BLANK",'4S'!L14)</f>
        <v>0</v>
      </c>
    </row>
    <row r="1239" spans="2:6">
      <c r="B1239" s="219" t="str">
        <f>'4S'!AV14</f>
        <v>B0827GROC_RW</v>
      </c>
      <c r="C1239" s="219" t="s">
        <v>3230</v>
      </c>
      <c r="E1239" s="249" t="s">
        <v>634</v>
      </c>
      <c r="F1239" s="255">
        <f>IF(ISBLANK('4S'!M14),"##BLANK",'4S'!M14)</f>
        <v>0</v>
      </c>
    </row>
    <row r="1240" spans="2:6">
      <c r="B1240" s="219" t="str">
        <f>'4S'!AW14</f>
        <v>B0838GROC_SW</v>
      </c>
      <c r="C1240" s="219" t="s">
        <v>3231</v>
      </c>
      <c r="E1240" s="249" t="s">
        <v>634</v>
      </c>
      <c r="F1240" s="255">
        <f>IF(ISBLANK('4S'!N14),"##BLANK",'4S'!N14)</f>
        <v>0</v>
      </c>
    </row>
    <row r="1241" spans="2:6">
      <c r="B1241" s="219" t="str">
        <f>'4S'!AX14</f>
        <v>B0849GROC_TW</v>
      </c>
      <c r="C1241" s="219" t="s">
        <v>3232</v>
      </c>
      <c r="E1241" s="249" t="s">
        <v>634</v>
      </c>
      <c r="F1241" s="255">
        <f>IF(ISBLANK('4S'!O14),"##BLANK",'4S'!O14)</f>
        <v>0</v>
      </c>
    </row>
    <row r="1242" spans="2:6">
      <c r="B1242" s="219" t="str">
        <f>'4S'!AY14</f>
        <v>B0860GROC_DW</v>
      </c>
      <c r="C1242" s="219" t="s">
        <v>3233</v>
      </c>
      <c r="E1242" s="249" t="s">
        <v>634</v>
      </c>
      <c r="F1242" s="255">
        <f>IF(ISBLANK('4S'!P14),"##BLANK",'4S'!P14)</f>
        <v>0</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f>IF(ISBLANK('4S'!F16),"##BLANK",'4S'!F16)</f>
        <v>0</v>
      </c>
    </row>
    <row r="1257" spans="2:6">
      <c r="B1257" s="219" t="str">
        <f>'4S'!AP16</f>
        <v>B0774GRCE_RW</v>
      </c>
      <c r="C1257" s="219" t="s">
        <v>3248</v>
      </c>
      <c r="E1257" s="249" t="s">
        <v>634</v>
      </c>
      <c r="F1257" s="255">
        <f>IF(ISBLANK('4S'!G16),"##BLANK",'4S'!G16)</f>
        <v>0</v>
      </c>
    </row>
    <row r="1258" spans="2:6">
      <c r="B1258" s="219" t="str">
        <f>'4S'!AQ16</f>
        <v>B0785GRCE_SW</v>
      </c>
      <c r="C1258" s="219" t="s">
        <v>3249</v>
      </c>
      <c r="E1258" s="249" t="s">
        <v>634</v>
      </c>
      <c r="F1258" s="255">
        <f>IF(ISBLANK('4S'!H16),"##BLANK",'4S'!H16)</f>
        <v>0</v>
      </c>
    </row>
    <row r="1259" spans="2:6">
      <c r="B1259" s="219" t="str">
        <f>'4S'!AR16</f>
        <v>B0796GRCE_TW</v>
      </c>
      <c r="C1259" s="219" t="s">
        <v>3250</v>
      </c>
      <c r="E1259" s="249" t="s">
        <v>634</v>
      </c>
      <c r="F1259" s="255">
        <f>IF(ISBLANK('4S'!I16),"##BLANK",'4S'!I16)</f>
        <v>0</v>
      </c>
    </row>
    <row r="1260" spans="2:6">
      <c r="B1260" s="219" t="str">
        <f>'4S'!AS16</f>
        <v>B0807GRCE_DW</v>
      </c>
      <c r="C1260" s="219" t="s">
        <v>3251</v>
      </c>
      <c r="E1260" s="249" t="s">
        <v>634</v>
      </c>
      <c r="F1260" s="255">
        <f>IF(ISBLANK('4S'!J16),"##BLANK",'4S'!J16)</f>
        <v>0</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f>IF(ISBLANK('4S'!L16),"##BLANK",'4S'!L16)</f>
        <v>0</v>
      </c>
    </row>
    <row r="1263" spans="2:6">
      <c r="B1263" s="219" t="str">
        <f>'4S'!AV16</f>
        <v>B0829GRCC_RW</v>
      </c>
      <c r="C1263" s="219" t="s">
        <v>3254</v>
      </c>
      <c r="E1263" s="249" t="s">
        <v>634</v>
      </c>
      <c r="F1263" s="255">
        <f>IF(ISBLANK('4S'!M16),"##BLANK",'4S'!M16)</f>
        <v>0</v>
      </c>
    </row>
    <row r="1264" spans="2:6">
      <c r="B1264" s="219" t="str">
        <f>'4S'!AW16</f>
        <v>B0840GRCC_SW</v>
      </c>
      <c r="C1264" s="219" t="s">
        <v>3255</v>
      </c>
      <c r="E1264" s="249" t="s">
        <v>634</v>
      </c>
      <c r="F1264" s="255">
        <f>IF(ISBLANK('4S'!N16),"##BLANK",'4S'!N16)</f>
        <v>0</v>
      </c>
    </row>
    <row r="1265" spans="2:6">
      <c r="B1265" s="219" t="str">
        <f>'4S'!AX16</f>
        <v>B0851GRCC_TW</v>
      </c>
      <c r="C1265" s="219" t="s">
        <v>3256</v>
      </c>
      <c r="E1265" s="249" t="s">
        <v>634</v>
      </c>
      <c r="F1265" s="255">
        <f>IF(ISBLANK('4S'!O16),"##BLANK",'4S'!O16)</f>
        <v>0</v>
      </c>
    </row>
    <row r="1266" spans="2:6">
      <c r="B1266" s="219" t="str">
        <f>'4S'!AY16</f>
        <v>B0862GRCC_DW</v>
      </c>
      <c r="C1266" s="219" t="s">
        <v>3257</v>
      </c>
      <c r="E1266" s="249" t="s">
        <v>634</v>
      </c>
      <c r="F1266" s="255">
        <f>IF(ISBLANK('4S'!P16),"##BLANK",'4S'!P16)</f>
        <v>0</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f>IF(ISBLANK('4S'!F17),"##BLANK",'4S'!F17)</f>
        <v>0</v>
      </c>
    </row>
    <row r="1269" spans="2:6">
      <c r="B1269" s="219" t="str">
        <f>'4S'!AP17</f>
        <v>B0775GROE_RW</v>
      </c>
      <c r="C1269" s="219" t="s">
        <v>3260</v>
      </c>
      <c r="E1269" s="249" t="s">
        <v>634</v>
      </c>
      <c r="F1269" s="255">
        <f>IF(ISBLANK('4S'!G17),"##BLANK",'4S'!G17)</f>
        <v>0</v>
      </c>
    </row>
    <row r="1270" spans="2:6">
      <c r="B1270" s="219" t="str">
        <f>'4S'!AQ17</f>
        <v>B0786GROE_SW</v>
      </c>
      <c r="C1270" s="219" t="s">
        <v>3261</v>
      </c>
      <c r="E1270" s="249" t="s">
        <v>634</v>
      </c>
      <c r="F1270" s="255">
        <f>IF(ISBLANK('4S'!H17),"##BLANK",'4S'!H17)</f>
        <v>0</v>
      </c>
    </row>
    <row r="1271" spans="2:6">
      <c r="B1271" s="219" t="str">
        <f>'4S'!AR17</f>
        <v>B0797GROE_TW</v>
      </c>
      <c r="C1271" s="219" t="s">
        <v>3262</v>
      </c>
      <c r="E1271" s="249" t="s">
        <v>634</v>
      </c>
      <c r="F1271" s="255">
        <f>IF(ISBLANK('4S'!I17),"##BLANK",'4S'!I17)</f>
        <v>0</v>
      </c>
    </row>
    <row r="1272" spans="2:6">
      <c r="B1272" s="219" t="str">
        <f>'4S'!AS17</f>
        <v>B0808GROE_DW</v>
      </c>
      <c r="C1272" s="219" t="s">
        <v>3263</v>
      </c>
      <c r="E1272" s="249" t="s">
        <v>634</v>
      </c>
      <c r="F1272" s="255">
        <f>IF(ISBLANK('4S'!J17),"##BLANK",'4S'!J17)</f>
        <v>0</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f>IF(ISBLANK('4S'!L17),"##BLANK",'4S'!L17)</f>
        <v>0</v>
      </c>
    </row>
    <row r="1275" spans="2:6">
      <c r="B1275" s="219" t="str">
        <f>'4S'!AV17</f>
        <v>B0830GROC_RW</v>
      </c>
      <c r="C1275" s="219" t="s">
        <v>3266</v>
      </c>
      <c r="E1275" s="249" t="s">
        <v>634</v>
      </c>
      <c r="F1275" s="255">
        <f>IF(ISBLANK('4S'!M17),"##BLANK",'4S'!M17)</f>
        <v>0</v>
      </c>
    </row>
    <row r="1276" spans="2:6">
      <c r="B1276" s="219" t="str">
        <f>'4S'!AW17</f>
        <v>B0841GROC_SW</v>
      </c>
      <c r="C1276" s="219" t="s">
        <v>3267</v>
      </c>
      <c r="E1276" s="249" t="s">
        <v>634</v>
      </c>
      <c r="F1276" s="255">
        <f>IF(ISBLANK('4S'!N17),"##BLANK",'4S'!N17)</f>
        <v>0</v>
      </c>
    </row>
    <row r="1277" spans="2:6">
      <c r="B1277" s="219" t="str">
        <f>'4S'!AX17</f>
        <v>B0852GROC_TW</v>
      </c>
      <c r="C1277" s="219" t="s">
        <v>3268</v>
      </c>
      <c r="E1277" s="249" t="s">
        <v>634</v>
      </c>
      <c r="F1277" s="255">
        <f>IF(ISBLANK('4S'!O17),"##BLANK",'4S'!O17)</f>
        <v>0</v>
      </c>
    </row>
    <row r="1278" spans="2:6">
      <c r="B1278" s="219" t="str">
        <f>'4S'!AY17</f>
        <v>B0863GROC_DW</v>
      </c>
      <c r="C1278" s="219" t="s">
        <v>3269</v>
      </c>
      <c r="E1278" s="249" t="s">
        <v>634</v>
      </c>
      <c r="F1278" s="255">
        <f>IF(ISBLANK('4S'!P17),"##BLANK",'4S'!P17)</f>
        <v>0</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f>IF(ISBLANK('4S'!F19),"##BLANK",'4S'!F19)</f>
        <v>0</v>
      </c>
    </row>
    <row r="1293" spans="2:6">
      <c r="B1293" s="219" t="str">
        <f>'4S'!AP19</f>
        <v>B0777GRCE_RW</v>
      </c>
      <c r="C1293" s="219" t="s">
        <v>3284</v>
      </c>
      <c r="E1293" s="249" t="s">
        <v>634</v>
      </c>
      <c r="F1293" s="255">
        <f>IF(ISBLANK('4S'!G19),"##BLANK",'4S'!G19)</f>
        <v>0</v>
      </c>
    </row>
    <row r="1294" spans="2:6">
      <c r="B1294" s="219" t="str">
        <f>'4S'!AQ19</f>
        <v>B0788GRCE_SW</v>
      </c>
      <c r="C1294" s="219" t="s">
        <v>3285</v>
      </c>
      <c r="E1294" s="249" t="s">
        <v>634</v>
      </c>
      <c r="F1294" s="255">
        <f>IF(ISBLANK('4S'!H19),"##BLANK",'4S'!H19)</f>
        <v>0</v>
      </c>
    </row>
    <row r="1295" spans="2:6">
      <c r="B1295" s="219" t="str">
        <f>'4S'!AR19</f>
        <v>B0799GRCE_TW</v>
      </c>
      <c r="C1295" s="219" t="s">
        <v>3286</v>
      </c>
      <c r="E1295" s="249" t="s">
        <v>634</v>
      </c>
      <c r="F1295" s="255">
        <f>IF(ISBLANK('4S'!I19),"##BLANK",'4S'!I19)</f>
        <v>0</v>
      </c>
    </row>
    <row r="1296" spans="2:6">
      <c r="B1296" s="219" t="str">
        <f>'4S'!AS19</f>
        <v>B0810GRCE_DW</v>
      </c>
      <c r="C1296" s="219" t="s">
        <v>3287</v>
      </c>
      <c r="E1296" s="249" t="s">
        <v>634</v>
      </c>
      <c r="F1296" s="255">
        <f>IF(ISBLANK('4S'!J19),"##BLANK",'4S'!J19)</f>
        <v>0</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f>IF(ISBLANK('4S'!L19),"##BLANK",'4S'!L19)</f>
        <v>0</v>
      </c>
    </row>
    <row r="1299" spans="2:6">
      <c r="B1299" s="219" t="str">
        <f>'4S'!AV19</f>
        <v>B0832GRCC_RW</v>
      </c>
      <c r="C1299" s="219" t="s">
        <v>3290</v>
      </c>
      <c r="E1299" s="249" t="s">
        <v>634</v>
      </c>
      <c r="F1299" s="255">
        <f>IF(ISBLANK('4S'!M19),"##BLANK",'4S'!M19)</f>
        <v>0</v>
      </c>
    </row>
    <row r="1300" spans="2:6">
      <c r="B1300" s="219" t="str">
        <f>'4S'!AW19</f>
        <v>B0843GRCC_SW</v>
      </c>
      <c r="C1300" s="219" t="s">
        <v>3291</v>
      </c>
      <c r="E1300" s="249" t="s">
        <v>634</v>
      </c>
      <c r="F1300" s="255">
        <f>IF(ISBLANK('4S'!N19),"##BLANK",'4S'!N19)</f>
        <v>0</v>
      </c>
    </row>
    <row r="1301" spans="2:6">
      <c r="B1301" s="219" t="str">
        <f>'4S'!AX19</f>
        <v>B0854GRCC_TW</v>
      </c>
      <c r="C1301" s="219" t="s">
        <v>3292</v>
      </c>
      <c r="E1301" s="249" t="s">
        <v>634</v>
      </c>
      <c r="F1301" s="255">
        <f>IF(ISBLANK('4S'!O19),"##BLANK",'4S'!O19)</f>
        <v>0</v>
      </c>
    </row>
    <row r="1302" spans="2:6">
      <c r="B1302" s="219" t="str">
        <f>'4S'!AY19</f>
        <v>B0865GRCC_DW</v>
      </c>
      <c r="C1302" s="219" t="s">
        <v>3293</v>
      </c>
      <c r="E1302" s="249" t="s">
        <v>634</v>
      </c>
      <c r="F1302" s="255">
        <f>IF(ISBLANK('4S'!P19),"##BLANK",'4S'!P19)</f>
        <v>0</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f>IF(ISBLANK('4S'!F20),"##BLANK",'4S'!F20)</f>
        <v>0</v>
      </c>
    </row>
    <row r="1305" spans="2:6">
      <c r="B1305" s="219" t="str">
        <f>'4S'!AP20</f>
        <v>B0778GROE_RW</v>
      </c>
      <c r="C1305" s="219" t="s">
        <v>3296</v>
      </c>
      <c r="E1305" s="249" t="s">
        <v>634</v>
      </c>
      <c r="F1305" s="255">
        <f>IF(ISBLANK('4S'!G20),"##BLANK",'4S'!G20)</f>
        <v>0</v>
      </c>
    </row>
    <row r="1306" spans="2:6">
      <c r="B1306" s="219" t="str">
        <f>'4S'!AQ20</f>
        <v>B0789GROE_SW</v>
      </c>
      <c r="C1306" s="219" t="s">
        <v>3297</v>
      </c>
      <c r="E1306" s="249" t="s">
        <v>634</v>
      </c>
      <c r="F1306" s="255">
        <f>IF(ISBLANK('4S'!H20),"##BLANK",'4S'!H20)</f>
        <v>0</v>
      </c>
    </row>
    <row r="1307" spans="2:6">
      <c r="B1307" s="219" t="str">
        <f>'4S'!AR20</f>
        <v>B0800GROE_TW</v>
      </c>
      <c r="C1307" s="219" t="s">
        <v>3298</v>
      </c>
      <c r="E1307" s="249" t="s">
        <v>634</v>
      </c>
      <c r="F1307" s="255">
        <f>IF(ISBLANK('4S'!I20),"##BLANK",'4S'!I20)</f>
        <v>0</v>
      </c>
    </row>
    <row r="1308" spans="2:6">
      <c r="B1308" s="219" t="str">
        <f>'4S'!AS20</f>
        <v>B0811GROE_DW</v>
      </c>
      <c r="C1308" s="219" t="s">
        <v>3299</v>
      </c>
      <c r="E1308" s="249" t="s">
        <v>634</v>
      </c>
      <c r="F1308" s="255">
        <f>IF(ISBLANK('4S'!J20),"##BLANK",'4S'!J20)</f>
        <v>0</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f>IF(ISBLANK('4S'!L20),"##BLANK",'4S'!L20)</f>
        <v>0</v>
      </c>
    </row>
    <row r="1311" spans="2:6">
      <c r="B1311" s="219" t="str">
        <f>'4S'!AV20</f>
        <v>B0833GROC_RW</v>
      </c>
      <c r="C1311" s="219" t="s">
        <v>3302</v>
      </c>
      <c r="E1311" s="249" t="s">
        <v>634</v>
      </c>
      <c r="F1311" s="255">
        <f>IF(ISBLANK('4S'!M20),"##BLANK",'4S'!M20)</f>
        <v>0</v>
      </c>
    </row>
    <row r="1312" spans="2:6">
      <c r="B1312" s="219" t="str">
        <f>'4S'!AW20</f>
        <v>B0844GROC_SW</v>
      </c>
      <c r="C1312" s="219" t="s">
        <v>3303</v>
      </c>
      <c r="E1312" s="249" t="s">
        <v>634</v>
      </c>
      <c r="F1312" s="255">
        <f>IF(ISBLANK('4S'!N20),"##BLANK",'4S'!N20)</f>
        <v>0</v>
      </c>
    </row>
    <row r="1313" spans="2:6">
      <c r="B1313" s="219" t="str">
        <f>'4S'!AX20</f>
        <v>B0855GROC_TW</v>
      </c>
      <c r="C1313" s="219" t="s">
        <v>3304</v>
      </c>
      <c r="E1313" s="249" t="s">
        <v>634</v>
      </c>
      <c r="F1313" s="255">
        <f>IF(ISBLANK('4S'!O20),"##BLANK",'4S'!O20)</f>
        <v>0</v>
      </c>
    </row>
    <row r="1314" spans="2:6">
      <c r="B1314" s="219" t="str">
        <f>'4S'!AY20</f>
        <v>B0866GROC_DW</v>
      </c>
      <c r="C1314" s="219" t="s">
        <v>3305</v>
      </c>
      <c r="E1314" s="249" t="s">
        <v>634</v>
      </c>
      <c r="F1314" s="255">
        <f>IF(ISBLANK('4S'!P20),"##BLANK",'4S'!P20)</f>
        <v>0</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f>IF(ISBLANK('4T'!F10),"##BLANK",'4T'!F10)</f>
        <v>0</v>
      </c>
    </row>
    <row r="1365" spans="2:6">
      <c r="B1365" s="219" t="str">
        <f>'4T'!BB10</f>
        <v>B0878GRCE_SUW</v>
      </c>
      <c r="C1365" s="219" t="s">
        <v>3356</v>
      </c>
      <c r="E1365" s="249" t="s">
        <v>634</v>
      </c>
      <c r="F1365" s="255">
        <f>IF(ISBLANK('4T'!G10),"##BLANK",'4T'!G10)</f>
        <v>0</v>
      </c>
    </row>
    <row r="1366" spans="2:6">
      <c r="B1366" s="219" t="str">
        <f>'4T'!BC10</f>
        <v>B0889GRCE_HDW</v>
      </c>
      <c r="C1366" s="219" t="s">
        <v>3357</v>
      </c>
      <c r="E1366" s="249" t="s">
        <v>634</v>
      </c>
      <c r="F1366" s="255">
        <f>IF(ISBLANK('4T'!H10),"##BLANK",'4T'!H10)</f>
        <v>0</v>
      </c>
    </row>
    <row r="1367" spans="2:6">
      <c r="B1367" s="219" t="str">
        <f>'4T'!BD10</f>
        <v>B0900GRCE_STW</v>
      </c>
      <c r="C1367" s="219" t="s">
        <v>3358</v>
      </c>
      <c r="E1367" s="249" t="s">
        <v>634</v>
      </c>
      <c r="F1367" s="255">
        <f>IF(ISBLANK('4T'!I10),"##BLANK",'4T'!I10)</f>
        <v>0</v>
      </c>
    </row>
    <row r="1368" spans="2:6">
      <c r="B1368" s="219" t="str">
        <f>'4T'!BE10</f>
        <v>B0911GRCE_SLW</v>
      </c>
      <c r="C1368" s="219" t="s">
        <v>3359</v>
      </c>
      <c r="E1368" s="249" t="s">
        <v>634</v>
      </c>
      <c r="F1368" s="255">
        <f>IF(ISBLANK('4T'!J10),"##BLANK",'4T'!J10)</f>
        <v>0</v>
      </c>
    </row>
    <row r="1369" spans="2:6">
      <c r="B1369" s="219" t="str">
        <f>'4T'!BF10</f>
        <v>B0922GRCE_SAB</v>
      </c>
      <c r="C1369" s="219" t="s">
        <v>3360</v>
      </c>
      <c r="E1369" s="249" t="s">
        <v>634</v>
      </c>
      <c r="F1369" s="255">
        <f>IF(ISBLANK('4T'!K10),"##BLANK",'4T'!K10)</f>
        <v>0</v>
      </c>
    </row>
    <row r="1370" spans="2:6">
      <c r="B1370" s="219" t="str">
        <f>'4T'!BG10</f>
        <v>B0933GRCE_SEB</v>
      </c>
      <c r="C1370" s="219" t="s">
        <v>3361</v>
      </c>
      <c r="E1370" s="249" t="s">
        <v>634</v>
      </c>
      <c r="F1370" s="255">
        <f>IF(ISBLANK('4T'!L10),"##BLANK",'4T'!L10)</f>
        <v>0</v>
      </c>
    </row>
    <row r="1371" spans="2:6">
      <c r="B1371" s="219" t="str">
        <f>'4T'!BH10</f>
        <v>B0944GRCE_SDB</v>
      </c>
      <c r="C1371" s="219" t="s">
        <v>3362</v>
      </c>
      <c r="E1371" s="249" t="s">
        <v>634</v>
      </c>
      <c r="F1371" s="255">
        <f>IF(ISBLANK('4T'!M10),"##BLANK",'4T'!M10)</f>
        <v>0</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f>IF(ISBLANK('4T'!O10),"##BLANK",'4T'!O10)</f>
        <v>0</v>
      </c>
    </row>
    <row r="1374" spans="2:6">
      <c r="B1374" s="219" t="str">
        <f>'4T'!BK10</f>
        <v>B0966GRCC_SUW</v>
      </c>
      <c r="C1374" s="219" t="s">
        <v>3364</v>
      </c>
      <c r="E1374" s="249" t="s">
        <v>634</v>
      </c>
      <c r="F1374" s="255">
        <f>IF(ISBLANK('4T'!P10),"##BLANK",'4T'!P10)</f>
        <v>0</v>
      </c>
    </row>
    <row r="1375" spans="2:6">
      <c r="B1375" s="219" t="str">
        <f>'4T'!BL10</f>
        <v>B0977GRCC_HDW</v>
      </c>
      <c r="C1375" s="219" t="s">
        <v>3365</v>
      </c>
      <c r="E1375" s="249" t="s">
        <v>634</v>
      </c>
      <c r="F1375" s="255">
        <f>IF(ISBLANK('4T'!Q10),"##BLANK",'4T'!Q10)</f>
        <v>0</v>
      </c>
    </row>
    <row r="1376" spans="2:6">
      <c r="B1376" s="219" t="str">
        <f>'4T'!BM10</f>
        <v>B0988GRCC_STW</v>
      </c>
      <c r="C1376" s="219" t="s">
        <v>3366</v>
      </c>
      <c r="E1376" s="249" t="s">
        <v>634</v>
      </c>
      <c r="F1376" s="255">
        <f>IF(ISBLANK('4T'!R10),"##BLANK",'4T'!R10)</f>
        <v>0</v>
      </c>
    </row>
    <row r="1377" spans="2:6">
      <c r="B1377" s="219" t="str">
        <f>'4T'!BN10</f>
        <v>B1000GRCC_SLW</v>
      </c>
      <c r="C1377" s="219" t="s">
        <v>3367</v>
      </c>
      <c r="E1377" s="249" t="s">
        <v>634</v>
      </c>
      <c r="F1377" s="255">
        <f>IF(ISBLANK('4T'!S10),"##BLANK",'4T'!S10)</f>
        <v>0</v>
      </c>
    </row>
    <row r="1378" spans="2:6">
      <c r="B1378" s="219" t="str">
        <f>'4T'!BO10</f>
        <v>B1011GRCC_SAB</v>
      </c>
      <c r="C1378" s="219" t="s">
        <v>3368</v>
      </c>
      <c r="E1378" s="249" t="s">
        <v>634</v>
      </c>
      <c r="F1378" s="255">
        <f>IF(ISBLANK('4T'!T10),"##BLANK",'4T'!T10)</f>
        <v>0</v>
      </c>
    </row>
    <row r="1379" spans="2:6">
      <c r="B1379" s="219" t="str">
        <f>'4T'!BP10</f>
        <v>B1022GRCC_SEB</v>
      </c>
      <c r="C1379" s="219" t="s">
        <v>3369</v>
      </c>
      <c r="E1379" s="249" t="s">
        <v>634</v>
      </c>
      <c r="F1379" s="255">
        <f>IF(ISBLANK('4T'!U10),"##BLANK",'4T'!U10)</f>
        <v>0</v>
      </c>
    </row>
    <row r="1380" spans="2:6">
      <c r="B1380" s="219" t="str">
        <f>'4T'!BQ10</f>
        <v>B1033GRCC_SDB</v>
      </c>
      <c r="C1380" s="219" t="s">
        <v>3370</v>
      </c>
      <c r="E1380" s="249" t="s">
        <v>634</v>
      </c>
      <c r="F1380" s="255">
        <f>IF(ISBLANK('4T'!V10),"##BLANK",'4T'!V10)</f>
        <v>0</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f>IF(ISBLANK('4T'!F11),"##BLANK",'4T'!F11)</f>
        <v>0</v>
      </c>
    </row>
    <row r="1383" spans="2:6">
      <c r="B1383" s="219" t="str">
        <f>'4T'!BB11</f>
        <v>B0879GROE_SUW</v>
      </c>
      <c r="C1383" s="219" t="s">
        <v>3372</v>
      </c>
      <c r="E1383" s="249" t="s">
        <v>634</v>
      </c>
      <c r="F1383" s="255">
        <f>IF(ISBLANK('4T'!G11),"##BLANK",'4T'!G11)</f>
        <v>0</v>
      </c>
    </row>
    <row r="1384" spans="2:6">
      <c r="B1384" s="219" t="str">
        <f>'4T'!BC11</f>
        <v>B0890GROE_HDW</v>
      </c>
      <c r="C1384" s="219" t="s">
        <v>3373</v>
      </c>
      <c r="E1384" s="249" t="s">
        <v>634</v>
      </c>
      <c r="F1384" s="255">
        <f>IF(ISBLANK('4T'!H11),"##BLANK",'4T'!H11)</f>
        <v>0</v>
      </c>
    </row>
    <row r="1385" spans="2:6">
      <c r="B1385" s="219" t="str">
        <f>'4T'!BD11</f>
        <v>B0901GROE_STW</v>
      </c>
      <c r="C1385" s="219" t="s">
        <v>3374</v>
      </c>
      <c r="E1385" s="249" t="s">
        <v>634</v>
      </c>
      <c r="F1385" s="255">
        <f>IF(ISBLANK('4T'!I11),"##BLANK",'4T'!I11)</f>
        <v>0</v>
      </c>
    </row>
    <row r="1386" spans="2:6">
      <c r="B1386" s="219" t="str">
        <f>'4T'!BE11</f>
        <v>B0912GROE_SLW</v>
      </c>
      <c r="C1386" s="219" t="s">
        <v>3375</v>
      </c>
      <c r="E1386" s="249" t="s">
        <v>634</v>
      </c>
      <c r="F1386" s="255">
        <f>IF(ISBLANK('4T'!J11),"##BLANK",'4T'!J11)</f>
        <v>0</v>
      </c>
    </row>
    <row r="1387" spans="2:6">
      <c r="B1387" s="219" t="str">
        <f>'4T'!BF11</f>
        <v>B0923GROE_SAB</v>
      </c>
      <c r="C1387" s="219" t="s">
        <v>3376</v>
      </c>
      <c r="E1387" s="249" t="s">
        <v>634</v>
      </c>
      <c r="F1387" s="255">
        <f>IF(ISBLANK('4T'!K11),"##BLANK",'4T'!K11)</f>
        <v>0</v>
      </c>
    </row>
    <row r="1388" spans="2:6">
      <c r="B1388" s="219" t="str">
        <f>'4T'!BG11</f>
        <v>B0934GROE_SEB</v>
      </c>
      <c r="C1388" s="219" t="s">
        <v>3377</v>
      </c>
      <c r="E1388" s="249" t="s">
        <v>634</v>
      </c>
      <c r="F1388" s="255">
        <f>IF(ISBLANK('4T'!L11),"##BLANK",'4T'!L11)</f>
        <v>0</v>
      </c>
    </row>
    <row r="1389" spans="2:6">
      <c r="B1389" s="219" t="str">
        <f>'4T'!BH11</f>
        <v>B0945GROE_SDB</v>
      </c>
      <c r="C1389" s="219" t="s">
        <v>3378</v>
      </c>
      <c r="E1389" s="249" t="s">
        <v>634</v>
      </c>
      <c r="F1389" s="255">
        <f>IF(ISBLANK('4T'!M11),"##BLANK",'4T'!M11)</f>
        <v>0</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f>IF(ISBLANK('4T'!O11),"##BLANK",'4T'!O11)</f>
        <v>0</v>
      </c>
    </row>
    <row r="1392" spans="2:6">
      <c r="B1392" s="219" t="str">
        <f>'4T'!BK11</f>
        <v>B0967GROC_SUW</v>
      </c>
      <c r="C1392" s="219" t="s">
        <v>3380</v>
      </c>
      <c r="E1392" s="249" t="s">
        <v>634</v>
      </c>
      <c r="F1392" s="255">
        <f>IF(ISBLANK('4T'!P11),"##BLANK",'4T'!P11)</f>
        <v>0</v>
      </c>
    </row>
    <row r="1393" spans="2:6">
      <c r="B1393" s="219" t="str">
        <f>'4T'!BL11</f>
        <v>B0978GROC_HDW</v>
      </c>
      <c r="C1393" s="219" t="s">
        <v>3381</v>
      </c>
      <c r="E1393" s="249" t="s">
        <v>634</v>
      </c>
      <c r="F1393" s="255">
        <f>IF(ISBLANK('4T'!Q11),"##BLANK",'4T'!Q11)</f>
        <v>0</v>
      </c>
    </row>
    <row r="1394" spans="2:6">
      <c r="B1394" s="219" t="str">
        <f>'4T'!BM11</f>
        <v>B0989GROC_STW</v>
      </c>
      <c r="C1394" s="219" t="s">
        <v>3382</v>
      </c>
      <c r="E1394" s="249" t="s">
        <v>634</v>
      </c>
      <c r="F1394" s="255">
        <f>IF(ISBLANK('4T'!R11),"##BLANK",'4T'!R11)</f>
        <v>0</v>
      </c>
    </row>
    <row r="1395" spans="2:6">
      <c r="B1395" s="219" t="str">
        <f>'4T'!BN11</f>
        <v>B1001GROC_SLW</v>
      </c>
      <c r="C1395" s="219" t="s">
        <v>3383</v>
      </c>
      <c r="E1395" s="249" t="s">
        <v>634</v>
      </c>
      <c r="F1395" s="255">
        <f>IF(ISBLANK('4T'!S11),"##BLANK",'4T'!S11)</f>
        <v>0</v>
      </c>
    </row>
    <row r="1396" spans="2:6">
      <c r="B1396" s="219" t="str">
        <f>'4T'!BO11</f>
        <v>B1012GROC_SAB</v>
      </c>
      <c r="C1396" s="219" t="s">
        <v>3384</v>
      </c>
      <c r="E1396" s="249" t="s">
        <v>634</v>
      </c>
      <c r="F1396" s="255">
        <f>IF(ISBLANK('4T'!T11),"##BLANK",'4T'!T11)</f>
        <v>0</v>
      </c>
    </row>
    <row r="1397" spans="2:6">
      <c r="B1397" s="219" t="str">
        <f>'4T'!BP11</f>
        <v>B1023GROC_SEB</v>
      </c>
      <c r="C1397" s="219" t="s">
        <v>3385</v>
      </c>
      <c r="E1397" s="249" t="s">
        <v>634</v>
      </c>
      <c r="F1397" s="255">
        <f>IF(ISBLANK('4T'!U11),"##BLANK",'4T'!U11)</f>
        <v>0</v>
      </c>
    </row>
    <row r="1398" spans="2:6">
      <c r="B1398" s="219" t="str">
        <f>'4T'!BQ11</f>
        <v>B1034GROC_SDB</v>
      </c>
      <c r="C1398" s="219" t="s">
        <v>3386</v>
      </c>
      <c r="E1398" s="249" t="s">
        <v>634</v>
      </c>
      <c r="F1398" s="255">
        <f>IF(ISBLANK('4T'!V11),"##BLANK",'4T'!V11)</f>
        <v>0</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f>IF(ISBLANK('4T'!F13),"##BLANK",'4T'!F13)</f>
        <v>0</v>
      </c>
    </row>
    <row r="1419" spans="2:6">
      <c r="B1419" s="219" t="str">
        <f>'4T'!BB13</f>
        <v>B0881GRCE_SUW</v>
      </c>
      <c r="C1419" s="219" t="s">
        <v>3404</v>
      </c>
      <c r="E1419" s="249" t="s">
        <v>634</v>
      </c>
      <c r="F1419" s="255">
        <f>IF(ISBLANK('4T'!G13),"##BLANK",'4T'!G13)</f>
        <v>0</v>
      </c>
    </row>
    <row r="1420" spans="2:6">
      <c r="B1420" s="219" t="str">
        <f>'4T'!BC13</f>
        <v>B0892GRCE_HDW</v>
      </c>
      <c r="C1420" s="219" t="s">
        <v>3405</v>
      </c>
      <c r="E1420" s="249" t="s">
        <v>634</v>
      </c>
      <c r="F1420" s="255">
        <f>IF(ISBLANK('4T'!H13),"##BLANK",'4T'!H13)</f>
        <v>0</v>
      </c>
    </row>
    <row r="1421" spans="2:6">
      <c r="B1421" s="219" t="str">
        <f>'4T'!BD13</f>
        <v>B0903GRCE_STW</v>
      </c>
      <c r="C1421" s="219" t="s">
        <v>3406</v>
      </c>
      <c r="E1421" s="249" t="s">
        <v>634</v>
      </c>
      <c r="F1421" s="255">
        <f>IF(ISBLANK('4T'!I13),"##BLANK",'4T'!I13)</f>
        <v>0</v>
      </c>
    </row>
    <row r="1422" spans="2:6">
      <c r="B1422" s="219" t="str">
        <f>'4T'!BE13</f>
        <v>B0914GRCE_SLW</v>
      </c>
      <c r="C1422" s="219" t="s">
        <v>3407</v>
      </c>
      <c r="E1422" s="249" t="s">
        <v>634</v>
      </c>
      <c r="F1422" s="255">
        <f>IF(ISBLANK('4T'!J13),"##BLANK",'4T'!J13)</f>
        <v>0</v>
      </c>
    </row>
    <row r="1423" spans="2:6">
      <c r="B1423" s="219" t="str">
        <f>'4T'!BF13</f>
        <v>B0925GRCE_SAB</v>
      </c>
      <c r="C1423" s="219" t="s">
        <v>3408</v>
      </c>
      <c r="E1423" s="249" t="s">
        <v>634</v>
      </c>
      <c r="F1423" s="255">
        <f>IF(ISBLANK('4T'!K13),"##BLANK",'4T'!K13)</f>
        <v>0</v>
      </c>
    </row>
    <row r="1424" spans="2:6">
      <c r="B1424" s="219" t="str">
        <f>'4T'!BG13</f>
        <v>B0936GRCE_SEB</v>
      </c>
      <c r="C1424" s="219" t="s">
        <v>3409</v>
      </c>
      <c r="E1424" s="249" t="s">
        <v>634</v>
      </c>
      <c r="F1424" s="255">
        <f>IF(ISBLANK('4T'!L13),"##BLANK",'4T'!L13)</f>
        <v>0</v>
      </c>
    </row>
    <row r="1425" spans="2:6">
      <c r="B1425" s="219" t="str">
        <f>'4T'!BH13</f>
        <v>B0947GRCE_SDB</v>
      </c>
      <c r="C1425" s="219" t="s">
        <v>3410</v>
      </c>
      <c r="E1425" s="249" t="s">
        <v>634</v>
      </c>
      <c r="F1425" s="255">
        <f>IF(ISBLANK('4T'!M13),"##BLANK",'4T'!M13)</f>
        <v>0</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f>IF(ISBLANK('4T'!O13),"##BLANK",'4T'!O13)</f>
        <v>0</v>
      </c>
    </row>
    <row r="1428" spans="2:6">
      <c r="B1428" s="219" t="str">
        <f>'4T'!BK13</f>
        <v>B0969GRCC_SUW</v>
      </c>
      <c r="C1428" s="219" t="s">
        <v>3412</v>
      </c>
      <c r="E1428" s="249" t="s">
        <v>634</v>
      </c>
      <c r="F1428" s="255">
        <f>IF(ISBLANK('4T'!P13),"##BLANK",'4T'!P13)</f>
        <v>0</v>
      </c>
    </row>
    <row r="1429" spans="2:6">
      <c r="B1429" s="219" t="str">
        <f>'4T'!BL13</f>
        <v>B0980GRCC_HDW</v>
      </c>
      <c r="C1429" s="219" t="s">
        <v>3413</v>
      </c>
      <c r="E1429" s="249" t="s">
        <v>634</v>
      </c>
      <c r="F1429" s="255">
        <f>IF(ISBLANK('4T'!Q13),"##BLANK",'4T'!Q13)</f>
        <v>0</v>
      </c>
    </row>
    <row r="1430" spans="2:6">
      <c r="B1430" s="219" t="str">
        <f>'4T'!BM13</f>
        <v>B0991GRCC_STW</v>
      </c>
      <c r="C1430" s="219" t="s">
        <v>3414</v>
      </c>
      <c r="E1430" s="249" t="s">
        <v>634</v>
      </c>
      <c r="F1430" s="255">
        <f>IF(ISBLANK('4T'!R13),"##BLANK",'4T'!R13)</f>
        <v>0</v>
      </c>
    </row>
    <row r="1431" spans="2:6">
      <c r="B1431" s="219" t="str">
        <f>'4T'!BN13</f>
        <v>B1003GRCC_SLW</v>
      </c>
      <c r="C1431" s="219" t="s">
        <v>3415</v>
      </c>
      <c r="E1431" s="249" t="s">
        <v>634</v>
      </c>
      <c r="F1431" s="255">
        <f>IF(ISBLANK('4T'!S13),"##BLANK",'4T'!S13)</f>
        <v>0</v>
      </c>
    </row>
    <row r="1432" spans="2:6">
      <c r="B1432" s="219" t="str">
        <f>'4T'!BO13</f>
        <v>B1014GRCC_SAB</v>
      </c>
      <c r="C1432" s="219" t="s">
        <v>3416</v>
      </c>
      <c r="E1432" s="249" t="s">
        <v>634</v>
      </c>
      <c r="F1432" s="255">
        <f>IF(ISBLANK('4T'!T13),"##BLANK",'4T'!T13)</f>
        <v>0</v>
      </c>
    </row>
    <row r="1433" spans="2:6">
      <c r="B1433" s="219" t="str">
        <f>'4T'!BP13</f>
        <v>B1025GRCC_SEB</v>
      </c>
      <c r="C1433" s="219" t="s">
        <v>3417</v>
      </c>
      <c r="E1433" s="249" t="s">
        <v>634</v>
      </c>
      <c r="F1433" s="255">
        <f>IF(ISBLANK('4T'!U13),"##BLANK",'4T'!U13)</f>
        <v>0</v>
      </c>
    </row>
    <row r="1434" spans="2:6">
      <c r="B1434" s="219" t="str">
        <f>'4T'!BQ13</f>
        <v>B1036GRCC_SDB</v>
      </c>
      <c r="C1434" s="219" t="s">
        <v>3418</v>
      </c>
      <c r="E1434" s="249" t="s">
        <v>634</v>
      </c>
      <c r="F1434" s="255">
        <f>IF(ISBLANK('4T'!V13),"##BLANK",'4T'!V13)</f>
        <v>0</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f>IF(ISBLANK('4T'!F14),"##BLANK",'4T'!F14)</f>
        <v>0</v>
      </c>
    </row>
    <row r="1437" spans="2:6">
      <c r="B1437" s="219" t="str">
        <f>'4T'!BB14</f>
        <v>B0882GROE_SUW</v>
      </c>
      <c r="C1437" s="219" t="s">
        <v>3420</v>
      </c>
      <c r="E1437" s="249" t="s">
        <v>634</v>
      </c>
      <c r="F1437" s="255">
        <f>IF(ISBLANK('4T'!G14),"##BLANK",'4T'!G14)</f>
        <v>0</v>
      </c>
    </row>
    <row r="1438" spans="2:6">
      <c r="B1438" s="219" t="str">
        <f>'4T'!BC14</f>
        <v>B0893GROE_HDW</v>
      </c>
      <c r="C1438" s="219" t="s">
        <v>3421</v>
      </c>
      <c r="E1438" s="249" t="s">
        <v>634</v>
      </c>
      <c r="F1438" s="255">
        <f>IF(ISBLANK('4T'!H14),"##BLANK",'4T'!H14)</f>
        <v>0</v>
      </c>
    </row>
    <row r="1439" spans="2:6">
      <c r="B1439" s="219" t="str">
        <f>'4T'!BD14</f>
        <v>B0904GROE_STW</v>
      </c>
      <c r="C1439" s="219" t="s">
        <v>3422</v>
      </c>
      <c r="E1439" s="249" t="s">
        <v>634</v>
      </c>
      <c r="F1439" s="255">
        <f>IF(ISBLANK('4T'!I14),"##BLANK",'4T'!I14)</f>
        <v>0</v>
      </c>
    </row>
    <row r="1440" spans="2:6">
      <c r="B1440" s="219" t="str">
        <f>'4T'!BE14</f>
        <v>B0915GROE_SLW</v>
      </c>
      <c r="C1440" s="219" t="s">
        <v>3423</v>
      </c>
      <c r="E1440" s="249" t="s">
        <v>634</v>
      </c>
      <c r="F1440" s="255">
        <f>IF(ISBLANK('4T'!J14),"##BLANK",'4T'!J14)</f>
        <v>0</v>
      </c>
    </row>
    <row r="1441" spans="2:6">
      <c r="B1441" s="219" t="str">
        <f>'4T'!BF14</f>
        <v>B0926GROE_SAB</v>
      </c>
      <c r="C1441" s="219" t="s">
        <v>3424</v>
      </c>
      <c r="E1441" s="249" t="s">
        <v>634</v>
      </c>
      <c r="F1441" s="255">
        <f>IF(ISBLANK('4T'!K14),"##BLANK",'4T'!K14)</f>
        <v>0</v>
      </c>
    </row>
    <row r="1442" spans="2:6">
      <c r="B1442" s="219" t="str">
        <f>'4T'!BG14</f>
        <v>B0937GROE_SEB</v>
      </c>
      <c r="C1442" s="219" t="s">
        <v>3425</v>
      </c>
      <c r="E1442" s="249" t="s">
        <v>634</v>
      </c>
      <c r="F1442" s="255">
        <f>IF(ISBLANK('4T'!L14),"##BLANK",'4T'!L14)</f>
        <v>0</v>
      </c>
    </row>
    <row r="1443" spans="2:6">
      <c r="B1443" s="219" t="str">
        <f>'4T'!BH14</f>
        <v>B0948GROE_SDB</v>
      </c>
      <c r="C1443" s="219" t="s">
        <v>3426</v>
      </c>
      <c r="E1443" s="249" t="s">
        <v>634</v>
      </c>
      <c r="F1443" s="255">
        <f>IF(ISBLANK('4T'!M14),"##BLANK",'4T'!M14)</f>
        <v>0</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f>IF(ISBLANK('4T'!O14),"##BLANK",'4T'!O14)</f>
        <v>0</v>
      </c>
    </row>
    <row r="1446" spans="2:6">
      <c r="B1446" s="219" t="str">
        <f>'4T'!BK14</f>
        <v>B0970GROC_SUW</v>
      </c>
      <c r="C1446" s="219" t="s">
        <v>3428</v>
      </c>
      <c r="E1446" s="249" t="s">
        <v>634</v>
      </c>
      <c r="F1446" s="255">
        <f>IF(ISBLANK('4T'!P14),"##BLANK",'4T'!P14)</f>
        <v>0</v>
      </c>
    </row>
    <row r="1447" spans="2:6">
      <c r="B1447" s="219" t="str">
        <f>'4T'!BL14</f>
        <v>B0981GROC_HDW</v>
      </c>
      <c r="C1447" s="219" t="s">
        <v>3429</v>
      </c>
      <c r="E1447" s="249" t="s">
        <v>634</v>
      </c>
      <c r="F1447" s="255">
        <f>IF(ISBLANK('4T'!Q14),"##BLANK",'4T'!Q14)</f>
        <v>0</v>
      </c>
    </row>
    <row r="1448" spans="2:6">
      <c r="B1448" s="219" t="str">
        <f>'4T'!BM14</f>
        <v>B0992GROC_STW</v>
      </c>
      <c r="C1448" s="219" t="s">
        <v>3430</v>
      </c>
      <c r="E1448" s="249" t="s">
        <v>634</v>
      </c>
      <c r="F1448" s="255">
        <f>IF(ISBLANK('4T'!R14),"##BLANK",'4T'!R14)</f>
        <v>0</v>
      </c>
    </row>
    <row r="1449" spans="2:6">
      <c r="B1449" s="219" t="str">
        <f>'4T'!BN14</f>
        <v>B1004GROC_SLW</v>
      </c>
      <c r="C1449" s="219" t="s">
        <v>3431</v>
      </c>
      <c r="E1449" s="249" t="s">
        <v>634</v>
      </c>
      <c r="F1449" s="255">
        <f>IF(ISBLANK('4T'!S14),"##BLANK",'4T'!S14)</f>
        <v>0</v>
      </c>
    </row>
    <row r="1450" spans="2:6">
      <c r="B1450" s="219" t="str">
        <f>'4T'!BO14</f>
        <v>B1015GROC_SAB</v>
      </c>
      <c r="C1450" s="219" t="s">
        <v>3432</v>
      </c>
      <c r="E1450" s="249" t="s">
        <v>634</v>
      </c>
      <c r="F1450" s="255">
        <f>IF(ISBLANK('4T'!T14),"##BLANK",'4T'!T14)</f>
        <v>0</v>
      </c>
    </row>
    <row r="1451" spans="2:6">
      <c r="B1451" s="219" t="str">
        <f>'4T'!BP14</f>
        <v>B1026GROC_SEB</v>
      </c>
      <c r="C1451" s="219" t="s">
        <v>3433</v>
      </c>
      <c r="E1451" s="249" t="s">
        <v>634</v>
      </c>
      <c r="F1451" s="255">
        <f>IF(ISBLANK('4T'!U14),"##BLANK",'4T'!U14)</f>
        <v>0</v>
      </c>
    </row>
    <row r="1452" spans="2:6">
      <c r="B1452" s="219" t="str">
        <f>'4T'!BQ14</f>
        <v>B1037GROC_SDB</v>
      </c>
      <c r="C1452" s="219" t="s">
        <v>3434</v>
      </c>
      <c r="E1452" s="249" t="s">
        <v>634</v>
      </c>
      <c r="F1452" s="255">
        <f>IF(ISBLANK('4T'!V14),"##BLANK",'4T'!V14)</f>
        <v>0</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f>IF(ISBLANK('4T'!F16),"##BLANK",'4T'!F16)</f>
        <v>0</v>
      </c>
    </row>
    <row r="1473" spans="2:6">
      <c r="B1473" s="219" t="str">
        <f>'4T'!BB16</f>
        <v>B0884GRCE_SUW</v>
      </c>
      <c r="C1473" s="219" t="s">
        <v>3452</v>
      </c>
      <c r="E1473" s="249" t="s">
        <v>634</v>
      </c>
      <c r="F1473" s="255">
        <f>IF(ISBLANK('4T'!G16),"##BLANK",'4T'!G16)</f>
        <v>0</v>
      </c>
    </row>
    <row r="1474" spans="2:6">
      <c r="B1474" s="219" t="str">
        <f>'4T'!BC16</f>
        <v>B0895GRCE_HDW</v>
      </c>
      <c r="C1474" s="219" t="s">
        <v>3453</v>
      </c>
      <c r="E1474" s="249" t="s">
        <v>634</v>
      </c>
      <c r="F1474" s="255">
        <f>IF(ISBLANK('4T'!H16),"##BLANK",'4T'!H16)</f>
        <v>0</v>
      </c>
    </row>
    <row r="1475" spans="2:6">
      <c r="B1475" s="219" t="str">
        <f>'4T'!BD16</f>
        <v>B0906GRCE_STW</v>
      </c>
      <c r="C1475" s="219" t="s">
        <v>3454</v>
      </c>
      <c r="E1475" s="249" t="s">
        <v>634</v>
      </c>
      <c r="F1475" s="255">
        <f>IF(ISBLANK('4T'!I16),"##BLANK",'4T'!I16)</f>
        <v>0</v>
      </c>
    </row>
    <row r="1476" spans="2:6">
      <c r="B1476" s="219" t="str">
        <f>'4T'!BE16</f>
        <v>B0917GRCE_SLW</v>
      </c>
      <c r="C1476" s="219" t="s">
        <v>3455</v>
      </c>
      <c r="E1476" s="249" t="s">
        <v>634</v>
      </c>
      <c r="F1476" s="255">
        <f>IF(ISBLANK('4T'!J16),"##BLANK",'4T'!J16)</f>
        <v>0</v>
      </c>
    </row>
    <row r="1477" spans="2:6">
      <c r="B1477" s="219" t="str">
        <f>'4T'!BF16</f>
        <v>B0928GRCE_SAB</v>
      </c>
      <c r="C1477" s="219" t="s">
        <v>3456</v>
      </c>
      <c r="E1477" s="249" t="s">
        <v>634</v>
      </c>
      <c r="F1477" s="255">
        <f>IF(ISBLANK('4T'!K16),"##BLANK",'4T'!K16)</f>
        <v>0</v>
      </c>
    </row>
    <row r="1478" spans="2:6">
      <c r="B1478" s="219" t="str">
        <f>'4T'!BG16</f>
        <v>B0939GRCE_SEB</v>
      </c>
      <c r="C1478" s="219" t="s">
        <v>3457</v>
      </c>
      <c r="E1478" s="249" t="s">
        <v>634</v>
      </c>
      <c r="F1478" s="255">
        <f>IF(ISBLANK('4T'!L16),"##BLANK",'4T'!L16)</f>
        <v>0</v>
      </c>
    </row>
    <row r="1479" spans="2:6">
      <c r="B1479" s="219" t="str">
        <f>'4T'!BH16</f>
        <v>B0950GRCE_SDB</v>
      </c>
      <c r="C1479" s="219" t="s">
        <v>3458</v>
      </c>
      <c r="E1479" s="249" t="s">
        <v>634</v>
      </c>
      <c r="F1479" s="255">
        <f>IF(ISBLANK('4T'!M16),"##BLANK",'4T'!M16)</f>
        <v>0</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f>IF(ISBLANK('4T'!O16),"##BLANK",'4T'!O16)</f>
        <v>0</v>
      </c>
    </row>
    <row r="1482" spans="2:6">
      <c r="B1482" s="219" t="str">
        <f>'4T'!BK16</f>
        <v>B0972GRCC_SUW</v>
      </c>
      <c r="C1482" s="219" t="s">
        <v>3460</v>
      </c>
      <c r="E1482" s="249" t="s">
        <v>634</v>
      </c>
      <c r="F1482" s="255">
        <f>IF(ISBLANK('4T'!P16),"##BLANK",'4T'!P16)</f>
        <v>0</v>
      </c>
    </row>
    <row r="1483" spans="2:6">
      <c r="B1483" s="219" t="str">
        <f>'4T'!BL16</f>
        <v>B0983GRCC_HDW</v>
      </c>
      <c r="C1483" s="219" t="s">
        <v>3461</v>
      </c>
      <c r="E1483" s="249" t="s">
        <v>634</v>
      </c>
      <c r="F1483" s="255">
        <f>IF(ISBLANK('4T'!Q16),"##BLANK",'4T'!Q16)</f>
        <v>0</v>
      </c>
    </row>
    <row r="1484" spans="2:6">
      <c r="B1484" s="219" t="str">
        <f>'4T'!BM16</f>
        <v>B0994GRCC_STW</v>
      </c>
      <c r="C1484" s="219" t="s">
        <v>3462</v>
      </c>
      <c r="E1484" s="249" t="s">
        <v>634</v>
      </c>
      <c r="F1484" s="255">
        <f>IF(ISBLANK('4T'!R16),"##BLANK",'4T'!R16)</f>
        <v>0</v>
      </c>
    </row>
    <row r="1485" spans="2:6">
      <c r="B1485" s="219" t="str">
        <f>'4T'!BN16</f>
        <v>B1006GRCC_SLW</v>
      </c>
      <c r="C1485" s="219" t="s">
        <v>3463</v>
      </c>
      <c r="E1485" s="249" t="s">
        <v>634</v>
      </c>
      <c r="F1485" s="255">
        <f>IF(ISBLANK('4T'!S16),"##BLANK",'4T'!S16)</f>
        <v>0</v>
      </c>
    </row>
    <row r="1486" spans="2:6">
      <c r="B1486" s="219" t="str">
        <f>'4T'!BO16</f>
        <v>B1017GRCC_SAB</v>
      </c>
      <c r="C1486" s="219" t="s">
        <v>3464</v>
      </c>
      <c r="E1486" s="249" t="s">
        <v>634</v>
      </c>
      <c r="F1486" s="255">
        <f>IF(ISBLANK('4T'!T16),"##BLANK",'4T'!T16)</f>
        <v>0</v>
      </c>
    </row>
    <row r="1487" spans="2:6">
      <c r="B1487" s="219" t="str">
        <f>'4T'!BP16</f>
        <v>B1028GRCC_SEB</v>
      </c>
      <c r="C1487" s="219" t="s">
        <v>3465</v>
      </c>
      <c r="E1487" s="249" t="s">
        <v>634</v>
      </c>
      <c r="F1487" s="255">
        <f>IF(ISBLANK('4T'!U16),"##BLANK",'4T'!U16)</f>
        <v>0</v>
      </c>
    </row>
    <row r="1488" spans="2:6">
      <c r="B1488" s="219" t="str">
        <f>'4T'!BQ16</f>
        <v>B1039GRCC_SDB</v>
      </c>
      <c r="C1488" s="219" t="s">
        <v>3466</v>
      </c>
      <c r="E1488" s="249" t="s">
        <v>634</v>
      </c>
      <c r="F1488" s="255">
        <f>IF(ISBLANK('4T'!V16),"##BLANK",'4T'!V16)</f>
        <v>0</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f>IF(ISBLANK('4T'!F17),"##BLANK",'4T'!F17)</f>
        <v>0</v>
      </c>
    </row>
    <row r="1491" spans="2:6">
      <c r="B1491" s="219" t="str">
        <f>'4T'!BB17</f>
        <v>B0885GROE_SUW</v>
      </c>
      <c r="C1491" s="219" t="s">
        <v>3468</v>
      </c>
      <c r="E1491" s="249" t="s">
        <v>634</v>
      </c>
      <c r="F1491" s="255">
        <f>IF(ISBLANK('4T'!G17),"##BLANK",'4T'!G17)</f>
        <v>0</v>
      </c>
    </row>
    <row r="1492" spans="2:6">
      <c r="B1492" s="219" t="str">
        <f>'4T'!BC17</f>
        <v>B0896GROE_HDW</v>
      </c>
      <c r="C1492" s="219" t="s">
        <v>3469</v>
      </c>
      <c r="E1492" s="249" t="s">
        <v>634</v>
      </c>
      <c r="F1492" s="255">
        <f>IF(ISBLANK('4T'!H17),"##BLANK",'4T'!H17)</f>
        <v>0</v>
      </c>
    </row>
    <row r="1493" spans="2:6">
      <c r="B1493" s="219" t="str">
        <f>'4T'!BD17</f>
        <v>B0907GROE_STW</v>
      </c>
      <c r="C1493" s="219" t="s">
        <v>3470</v>
      </c>
      <c r="E1493" s="249" t="s">
        <v>634</v>
      </c>
      <c r="F1493" s="255">
        <f>IF(ISBLANK('4T'!I17),"##BLANK",'4T'!I17)</f>
        <v>0</v>
      </c>
    </row>
    <row r="1494" spans="2:6">
      <c r="B1494" s="219" t="str">
        <f>'4T'!BE17</f>
        <v>B0918GROE_SLW</v>
      </c>
      <c r="C1494" s="219" t="s">
        <v>3471</v>
      </c>
      <c r="E1494" s="249" t="s">
        <v>634</v>
      </c>
      <c r="F1494" s="255">
        <f>IF(ISBLANK('4T'!J17),"##BLANK",'4T'!J17)</f>
        <v>0</v>
      </c>
    </row>
    <row r="1495" spans="2:6">
      <c r="B1495" s="219" t="str">
        <f>'4T'!BF17</f>
        <v>B0929GROE_SAB</v>
      </c>
      <c r="C1495" s="219" t="s">
        <v>3472</v>
      </c>
      <c r="E1495" s="249" t="s">
        <v>634</v>
      </c>
      <c r="F1495" s="255">
        <f>IF(ISBLANK('4T'!K17),"##BLANK",'4T'!K17)</f>
        <v>0</v>
      </c>
    </row>
    <row r="1496" spans="2:6">
      <c r="B1496" s="219" t="str">
        <f>'4T'!BG17</f>
        <v>B0940GROE_SEB</v>
      </c>
      <c r="C1496" s="219" t="s">
        <v>3473</v>
      </c>
      <c r="E1496" s="249" t="s">
        <v>634</v>
      </c>
      <c r="F1496" s="255">
        <f>IF(ISBLANK('4T'!L17),"##BLANK",'4T'!L17)</f>
        <v>0</v>
      </c>
    </row>
    <row r="1497" spans="2:6">
      <c r="B1497" s="219" t="str">
        <f>'4T'!BH17</f>
        <v>B0951GROE_SDB</v>
      </c>
      <c r="C1497" s="219" t="s">
        <v>3474</v>
      </c>
      <c r="E1497" s="249" t="s">
        <v>634</v>
      </c>
      <c r="F1497" s="255">
        <f>IF(ISBLANK('4T'!M17),"##BLANK",'4T'!M17)</f>
        <v>0</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f>IF(ISBLANK('4T'!O17),"##BLANK",'4T'!O17)</f>
        <v>0</v>
      </c>
    </row>
    <row r="1500" spans="2:6">
      <c r="B1500" s="219" t="str">
        <f>'4T'!BK17</f>
        <v>B0973GROC_SUW</v>
      </c>
      <c r="C1500" s="219" t="s">
        <v>3476</v>
      </c>
      <c r="E1500" s="249" t="s">
        <v>634</v>
      </c>
      <c r="F1500" s="255">
        <f>IF(ISBLANK('4T'!P17),"##BLANK",'4T'!P17)</f>
        <v>0</v>
      </c>
    </row>
    <row r="1501" spans="2:6">
      <c r="B1501" s="219" t="str">
        <f>'4T'!BL17</f>
        <v>B0984GROC_HDW</v>
      </c>
      <c r="C1501" s="219" t="s">
        <v>3477</v>
      </c>
      <c r="E1501" s="249" t="s">
        <v>634</v>
      </c>
      <c r="F1501" s="255">
        <f>IF(ISBLANK('4T'!Q17),"##BLANK",'4T'!Q17)</f>
        <v>0</v>
      </c>
    </row>
    <row r="1502" spans="2:6">
      <c r="B1502" s="219" t="str">
        <f>'4T'!BM17</f>
        <v>B0995GROC_STW</v>
      </c>
      <c r="C1502" s="219" t="s">
        <v>3478</v>
      </c>
      <c r="E1502" s="249" t="s">
        <v>634</v>
      </c>
      <c r="F1502" s="255">
        <f>IF(ISBLANK('4T'!R17),"##BLANK",'4T'!R17)</f>
        <v>0</v>
      </c>
    </row>
    <row r="1503" spans="2:6">
      <c r="B1503" s="219" t="str">
        <f>'4T'!BN17</f>
        <v>B1007GROC_SLW</v>
      </c>
      <c r="C1503" s="219" t="s">
        <v>3479</v>
      </c>
      <c r="E1503" s="249" t="s">
        <v>634</v>
      </c>
      <c r="F1503" s="255">
        <f>IF(ISBLANK('4T'!S17),"##BLANK",'4T'!S17)</f>
        <v>0</v>
      </c>
    </row>
    <row r="1504" spans="2:6">
      <c r="B1504" s="219" t="str">
        <f>'4T'!BO17</f>
        <v>B1018GROC_SAB</v>
      </c>
      <c r="C1504" s="219" t="s">
        <v>3480</v>
      </c>
      <c r="E1504" s="249" t="s">
        <v>634</v>
      </c>
      <c r="F1504" s="255">
        <f>IF(ISBLANK('4T'!T17),"##BLANK",'4T'!T17)</f>
        <v>0</v>
      </c>
    </row>
    <row r="1505" spans="2:6">
      <c r="B1505" s="219" t="str">
        <f>'4T'!BP17</f>
        <v>B1029GROC_SEB</v>
      </c>
      <c r="C1505" s="219" t="s">
        <v>3481</v>
      </c>
      <c r="E1505" s="249" t="s">
        <v>634</v>
      </c>
      <c r="F1505" s="255">
        <f>IF(ISBLANK('4T'!U17),"##BLANK",'4T'!U17)</f>
        <v>0</v>
      </c>
    </row>
    <row r="1506" spans="2:6">
      <c r="B1506" s="219" t="str">
        <f>'4T'!BQ17</f>
        <v>B1040GROC_SDB</v>
      </c>
      <c r="C1506" s="219" t="s">
        <v>3482</v>
      </c>
      <c r="E1506" s="249" t="s">
        <v>634</v>
      </c>
      <c r="F1506" s="255">
        <f>IF(ISBLANK('4T'!V17),"##BLANK",'4T'!V17)</f>
        <v>0</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f>IF(ISBLANK('4T'!F19),"##BLANK",'4T'!F19)</f>
        <v>0</v>
      </c>
    </row>
    <row r="1527" spans="2:6">
      <c r="B1527" s="219" t="str">
        <f>'4T'!BB19</f>
        <v>B0887GRCE_SUW</v>
      </c>
      <c r="C1527" s="219" t="s">
        <v>3500</v>
      </c>
      <c r="E1527" s="249" t="s">
        <v>634</v>
      </c>
      <c r="F1527" s="255">
        <f>IF(ISBLANK('4T'!G19),"##BLANK",'4T'!G19)</f>
        <v>0</v>
      </c>
    </row>
    <row r="1528" spans="2:6">
      <c r="B1528" s="219" t="str">
        <f>'4T'!BC19</f>
        <v>B0898GRCE_HDW</v>
      </c>
      <c r="C1528" s="219" t="s">
        <v>3501</v>
      </c>
      <c r="E1528" s="249" t="s">
        <v>634</v>
      </c>
      <c r="F1528" s="255">
        <f>IF(ISBLANK('4T'!H19),"##BLANK",'4T'!H19)</f>
        <v>0</v>
      </c>
    </row>
    <row r="1529" spans="2:6">
      <c r="B1529" s="219" t="str">
        <f>'4T'!BD19</f>
        <v>B0909GRCE_STW</v>
      </c>
      <c r="C1529" s="219" t="s">
        <v>3502</v>
      </c>
      <c r="E1529" s="249" t="s">
        <v>634</v>
      </c>
      <c r="F1529" s="255">
        <f>IF(ISBLANK('4T'!I19),"##BLANK",'4T'!I19)</f>
        <v>0</v>
      </c>
    </row>
    <row r="1530" spans="2:6">
      <c r="B1530" s="219" t="str">
        <f>'4T'!BE19</f>
        <v>B0920GRCE_SLW</v>
      </c>
      <c r="C1530" s="219" t="s">
        <v>3503</v>
      </c>
      <c r="E1530" s="249" t="s">
        <v>634</v>
      </c>
      <c r="F1530" s="255">
        <f>IF(ISBLANK('4T'!J19),"##BLANK",'4T'!J19)</f>
        <v>0</v>
      </c>
    </row>
    <row r="1531" spans="2:6">
      <c r="B1531" s="219" t="str">
        <f>'4T'!BF19</f>
        <v>B0931GRCE_SAB</v>
      </c>
      <c r="C1531" s="219" t="s">
        <v>3504</v>
      </c>
      <c r="E1531" s="249" t="s">
        <v>634</v>
      </c>
      <c r="F1531" s="255">
        <f>IF(ISBLANK('4T'!K19),"##BLANK",'4T'!K19)</f>
        <v>0</v>
      </c>
    </row>
    <row r="1532" spans="2:6">
      <c r="B1532" s="219" t="str">
        <f>'4T'!BG19</f>
        <v>B0942GRCE_SEB</v>
      </c>
      <c r="C1532" s="219" t="s">
        <v>3505</v>
      </c>
      <c r="E1532" s="249" t="s">
        <v>634</v>
      </c>
      <c r="F1532" s="255">
        <f>IF(ISBLANK('4T'!L19),"##BLANK",'4T'!L19)</f>
        <v>0</v>
      </c>
    </row>
    <row r="1533" spans="2:6">
      <c r="B1533" s="219" t="str">
        <f>'4T'!BH19</f>
        <v>B0953GRCE_SDB</v>
      </c>
      <c r="C1533" s="219" t="s">
        <v>3506</v>
      </c>
      <c r="E1533" s="249" t="s">
        <v>634</v>
      </c>
      <c r="F1533" s="255">
        <f>IF(ISBLANK('4T'!M19),"##BLANK",'4T'!M19)</f>
        <v>0</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f>IF(ISBLANK('4T'!O19),"##BLANK",'4T'!O19)</f>
        <v>0</v>
      </c>
    </row>
    <row r="1536" spans="2:6">
      <c r="B1536" s="219" t="str">
        <f>'4T'!BK19</f>
        <v>B0975GRCC_SUW</v>
      </c>
      <c r="C1536" s="219" t="s">
        <v>3508</v>
      </c>
      <c r="E1536" s="249" t="s">
        <v>634</v>
      </c>
      <c r="F1536" s="255">
        <f>IF(ISBLANK('4T'!P19),"##BLANK",'4T'!P19)</f>
        <v>0</v>
      </c>
    </row>
    <row r="1537" spans="2:6">
      <c r="B1537" s="219" t="str">
        <f>'4T'!BL19</f>
        <v>B0986GRCC_HDW</v>
      </c>
      <c r="C1537" s="219" t="s">
        <v>3509</v>
      </c>
      <c r="E1537" s="249" t="s">
        <v>634</v>
      </c>
      <c r="F1537" s="255">
        <f>IF(ISBLANK('4T'!Q19),"##BLANK",'4T'!Q19)</f>
        <v>0</v>
      </c>
    </row>
    <row r="1538" spans="2:6">
      <c r="B1538" s="219" t="str">
        <f>'4T'!BM19</f>
        <v>B0997GRCC_STW</v>
      </c>
      <c r="C1538" s="219" t="s">
        <v>3510</v>
      </c>
      <c r="E1538" s="249" t="s">
        <v>634</v>
      </c>
      <c r="F1538" s="255">
        <f>IF(ISBLANK('4T'!R19),"##BLANK",'4T'!R19)</f>
        <v>0</v>
      </c>
    </row>
    <row r="1539" spans="2:6">
      <c r="B1539" s="219" t="str">
        <f>'4T'!BN19</f>
        <v>B1009GRCC_SLW</v>
      </c>
      <c r="C1539" s="219" t="s">
        <v>3511</v>
      </c>
      <c r="E1539" s="249" t="s">
        <v>634</v>
      </c>
      <c r="F1539" s="255">
        <f>IF(ISBLANK('4T'!S19),"##BLANK",'4T'!S19)</f>
        <v>0</v>
      </c>
    </row>
    <row r="1540" spans="2:6">
      <c r="B1540" s="219" t="str">
        <f>'4T'!BO19</f>
        <v>B1020GRCC_SAB</v>
      </c>
      <c r="C1540" s="219" t="s">
        <v>3512</v>
      </c>
      <c r="E1540" s="249" t="s">
        <v>634</v>
      </c>
      <c r="F1540" s="255">
        <f>IF(ISBLANK('4T'!T19),"##BLANK",'4T'!T19)</f>
        <v>0</v>
      </c>
    </row>
    <row r="1541" spans="2:6">
      <c r="B1541" s="219" t="str">
        <f>'4T'!BP19</f>
        <v>B1031GRCC_SEB</v>
      </c>
      <c r="C1541" s="219" t="s">
        <v>3513</v>
      </c>
      <c r="E1541" s="249" t="s">
        <v>634</v>
      </c>
      <c r="F1541" s="255">
        <f>IF(ISBLANK('4T'!U19),"##BLANK",'4T'!U19)</f>
        <v>0</v>
      </c>
    </row>
    <row r="1542" spans="2:6">
      <c r="B1542" s="219" t="str">
        <f>'4T'!BQ19</f>
        <v>B1042GRCC_SDB</v>
      </c>
      <c r="C1542" s="219" t="s">
        <v>3514</v>
      </c>
      <c r="E1542" s="249" t="s">
        <v>634</v>
      </c>
      <c r="F1542" s="255">
        <f>IF(ISBLANK('4T'!V19),"##BLANK",'4T'!V19)</f>
        <v>0</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f>IF(ISBLANK('4T'!F20),"##BLANK",'4T'!F20)</f>
        <v>0</v>
      </c>
    </row>
    <row r="1545" spans="2:6">
      <c r="B1545" s="219" t="str">
        <f>'4T'!BB20</f>
        <v>B0888GROE_SUW</v>
      </c>
      <c r="C1545" s="219" t="s">
        <v>3516</v>
      </c>
      <c r="E1545" s="249" t="s">
        <v>634</v>
      </c>
      <c r="F1545" s="255">
        <f>IF(ISBLANK('4T'!G20),"##BLANK",'4T'!G20)</f>
        <v>0</v>
      </c>
    </row>
    <row r="1546" spans="2:6">
      <c r="B1546" s="219" t="str">
        <f>'4T'!BC20</f>
        <v>B0899GROE_HDW</v>
      </c>
      <c r="C1546" s="219" t="s">
        <v>3517</v>
      </c>
      <c r="E1546" s="249" t="s">
        <v>634</v>
      </c>
      <c r="F1546" s="255">
        <f>IF(ISBLANK('4T'!H20),"##BLANK",'4T'!H20)</f>
        <v>0</v>
      </c>
    </row>
    <row r="1547" spans="2:6">
      <c r="B1547" s="219" t="str">
        <f>'4T'!BD20</f>
        <v>B0910GROE_STW</v>
      </c>
      <c r="C1547" s="219" t="s">
        <v>3518</v>
      </c>
      <c r="E1547" s="249" t="s">
        <v>634</v>
      </c>
      <c r="F1547" s="255">
        <f>IF(ISBLANK('4T'!I20),"##BLANK",'4T'!I20)</f>
        <v>0</v>
      </c>
    </row>
    <row r="1548" spans="2:6">
      <c r="B1548" s="219" t="str">
        <f>'4T'!BE20</f>
        <v>B0921GROE_SLW</v>
      </c>
      <c r="C1548" s="219" t="s">
        <v>3519</v>
      </c>
      <c r="E1548" s="249" t="s">
        <v>634</v>
      </c>
      <c r="F1548" s="255">
        <f>IF(ISBLANK('4T'!J20),"##BLANK",'4T'!J20)</f>
        <v>0</v>
      </c>
    </row>
    <row r="1549" spans="2:6">
      <c r="B1549" s="219" t="str">
        <f>'4T'!BF20</f>
        <v>B0932GROE_SAB</v>
      </c>
      <c r="C1549" s="219" t="s">
        <v>3520</v>
      </c>
      <c r="E1549" s="249" t="s">
        <v>634</v>
      </c>
      <c r="F1549" s="255">
        <f>IF(ISBLANK('4T'!K20),"##BLANK",'4T'!K20)</f>
        <v>0</v>
      </c>
    </row>
    <row r="1550" spans="2:6">
      <c r="B1550" s="219" t="str">
        <f>'4T'!BG20</f>
        <v>B0943GROE_SEB</v>
      </c>
      <c r="C1550" s="219" t="s">
        <v>3521</v>
      </c>
      <c r="E1550" s="249" t="s">
        <v>634</v>
      </c>
      <c r="F1550" s="255">
        <f>IF(ISBLANK('4T'!L20),"##BLANK",'4T'!L20)</f>
        <v>0</v>
      </c>
    </row>
    <row r="1551" spans="2:6">
      <c r="B1551" s="219" t="str">
        <f>'4T'!BH20</f>
        <v>B0954GROE_SDB</v>
      </c>
      <c r="C1551" s="219" t="s">
        <v>3522</v>
      </c>
      <c r="E1551" s="249" t="s">
        <v>634</v>
      </c>
      <c r="F1551" s="255">
        <f>IF(ISBLANK('4T'!M20),"##BLANK",'4T'!M20)</f>
        <v>0</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f>IF(ISBLANK('4T'!O20),"##BLANK",'4T'!O20)</f>
        <v>0</v>
      </c>
    </row>
    <row r="1554" spans="2:6">
      <c r="B1554" s="219" t="str">
        <f>'4T'!BK20</f>
        <v>B0976GROC_SUW</v>
      </c>
      <c r="C1554" s="219" t="s">
        <v>3524</v>
      </c>
      <c r="E1554" s="249" t="s">
        <v>634</v>
      </c>
      <c r="F1554" s="255">
        <f>IF(ISBLANK('4T'!P20),"##BLANK",'4T'!P20)</f>
        <v>0</v>
      </c>
    </row>
    <row r="1555" spans="2:6">
      <c r="B1555" s="219" t="str">
        <f>'4T'!BL20</f>
        <v>B0987GROC_HDW</v>
      </c>
      <c r="C1555" s="219" t="s">
        <v>3525</v>
      </c>
      <c r="E1555" s="249" t="s">
        <v>634</v>
      </c>
      <c r="F1555" s="255">
        <f>IF(ISBLANK('4T'!Q20),"##BLANK",'4T'!Q20)</f>
        <v>0</v>
      </c>
    </row>
    <row r="1556" spans="2:6">
      <c r="B1556" s="219" t="str">
        <f>'4T'!BM20</f>
        <v>B0998GROC_STW</v>
      </c>
      <c r="C1556" s="219" t="s">
        <v>3526</v>
      </c>
      <c r="E1556" s="249" t="s">
        <v>634</v>
      </c>
      <c r="F1556" s="255">
        <f>IF(ISBLANK('4T'!R20),"##BLANK",'4T'!R20)</f>
        <v>0</v>
      </c>
    </row>
    <row r="1557" spans="2:6">
      <c r="B1557" s="219" t="str">
        <f>'4T'!BN20</f>
        <v>B1010GROC_SLW</v>
      </c>
      <c r="C1557" s="219" t="s">
        <v>3527</v>
      </c>
      <c r="E1557" s="249" t="s">
        <v>634</v>
      </c>
      <c r="F1557" s="255">
        <f>IF(ISBLANK('4T'!S20),"##BLANK",'4T'!S20)</f>
        <v>0</v>
      </c>
    </row>
    <row r="1558" spans="2:6">
      <c r="B1558" s="219" t="str">
        <f>'4T'!BO20</f>
        <v>B1021GROC_SAB</v>
      </c>
      <c r="C1558" s="219" t="s">
        <v>3528</v>
      </c>
      <c r="E1558" s="249" t="s">
        <v>634</v>
      </c>
      <c r="F1558" s="255">
        <f>IF(ISBLANK('4T'!T20),"##BLANK",'4T'!T20)</f>
        <v>0</v>
      </c>
    </row>
    <row r="1559" spans="2:6">
      <c r="B1559" s="219" t="str">
        <f>'4T'!BP20</f>
        <v>B1032GROC_SEB</v>
      </c>
      <c r="C1559" s="219" t="s">
        <v>3529</v>
      </c>
      <c r="E1559" s="249" t="s">
        <v>634</v>
      </c>
      <c r="F1559" s="255">
        <f>IF(ISBLANK('4T'!U20),"##BLANK",'4T'!U20)</f>
        <v>0</v>
      </c>
    </row>
    <row r="1560" spans="2:6">
      <c r="B1560" s="219" t="str">
        <f>'4T'!BQ20</f>
        <v>B1043GROC_SDB</v>
      </c>
      <c r="C1560" s="219" t="s">
        <v>3530</v>
      </c>
      <c r="E1560" s="249" t="s">
        <v>634</v>
      </c>
      <c r="F1560" s="255">
        <f>IF(ISBLANK('4T'!V20),"##BLANK",'4T'!V20)</f>
        <v>0</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81" t="str">
        <f>'4U'!AJ9</f>
        <v>B0632GTAB_WR</v>
      </c>
      <c r="C1634" s="219" t="s">
        <v>3595</v>
      </c>
      <c r="E1634" s="249" t="s">
        <v>634</v>
      </c>
      <c r="F1634" s="255">
        <f>IF(ISBLANK('4U'!E9),"##BLANK",'4U'!E9)</f>
        <v>0</v>
      </c>
    </row>
    <row r="1635" spans="2:6">
      <c r="B1635" s="1781" t="str">
        <f>'4U'!AK9</f>
        <v>B0638GTAB_NP</v>
      </c>
      <c r="C1635" s="219" t="s">
        <v>3596</v>
      </c>
      <c r="E1635" s="249" t="s">
        <v>634</v>
      </c>
      <c r="F1635" s="255">
        <f>IF(ISBLANK('4U'!F9),"##BLANK",'4U'!F9)</f>
        <v>0</v>
      </c>
    </row>
    <row r="1636" spans="2:6">
      <c r="B1636" s="1781" t="str">
        <f>'4U'!AL9</f>
        <v>B0644GTAB_WP</v>
      </c>
      <c r="C1636" s="219" t="s">
        <v>3597</v>
      </c>
      <c r="E1636" s="249" t="s">
        <v>634</v>
      </c>
      <c r="F1636" s="255">
        <f>IF(ISBLANK('4U'!G9),"##BLANK",'4U'!G9)</f>
        <v>0</v>
      </c>
    </row>
    <row r="1637" spans="2:6">
      <c r="B1637" s="1781" t="str">
        <f>'4U'!AN9</f>
        <v>B0656GTAB_AC</v>
      </c>
      <c r="C1637" s="219" t="s">
        <v>3598</v>
      </c>
      <c r="E1637" s="249" t="s">
        <v>634</v>
      </c>
      <c r="F1637" s="255">
        <f>IF(ISBLANK('4U'!I9),"##BLANK",'4U'!I9)</f>
        <v>0</v>
      </c>
    </row>
    <row r="1638" spans="2:6">
      <c r="B1638" s="1781" t="str">
        <f>'4U'!AO9</f>
        <v>B0662GPAB_WR</v>
      </c>
      <c r="C1638" s="219" t="s">
        <v>3599</v>
      </c>
      <c r="E1638" s="249" t="s">
        <v>634</v>
      </c>
      <c r="F1638" s="255">
        <f>IF(ISBLANK('4U'!J9),"##BLANK",'4U'!J9)</f>
        <v>0</v>
      </c>
    </row>
    <row r="1639" spans="2:6">
      <c r="B1639" s="1781" t="str">
        <f>'4U'!AP9</f>
        <v>B0668GPAB_NP</v>
      </c>
      <c r="C1639" s="219" t="s">
        <v>3600</v>
      </c>
      <c r="E1639" s="249" t="s">
        <v>634</v>
      </c>
      <c r="F1639" s="255">
        <f>IF(ISBLANK('4U'!K9),"##BLANK",'4U'!K9)</f>
        <v>0</v>
      </c>
    </row>
    <row r="1640" spans="2:6">
      <c r="B1640" s="1781" t="str">
        <f>'4U'!AQ9</f>
        <v>B0674GPAB_WP</v>
      </c>
      <c r="C1640" s="219" t="s">
        <v>3601</v>
      </c>
      <c r="E1640" s="249" t="s">
        <v>634</v>
      </c>
      <c r="F1640" s="255">
        <f>IF(ISBLANK('4U'!L9),"##BLANK",'4U'!L9)</f>
        <v>0</v>
      </c>
    </row>
    <row r="1641" spans="2:6">
      <c r="B1641" s="1781" t="str">
        <f>'4U'!AS9</f>
        <v>B0686GPAB_AC</v>
      </c>
      <c r="C1641" s="219" t="s">
        <v>3602</v>
      </c>
      <c r="E1641" s="249" t="s">
        <v>634</v>
      </c>
      <c r="F1641" s="255">
        <f>IF(ISBLANK('4U'!N9),"##BLANK",'4U'!N9)</f>
        <v>0</v>
      </c>
    </row>
    <row r="1642" spans="2:6">
      <c r="B1642" s="1781" t="str">
        <f>'4U'!AJ10</f>
        <v>B0633GTAT_WR</v>
      </c>
      <c r="C1642" s="219" t="s">
        <v>3603</v>
      </c>
      <c r="E1642" s="249" t="s">
        <v>634</v>
      </c>
      <c r="F1642" s="255">
        <f>IF(ISBLANK('4U'!E10),"##BLANK",'4U'!E10)</f>
        <v>0</v>
      </c>
    </row>
    <row r="1643" spans="2:6">
      <c r="B1643" s="1781" t="str">
        <f>'4U'!AK10</f>
        <v>B0639GTAT_NP</v>
      </c>
      <c r="C1643" s="219" t="s">
        <v>3604</v>
      </c>
      <c r="E1643" s="249" t="s">
        <v>634</v>
      </c>
      <c r="F1643" s="255">
        <f>IF(ISBLANK('4U'!F10),"##BLANK",'4U'!F10)</f>
        <v>0</v>
      </c>
    </row>
    <row r="1644" spans="2:6">
      <c r="B1644" s="1781" t="str">
        <f>'4U'!AL10</f>
        <v>B0645GTAT_WP</v>
      </c>
      <c r="C1644" s="219" t="s">
        <v>3605</v>
      </c>
      <c r="E1644" s="249" t="s">
        <v>634</v>
      </c>
      <c r="F1644" s="255">
        <f>IF(ISBLANK('4U'!G10),"##BLANK",'4U'!G10)</f>
        <v>0</v>
      </c>
    </row>
    <row r="1645" spans="2:6">
      <c r="B1645" s="1781" t="str">
        <f>'4U'!AN10</f>
        <v>B0657GTAT_AC</v>
      </c>
      <c r="C1645" s="219" t="s">
        <v>3606</v>
      </c>
      <c r="E1645" s="249" t="s">
        <v>634</v>
      </c>
      <c r="F1645" s="255">
        <f>IF(ISBLANK('4U'!I10),"##BLANK",'4U'!I10)</f>
        <v>0</v>
      </c>
    </row>
    <row r="1646" spans="2:6">
      <c r="B1646" s="1781" t="str">
        <f>'4U'!AO10</f>
        <v>B0663GPAT_WR</v>
      </c>
      <c r="C1646" s="219" t="s">
        <v>3607</v>
      </c>
      <c r="E1646" s="249" t="s">
        <v>634</v>
      </c>
      <c r="F1646" s="255">
        <f>IF(ISBLANK('4U'!J10),"##BLANK",'4U'!J10)</f>
        <v>0</v>
      </c>
    </row>
    <row r="1647" spans="2:6">
      <c r="B1647" s="1781" t="str">
        <f>'4U'!AP10</f>
        <v>B0669GPAT_NP</v>
      </c>
      <c r="C1647" s="219" t="s">
        <v>3608</v>
      </c>
      <c r="E1647" s="249" t="s">
        <v>634</v>
      </c>
      <c r="F1647" s="255">
        <f>IF(ISBLANK('4U'!K10),"##BLANK",'4U'!K10)</f>
        <v>0</v>
      </c>
    </row>
    <row r="1648" spans="2:6">
      <c r="B1648" s="1781" t="str">
        <f>'4U'!AQ10</f>
        <v>B0675GPAT_WP</v>
      </c>
      <c r="C1648" s="219" t="s">
        <v>3609</v>
      </c>
      <c r="E1648" s="249" t="s">
        <v>634</v>
      </c>
      <c r="F1648" s="255">
        <f>IF(ISBLANK('4U'!L10),"##BLANK",'4U'!L10)</f>
        <v>0</v>
      </c>
    </row>
    <row r="1649" spans="2:6">
      <c r="B1649" s="1781" t="str">
        <f>'4U'!AS10</f>
        <v>B0687GPAT_AC</v>
      </c>
      <c r="C1649" s="219" t="s">
        <v>3610</v>
      </c>
      <c r="E1649" s="249" t="s">
        <v>634</v>
      </c>
      <c r="F1649" s="255">
        <f>IF(ISBLANK('4U'!N10),"##BLANK",'4U'!N10)</f>
        <v>0</v>
      </c>
    </row>
    <row r="1650" spans="2:6">
      <c r="B1650" s="1781" t="str">
        <f>'4U'!AJ11</f>
        <v>B0692GTV_WR</v>
      </c>
      <c r="C1650" s="219" t="s">
        <v>3611</v>
      </c>
      <c r="E1650" s="249" t="s">
        <v>634</v>
      </c>
      <c r="F1650" s="255">
        <f>IF(ISBLANK('4U'!E11),"##BLANK",'4U'!E11)</f>
        <v>0</v>
      </c>
    </row>
    <row r="1651" spans="2:6">
      <c r="B1651" s="1781" t="str">
        <f>'4U'!AK11</f>
        <v>B0700GTV_NP</v>
      </c>
      <c r="C1651" s="219" t="s">
        <v>3612</v>
      </c>
      <c r="E1651" s="249" t="s">
        <v>634</v>
      </c>
      <c r="F1651" s="255">
        <f>IF(ISBLANK('4U'!F11),"##BLANK",'4U'!F11)</f>
        <v>0</v>
      </c>
    </row>
    <row r="1652" spans="2:6">
      <c r="B1652" s="1781" t="str">
        <f>'4U'!AL11</f>
        <v>B0708GTV_WP</v>
      </c>
      <c r="C1652" s="219" t="s">
        <v>3613</v>
      </c>
      <c r="E1652" s="249" t="s">
        <v>634</v>
      </c>
      <c r="F1652" s="255">
        <f>IF(ISBLANK('4U'!G11),"##BLANK",'4U'!G11)</f>
        <v>0</v>
      </c>
    </row>
    <row r="1653" spans="2:6">
      <c r="B1653" s="1781" t="str">
        <f>'4U'!AN11</f>
        <v>B0716GTV_AC</v>
      </c>
      <c r="C1653" s="219" t="s">
        <v>3614</v>
      </c>
      <c r="E1653" s="249" t="s">
        <v>634</v>
      </c>
      <c r="F1653" s="255">
        <f>IF(ISBLANK('4U'!I11),"##BLANK",'4U'!I11)</f>
        <v>0</v>
      </c>
    </row>
    <row r="1654" spans="2:6">
      <c r="B1654" s="1781" t="str">
        <f>'4U'!AO11</f>
        <v>B0724GPV_WR</v>
      </c>
      <c r="C1654" s="219" t="s">
        <v>3615</v>
      </c>
      <c r="E1654" s="249" t="s">
        <v>634</v>
      </c>
      <c r="F1654" s="255">
        <f>IF(ISBLANK('4U'!J11),"##BLANK",'4U'!J11)</f>
        <v>0</v>
      </c>
    </row>
    <row r="1655" spans="2:6">
      <c r="B1655" s="1781" t="str">
        <f>'4U'!AP11</f>
        <v>B0732GPV_NP</v>
      </c>
      <c r="C1655" s="219" t="s">
        <v>3616</v>
      </c>
      <c r="E1655" s="249" t="s">
        <v>634</v>
      </c>
      <c r="F1655" s="255">
        <f>IF(ISBLANK('4U'!K11),"##BLANK",'4U'!K11)</f>
        <v>0</v>
      </c>
    </row>
    <row r="1656" spans="2:6">
      <c r="B1656" s="1781" t="str">
        <f>'4U'!AQ11</f>
        <v>B0740GPV_WP</v>
      </c>
      <c r="C1656" s="219" t="s">
        <v>3617</v>
      </c>
      <c r="E1656" s="249" t="s">
        <v>634</v>
      </c>
      <c r="F1656" s="255">
        <f>IF(ISBLANK('4U'!L11),"##BLANK",'4U'!L11)</f>
        <v>0</v>
      </c>
    </row>
    <row r="1657" spans="2:6">
      <c r="B1657" s="1781" t="str">
        <f>'4U'!AS11</f>
        <v>B0748GPV_AC</v>
      </c>
      <c r="C1657" s="219" t="s">
        <v>3618</v>
      </c>
      <c r="E1657" s="249" t="s">
        <v>634</v>
      </c>
      <c r="F1657" s="255">
        <f>IF(ISBLANK('4U'!N11),"##BLANK",'4U'!N11)</f>
        <v>0</v>
      </c>
    </row>
    <row r="1658" spans="2:6">
      <c r="B1658" s="1781" t="str">
        <f>'4U'!AJ12</f>
        <v>B0634GTVT_WR</v>
      </c>
      <c r="C1658" s="219" t="s">
        <v>3619</v>
      </c>
      <c r="E1658" s="249" t="s">
        <v>634</v>
      </c>
      <c r="F1658" s="255" t="str">
        <f>IF(ISBLANK('4U'!E12),"##BLANK",'4U'!E12)</f>
        <v>##BLANK</v>
      </c>
    </row>
    <row r="1659" spans="2:6">
      <c r="B1659" s="1781" t="str">
        <f>'4U'!AK12</f>
        <v>B0640GTVT_NP</v>
      </c>
      <c r="C1659" s="219" t="s">
        <v>3620</v>
      </c>
      <c r="E1659" s="249" t="s">
        <v>634</v>
      </c>
      <c r="F1659" s="255" t="str">
        <f>IF(ISBLANK('4U'!F12),"##BLANK",'4U'!F12)</f>
        <v>##BLANK</v>
      </c>
    </row>
    <row r="1660" spans="2:6">
      <c r="B1660" s="1781" t="str">
        <f>'4U'!AL12</f>
        <v>B0646GTVT_WP</v>
      </c>
      <c r="C1660" s="219" t="s">
        <v>3621</v>
      </c>
      <c r="E1660" s="249" t="s">
        <v>634</v>
      </c>
      <c r="F1660" s="255" t="str">
        <f>IF(ISBLANK('4U'!G12),"##BLANK",'4U'!G12)</f>
        <v>##BLANK</v>
      </c>
    </row>
    <row r="1661" spans="2:6">
      <c r="B1661" s="1781" t="str">
        <f>'4U'!AN12</f>
        <v>B0658GTVT_AC</v>
      </c>
      <c r="C1661" s="219" t="s">
        <v>3622</v>
      </c>
      <c r="E1661" s="249" t="s">
        <v>634</v>
      </c>
      <c r="F1661" s="255">
        <f>IF(ISBLANK('4U'!I12),"##BLANK",'4U'!I12)</f>
        <v>0</v>
      </c>
    </row>
    <row r="1662" spans="2:6">
      <c r="B1662" s="1781" t="str">
        <f>'4U'!AO12</f>
        <v>B0664GPVT_WR</v>
      </c>
      <c r="C1662" s="219" t="s">
        <v>3623</v>
      </c>
      <c r="E1662" s="249" t="s">
        <v>634</v>
      </c>
      <c r="F1662" s="255">
        <f>IF(ISBLANK('4U'!J12),"##BLANK",'4U'!J12)</f>
        <v>0</v>
      </c>
    </row>
    <row r="1663" spans="2:6">
      <c r="B1663" s="1781" t="str">
        <f>'4U'!AP12</f>
        <v>B0670GPVT_NP</v>
      </c>
      <c r="C1663" s="219" t="s">
        <v>3624</v>
      </c>
      <c r="E1663" s="249" t="s">
        <v>634</v>
      </c>
      <c r="F1663" s="255">
        <f>IF(ISBLANK('4U'!K12),"##BLANK",'4U'!K12)</f>
        <v>0</v>
      </c>
    </row>
    <row r="1664" spans="2:6">
      <c r="B1664" s="1781" t="str">
        <f>'4U'!AQ12</f>
        <v>B0676GPVT_WP</v>
      </c>
      <c r="C1664" s="219" t="s">
        <v>3625</v>
      </c>
      <c r="E1664" s="249" t="s">
        <v>634</v>
      </c>
      <c r="F1664" s="255">
        <f>IF(ISBLANK('4U'!L12),"##BLANK",'4U'!L12)</f>
        <v>0</v>
      </c>
    </row>
    <row r="1665" spans="2:6">
      <c r="B1665" s="1781" t="str">
        <f>'4U'!AS12</f>
        <v>B0688GPVT_AC</v>
      </c>
      <c r="C1665" s="219" t="s">
        <v>3626</v>
      </c>
      <c r="E1665" s="249" t="s">
        <v>634</v>
      </c>
      <c r="F1665" s="255">
        <f>IF(ISBLANK('4U'!N12),"##BLANK",'4U'!N12)</f>
        <v>0</v>
      </c>
    </row>
    <row r="1666" spans="2:6">
      <c r="B1666" s="1781" t="str">
        <f>'4U'!AJ13</f>
        <v>B0693GTVE_WR</v>
      </c>
      <c r="C1666" s="219" t="s">
        <v>3627</v>
      </c>
      <c r="E1666" s="249" t="s">
        <v>634</v>
      </c>
      <c r="F1666" s="255">
        <f>IF(ISBLANK('4U'!E13),"##BLANK",'4U'!E13)</f>
        <v>0</v>
      </c>
    </row>
    <row r="1667" spans="2:6">
      <c r="B1667" s="1781" t="str">
        <f>'4U'!AK13</f>
        <v>B0701GTVE_NP</v>
      </c>
      <c r="C1667" s="219" t="s">
        <v>3628</v>
      </c>
      <c r="E1667" s="249" t="s">
        <v>634</v>
      </c>
      <c r="F1667" s="255">
        <f>IF(ISBLANK('4U'!F13),"##BLANK",'4U'!F13)</f>
        <v>0</v>
      </c>
    </row>
    <row r="1668" spans="2:6">
      <c r="B1668" s="1781" t="str">
        <f>'4U'!AL13</f>
        <v>B0709GTVE_WP</v>
      </c>
      <c r="C1668" s="219" t="s">
        <v>3629</v>
      </c>
      <c r="E1668" s="249" t="s">
        <v>634</v>
      </c>
      <c r="F1668" s="255">
        <f>IF(ISBLANK('4U'!G13),"##BLANK",'4U'!G13)</f>
        <v>0</v>
      </c>
    </row>
    <row r="1669" spans="2:6">
      <c r="B1669" s="1781" t="str">
        <f>'4U'!AN13</f>
        <v>B0717GTVE_AC</v>
      </c>
      <c r="C1669" s="219" t="s">
        <v>3630</v>
      </c>
      <c r="E1669" s="249" t="s">
        <v>634</v>
      </c>
      <c r="F1669" s="255">
        <f>IF(ISBLANK('4U'!I13),"##BLANK",'4U'!I13)</f>
        <v>0</v>
      </c>
    </row>
    <row r="1670" spans="2:6">
      <c r="B1670" s="1781" t="str">
        <f>'4U'!AO13</f>
        <v>B0725GPVE_WR</v>
      </c>
      <c r="C1670" s="219" t="s">
        <v>3631</v>
      </c>
      <c r="E1670" s="249" t="s">
        <v>634</v>
      </c>
      <c r="F1670" s="255">
        <f>IF(ISBLANK('4U'!J13),"##BLANK",'4U'!J13)</f>
        <v>0</v>
      </c>
    </row>
    <row r="1671" spans="2:6">
      <c r="B1671" s="1781" t="str">
        <f>'4U'!AP13</f>
        <v>B0733GPVE_NP</v>
      </c>
      <c r="C1671" s="219" t="s">
        <v>3632</v>
      </c>
      <c r="E1671" s="249" t="s">
        <v>634</v>
      </c>
      <c r="F1671" s="255">
        <f>IF(ISBLANK('4U'!K13),"##BLANK",'4U'!K13)</f>
        <v>0</v>
      </c>
    </row>
    <row r="1672" spans="2:6">
      <c r="B1672" s="1781" t="str">
        <f>'4U'!AQ13</f>
        <v>B0741GPVE_WP</v>
      </c>
      <c r="C1672" s="219" t="s">
        <v>3633</v>
      </c>
      <c r="E1672" s="249" t="s">
        <v>634</v>
      </c>
      <c r="F1672" s="255">
        <f>IF(ISBLANK('4U'!L13),"##BLANK",'4U'!L13)</f>
        <v>0</v>
      </c>
    </row>
    <row r="1673" spans="2:6">
      <c r="B1673" s="1781" t="str">
        <f>'4U'!AS13</f>
        <v>B0749GPVE_AC</v>
      </c>
      <c r="C1673" s="219" t="s">
        <v>3634</v>
      </c>
      <c r="E1673" s="249" t="s">
        <v>634</v>
      </c>
      <c r="F1673" s="255">
        <f>IF(ISBLANK('4U'!N13),"##BLANK",'4U'!N13)</f>
        <v>0</v>
      </c>
    </row>
    <row r="1674" spans="2:6">
      <c r="B1674" s="1782" t="str">
        <f>'4U'!AJ14</f>
        <v>B0635GTSO_WR</v>
      </c>
      <c r="C1674" s="219" t="s">
        <v>3635</v>
      </c>
      <c r="E1674" s="249" t="s">
        <v>634</v>
      </c>
      <c r="F1674" s="255">
        <f>IF(ISBLANK('4U'!E14),"##BLANK",'4U'!E14)</f>
        <v>0</v>
      </c>
    </row>
    <row r="1675" spans="2:6">
      <c r="B1675" s="1782" t="str">
        <f>'4U'!AK14</f>
        <v>B0641GTSO_NP</v>
      </c>
      <c r="C1675" s="219" t="s">
        <v>3636</v>
      </c>
      <c r="E1675" s="249" t="s">
        <v>634</v>
      </c>
      <c r="F1675" s="255">
        <f>IF(ISBLANK('4U'!F14),"##BLANK",'4U'!F14)</f>
        <v>0</v>
      </c>
    </row>
    <row r="1676" spans="2:6">
      <c r="B1676" s="1782" t="str">
        <f>'4U'!AL14</f>
        <v>B0647GTSO_WP</v>
      </c>
      <c r="C1676" s="219" t="s">
        <v>3637</v>
      </c>
      <c r="E1676" s="249" t="s">
        <v>634</v>
      </c>
      <c r="F1676" s="255">
        <f>IF(ISBLANK('4U'!G14),"##BLANK",'4U'!G14)</f>
        <v>0</v>
      </c>
    </row>
    <row r="1677" spans="2:6">
      <c r="B1677" s="1782" t="str">
        <f>'4U'!AN14</f>
        <v>B0659GTSO_AC</v>
      </c>
      <c r="C1677" s="219" t="s">
        <v>3638</v>
      </c>
      <c r="E1677" s="249" t="s">
        <v>634</v>
      </c>
      <c r="F1677" s="255">
        <f>IF(ISBLANK('4U'!I14),"##BLANK",'4U'!I14)</f>
        <v>0</v>
      </c>
    </row>
    <row r="1678" spans="2:6">
      <c r="B1678" s="1782" t="str">
        <f>'4U'!AO14</f>
        <v>B0665GPSO_WR</v>
      </c>
      <c r="C1678" s="219" t="s">
        <v>3639</v>
      </c>
      <c r="E1678" s="249" t="s">
        <v>634</v>
      </c>
      <c r="F1678" s="255">
        <f>IF(ISBLANK('4U'!J14),"##BLANK",'4U'!J14)</f>
        <v>0</v>
      </c>
    </row>
    <row r="1679" spans="2:6">
      <c r="B1679" s="1782" t="str">
        <f>'4U'!AP14</f>
        <v>B0671GPSO_NP</v>
      </c>
      <c r="C1679" s="219" t="s">
        <v>3640</v>
      </c>
      <c r="E1679" s="249" t="s">
        <v>634</v>
      </c>
      <c r="F1679" s="255">
        <f>IF(ISBLANK('4U'!K14),"##BLANK",'4U'!K14)</f>
        <v>0</v>
      </c>
    </row>
    <row r="1680" spans="2:6">
      <c r="B1680" s="1782" t="str">
        <f>'4U'!AQ14</f>
        <v>B0677GPSO_WP</v>
      </c>
      <c r="C1680" s="219" t="s">
        <v>3641</v>
      </c>
      <c r="E1680" s="249" t="s">
        <v>634</v>
      </c>
      <c r="F1680" s="255">
        <f>IF(ISBLANK('4U'!L14),"##BLANK",'4U'!L14)</f>
        <v>0</v>
      </c>
    </row>
    <row r="1681" spans="2:6">
      <c r="B1681" s="1782" t="str">
        <f>'4U'!AS14</f>
        <v>B0689GPSO_AC</v>
      </c>
      <c r="C1681" s="219" t="s">
        <v>3642</v>
      </c>
      <c r="E1681" s="249" t="s">
        <v>634</v>
      </c>
      <c r="F1681" s="255">
        <f>IF(ISBLANK('4U'!N14),"##BLANK",'4U'!N14)</f>
        <v>0</v>
      </c>
    </row>
    <row r="1682" spans="2:6">
      <c r="B1682" s="1782" t="str">
        <f>'4U'!AJ15</f>
        <v>B0636GTSU_WR</v>
      </c>
      <c r="C1682" s="219" t="s">
        <v>3643</v>
      </c>
      <c r="E1682" s="249" t="s">
        <v>634</v>
      </c>
      <c r="F1682" s="255">
        <f>IF(ISBLANK('4U'!E15),"##BLANK",'4U'!E15)</f>
        <v>0</v>
      </c>
    </row>
    <row r="1683" spans="2:6">
      <c r="B1683" s="1782" t="str">
        <f>'4U'!AK15</f>
        <v>B0642GTSU_NP</v>
      </c>
      <c r="C1683" s="219" t="s">
        <v>3644</v>
      </c>
      <c r="E1683" s="249" t="s">
        <v>634</v>
      </c>
      <c r="F1683" s="255">
        <f>IF(ISBLANK('4U'!F15),"##BLANK",'4U'!F15)</f>
        <v>0</v>
      </c>
    </row>
    <row r="1684" spans="2:6">
      <c r="B1684" s="1782" t="str">
        <f>'4U'!AL15</f>
        <v>B0648GTSU_WP</v>
      </c>
      <c r="C1684" s="219" t="s">
        <v>3645</v>
      </c>
      <c r="E1684" s="249" t="s">
        <v>634</v>
      </c>
      <c r="F1684" s="255">
        <f>IF(ISBLANK('4U'!G15),"##BLANK",'4U'!G15)</f>
        <v>0</v>
      </c>
    </row>
    <row r="1685" spans="2:6">
      <c r="B1685" s="1782" t="str">
        <f>'4U'!AN15</f>
        <v>B0660GTSU_AC</v>
      </c>
      <c r="C1685" s="219" t="s">
        <v>3646</v>
      </c>
      <c r="E1685" s="249" t="s">
        <v>634</v>
      </c>
      <c r="F1685" s="255">
        <f>IF(ISBLANK('4U'!I15),"##BLANK",'4U'!I15)</f>
        <v>0</v>
      </c>
    </row>
    <row r="1686" spans="2:6">
      <c r="B1686" s="1782" t="str">
        <f>'4U'!AO15</f>
        <v>B0666GPSU_WR</v>
      </c>
      <c r="C1686" s="219" t="s">
        <v>3647</v>
      </c>
      <c r="E1686" s="249" t="s">
        <v>634</v>
      </c>
      <c r="F1686" s="255">
        <f>IF(ISBLANK('4U'!J15),"##BLANK",'4U'!J15)</f>
        <v>0</v>
      </c>
    </row>
    <row r="1687" spans="2:6">
      <c r="B1687" s="1782" t="str">
        <f>'4U'!AP15</f>
        <v>B0672GPSU_NP</v>
      </c>
      <c r="C1687" s="219" t="s">
        <v>3648</v>
      </c>
      <c r="E1687" s="249" t="s">
        <v>634</v>
      </c>
      <c r="F1687" s="255">
        <f>IF(ISBLANK('4U'!K15),"##BLANK",'4U'!K15)</f>
        <v>0</v>
      </c>
    </row>
    <row r="1688" spans="2:6">
      <c r="B1688" s="1782" t="str">
        <f>'4U'!AQ15</f>
        <v>B0678GPSU_WP</v>
      </c>
      <c r="C1688" s="219" t="s">
        <v>3649</v>
      </c>
      <c r="E1688" s="249" t="s">
        <v>634</v>
      </c>
      <c r="F1688" s="255">
        <f>IF(ISBLANK('4U'!L15),"##BLANK",'4U'!L15)</f>
        <v>0</v>
      </c>
    </row>
    <row r="1689" spans="2:6">
      <c r="B1689" s="1782" t="str">
        <f>'4U'!AS15</f>
        <v>B0690GPSU_AC</v>
      </c>
      <c r="C1689" s="219" t="s">
        <v>3650</v>
      </c>
      <c r="E1689" s="249" t="s">
        <v>634</v>
      </c>
      <c r="F1689" s="255">
        <f>IF(ISBLANK('4U'!N15),"##BLANK",'4U'!N15)</f>
        <v>0</v>
      </c>
    </row>
    <row r="1690" spans="2:6">
      <c r="B1690" s="1781" t="str">
        <f>'4U'!AJ16</f>
        <v>B0694GTCO_WR</v>
      </c>
      <c r="C1690" s="219" t="s">
        <v>3651</v>
      </c>
      <c r="E1690" s="249" t="s">
        <v>634</v>
      </c>
      <c r="F1690" s="255">
        <f>IF(ISBLANK('4U'!E16),"##BLANK",'4U'!E16)</f>
        <v>0</v>
      </c>
    </row>
    <row r="1691" spans="2:6">
      <c r="B1691" s="1781" t="str">
        <f>'4U'!AK16</f>
        <v>B0702GTCO_NP</v>
      </c>
      <c r="C1691" s="219" t="s">
        <v>3652</v>
      </c>
      <c r="E1691" s="249" t="s">
        <v>634</v>
      </c>
      <c r="F1691" s="255">
        <f>IF(ISBLANK('4U'!F16),"##BLANK",'4U'!F16)</f>
        <v>0</v>
      </c>
    </row>
    <row r="1692" spans="2:6">
      <c r="B1692" s="1781" t="str">
        <f>'4U'!AL16</f>
        <v>B0710GTCO_WP</v>
      </c>
      <c r="C1692" s="219" t="s">
        <v>3653</v>
      </c>
      <c r="E1692" s="249" t="s">
        <v>634</v>
      </c>
      <c r="F1692" s="255">
        <f>IF(ISBLANK('4U'!G16),"##BLANK",'4U'!G16)</f>
        <v>0</v>
      </c>
    </row>
    <row r="1693" spans="2:6">
      <c r="B1693" s="1781" t="str">
        <f>'4U'!AN16</f>
        <v>B0718GTCO_AC</v>
      </c>
      <c r="C1693" s="219" t="s">
        <v>3654</v>
      </c>
      <c r="E1693" s="249" t="s">
        <v>634</v>
      </c>
      <c r="F1693" s="255">
        <f>IF(ISBLANK('4U'!I16),"##BLANK",'4U'!I16)</f>
        <v>0</v>
      </c>
    </row>
    <row r="1694" spans="2:6">
      <c r="B1694" s="1781" t="str">
        <f>'4U'!AO16</f>
        <v>B0726GPCO_WR</v>
      </c>
      <c r="C1694" s="219" t="s">
        <v>3655</v>
      </c>
      <c r="E1694" s="249" t="s">
        <v>634</v>
      </c>
      <c r="F1694" s="255">
        <f>IF(ISBLANK('4U'!J16),"##BLANK",'4U'!J16)</f>
        <v>0</v>
      </c>
    </row>
    <row r="1695" spans="2:6">
      <c r="B1695" s="1781" t="str">
        <f>'4U'!AP16</f>
        <v>B0734GPCO_NP</v>
      </c>
      <c r="C1695" s="219" t="s">
        <v>3656</v>
      </c>
      <c r="E1695" s="249" t="s">
        <v>634</v>
      </c>
      <c r="F1695" s="255">
        <f>IF(ISBLANK('4U'!K16),"##BLANK",'4U'!K16)</f>
        <v>0</v>
      </c>
    </row>
    <row r="1696" spans="2:6">
      <c r="B1696" s="1781" t="str">
        <f>'4U'!AQ16</f>
        <v>B0742GPCO_WP</v>
      </c>
      <c r="C1696" s="219" t="s">
        <v>3657</v>
      </c>
      <c r="E1696" s="249" t="s">
        <v>634</v>
      </c>
      <c r="F1696" s="255">
        <f>IF(ISBLANK('4U'!L16),"##BLANK",'4U'!L16)</f>
        <v>0</v>
      </c>
    </row>
    <row r="1697" spans="2:6">
      <c r="B1697" s="1781" t="str">
        <f>'4U'!AS16</f>
        <v>B0750GPCO_AC</v>
      </c>
      <c r="C1697" s="219" t="s">
        <v>3658</v>
      </c>
      <c r="E1697" s="249" t="s">
        <v>634</v>
      </c>
      <c r="F1697" s="255">
        <f>IF(ISBLANK('4U'!N16),"##BLANK",'4U'!N16)</f>
        <v>0</v>
      </c>
    </row>
    <row r="1698" spans="2:6">
      <c r="B1698" s="1781" t="str">
        <f>'4U'!AJ17</f>
        <v>B0695GTCU_WR</v>
      </c>
      <c r="C1698" s="219" t="s">
        <v>3659</v>
      </c>
      <c r="E1698" s="249" t="s">
        <v>634</v>
      </c>
      <c r="F1698" s="255">
        <f>IF(ISBLANK('4U'!E17),"##BLANK",'4U'!E17)</f>
        <v>0</v>
      </c>
    </row>
    <row r="1699" spans="2:6">
      <c r="B1699" s="1781" t="str">
        <f>'4U'!AK17</f>
        <v>B0703GTCU_NP</v>
      </c>
      <c r="C1699" s="219" t="s">
        <v>3660</v>
      </c>
      <c r="E1699" s="249" t="s">
        <v>634</v>
      </c>
      <c r="F1699" s="255">
        <f>IF(ISBLANK('4U'!F17),"##BLANK",'4U'!F17)</f>
        <v>0</v>
      </c>
    </row>
    <row r="1700" spans="2:6">
      <c r="B1700" s="1781" t="str">
        <f>'4U'!AL17</f>
        <v>B0711GTCU_WP</v>
      </c>
      <c r="C1700" s="219" t="s">
        <v>3661</v>
      </c>
      <c r="E1700" s="249" t="s">
        <v>634</v>
      </c>
      <c r="F1700" s="255">
        <f>IF(ISBLANK('4U'!G17),"##BLANK",'4U'!G17)</f>
        <v>0</v>
      </c>
    </row>
    <row r="1701" spans="2:6">
      <c r="B1701" s="1781" t="str">
        <f>'4U'!AN17</f>
        <v>B0719GTCU_AC</v>
      </c>
      <c r="C1701" s="219" t="s">
        <v>3662</v>
      </c>
      <c r="E1701" s="249" t="s">
        <v>634</v>
      </c>
      <c r="F1701" s="255">
        <f>IF(ISBLANK('4U'!I17),"##BLANK",'4U'!I17)</f>
        <v>0</v>
      </c>
    </row>
    <row r="1702" spans="2:6">
      <c r="B1702" s="1781" t="str">
        <f>'4U'!AO17</f>
        <v>B0727GPCU_WR</v>
      </c>
      <c r="C1702" s="219" t="s">
        <v>3663</v>
      </c>
      <c r="E1702" s="249" t="s">
        <v>634</v>
      </c>
      <c r="F1702" s="255">
        <f>IF(ISBLANK('4U'!J17),"##BLANK",'4U'!J17)</f>
        <v>0</v>
      </c>
    </row>
    <row r="1703" spans="2:6">
      <c r="B1703" s="1781" t="str">
        <f>'4U'!AP17</f>
        <v>B0735GPCU_NP</v>
      </c>
      <c r="C1703" s="219" t="s">
        <v>3664</v>
      </c>
      <c r="E1703" s="249" t="s">
        <v>634</v>
      </c>
      <c r="F1703" s="255">
        <f>IF(ISBLANK('4U'!K17),"##BLANK",'4U'!K17)</f>
        <v>0</v>
      </c>
    </row>
    <row r="1704" spans="2:6">
      <c r="B1704" s="1781" t="str">
        <f>'4U'!AQ17</f>
        <v>B0743GPCU_WP</v>
      </c>
      <c r="C1704" s="219" t="s">
        <v>3665</v>
      </c>
      <c r="E1704" s="249" t="s">
        <v>634</v>
      </c>
      <c r="F1704" s="255">
        <f>IF(ISBLANK('4U'!L17),"##BLANK",'4U'!L17)</f>
        <v>0</v>
      </c>
    </row>
    <row r="1705" spans="2:6">
      <c r="B1705" s="1781" t="str">
        <f>'4U'!AS17</f>
        <v>B0751GPCU_AC</v>
      </c>
      <c r="C1705" s="219" t="s">
        <v>3666</v>
      </c>
      <c r="E1705" s="249" t="s">
        <v>634</v>
      </c>
      <c r="F1705" s="255">
        <f>IF(ISBLANK('4U'!N17),"##BLANK",'4U'!N17)</f>
        <v>0</v>
      </c>
    </row>
    <row r="1706" spans="2:6">
      <c r="B1706" s="1781" t="str">
        <f>'4U'!AJ18</f>
        <v>B0696GTBO_WR</v>
      </c>
      <c r="C1706" s="219" t="s">
        <v>3667</v>
      </c>
      <c r="E1706" s="249" t="s">
        <v>634</v>
      </c>
      <c r="F1706" s="255">
        <f>IF(ISBLANK('4U'!E18),"##BLANK",'4U'!E18)</f>
        <v>0</v>
      </c>
    </row>
    <row r="1707" spans="2:6">
      <c r="B1707" s="1781" t="str">
        <f>'4U'!AK18</f>
        <v>B0704GTBO_NP</v>
      </c>
      <c r="C1707" s="219" t="s">
        <v>3668</v>
      </c>
      <c r="E1707" s="249" t="s">
        <v>634</v>
      </c>
      <c r="F1707" s="255">
        <f>IF(ISBLANK('4U'!F18),"##BLANK",'4U'!F18)</f>
        <v>0</v>
      </c>
    </row>
    <row r="1708" spans="2:6">
      <c r="B1708" s="1781" t="str">
        <f>'4U'!AL18</f>
        <v>B0712GTBO_WP</v>
      </c>
      <c r="C1708" s="219" t="s">
        <v>3669</v>
      </c>
      <c r="E1708" s="249" t="s">
        <v>634</v>
      </c>
      <c r="F1708" s="255">
        <f>IF(ISBLANK('4U'!G18),"##BLANK",'4U'!G18)</f>
        <v>0</v>
      </c>
    </row>
    <row r="1709" spans="2:6">
      <c r="B1709" s="1781" t="str">
        <f>'4U'!AN18</f>
        <v>B0720GTBO_AC</v>
      </c>
      <c r="C1709" s="219" t="s">
        <v>3670</v>
      </c>
      <c r="E1709" s="249" t="s">
        <v>634</v>
      </c>
      <c r="F1709" s="255">
        <f>IF(ISBLANK('4U'!I18),"##BLANK",'4U'!I18)</f>
        <v>0</v>
      </c>
    </row>
    <row r="1710" spans="2:6">
      <c r="B1710" s="1781" t="str">
        <f>'4U'!AO18</f>
        <v>B0728GPBO_WR</v>
      </c>
      <c r="C1710" s="219" t="s">
        <v>3671</v>
      </c>
      <c r="E1710" s="249" t="s">
        <v>634</v>
      </c>
      <c r="F1710" s="255">
        <f>IF(ISBLANK('4U'!J18),"##BLANK",'4U'!J18)</f>
        <v>0</v>
      </c>
    </row>
    <row r="1711" spans="2:6">
      <c r="B1711" s="1781" t="str">
        <f>'4U'!AP18</f>
        <v>B0736GPBO_NP</v>
      </c>
      <c r="C1711" s="219" t="s">
        <v>3672</v>
      </c>
      <c r="E1711" s="249" t="s">
        <v>634</v>
      </c>
      <c r="F1711" s="255">
        <f>IF(ISBLANK('4U'!K18),"##BLANK",'4U'!K18)</f>
        <v>0</v>
      </c>
    </row>
    <row r="1712" spans="2:6">
      <c r="B1712" s="1781" t="str">
        <f>'4U'!AQ18</f>
        <v>B0744GPBO_WP</v>
      </c>
      <c r="C1712" s="219" t="s">
        <v>3673</v>
      </c>
      <c r="E1712" s="249" t="s">
        <v>634</v>
      </c>
      <c r="F1712" s="255">
        <f>IF(ISBLANK('4U'!L18),"##BLANK",'4U'!L18)</f>
        <v>0</v>
      </c>
    </row>
    <row r="1713" spans="2:6">
      <c r="B1713" s="1781" t="str">
        <f>'4U'!AS18</f>
        <v>B0752GPBO_AC</v>
      </c>
      <c r="C1713" s="219" t="s">
        <v>3674</v>
      </c>
      <c r="E1713" s="249" t="s">
        <v>634</v>
      </c>
      <c r="F1713" s="255">
        <f>IF(ISBLANK('4U'!N18),"##BLANK",'4U'!N18)</f>
        <v>0</v>
      </c>
    </row>
    <row r="1714" spans="2:6">
      <c r="B1714" s="1781" t="str">
        <f>'4U'!AJ19</f>
        <v>B0697GTBU_WR</v>
      </c>
      <c r="C1714" s="219" t="s">
        <v>3675</v>
      </c>
      <c r="E1714" s="249" t="s">
        <v>634</v>
      </c>
      <c r="F1714" s="255">
        <f>IF(ISBLANK('4U'!E19),"##BLANK",'4U'!E19)</f>
        <v>0</v>
      </c>
    </row>
    <row r="1715" spans="2:6">
      <c r="B1715" s="1781" t="str">
        <f>'4U'!AK19</f>
        <v>B0705GTBU_NP</v>
      </c>
      <c r="C1715" s="219" t="s">
        <v>3676</v>
      </c>
      <c r="E1715" s="249" t="s">
        <v>634</v>
      </c>
      <c r="F1715" s="255">
        <f>IF(ISBLANK('4U'!F19),"##BLANK",'4U'!F19)</f>
        <v>0</v>
      </c>
    </row>
    <row r="1716" spans="2:6">
      <c r="B1716" s="1781" t="str">
        <f>'4U'!AL19</f>
        <v>B0713GTBU_WP</v>
      </c>
      <c r="C1716" s="219" t="s">
        <v>3677</v>
      </c>
      <c r="E1716" s="249" t="s">
        <v>634</v>
      </c>
      <c r="F1716" s="255">
        <f>IF(ISBLANK('4U'!G19),"##BLANK",'4U'!G19)</f>
        <v>0</v>
      </c>
    </row>
    <row r="1717" spans="2:6">
      <c r="B1717" s="1781" t="str">
        <f>'4U'!AN19</f>
        <v>B0721GTBU_AC</v>
      </c>
      <c r="C1717" s="219" t="s">
        <v>3678</v>
      </c>
      <c r="E1717" s="249" t="s">
        <v>634</v>
      </c>
      <c r="F1717" s="255">
        <f>IF(ISBLANK('4U'!I19),"##BLANK",'4U'!I19)</f>
        <v>0</v>
      </c>
    </row>
    <row r="1718" spans="2:6">
      <c r="B1718" s="1781" t="str">
        <f>'4U'!AO19</f>
        <v>B0729GPBU_WR</v>
      </c>
      <c r="C1718" s="219" t="s">
        <v>3679</v>
      </c>
      <c r="E1718" s="249" t="s">
        <v>634</v>
      </c>
      <c r="F1718" s="255">
        <f>IF(ISBLANK('4U'!J19),"##BLANK",'4U'!J19)</f>
        <v>0</v>
      </c>
    </row>
    <row r="1719" spans="2:6">
      <c r="B1719" s="1781" t="str">
        <f>'4U'!AP19</f>
        <v>B0737GPBU_NP</v>
      </c>
      <c r="C1719" s="219" t="s">
        <v>3680</v>
      </c>
      <c r="E1719" s="249" t="s">
        <v>634</v>
      </c>
      <c r="F1719" s="255">
        <f>IF(ISBLANK('4U'!K19),"##BLANK",'4U'!K19)</f>
        <v>0</v>
      </c>
    </row>
    <row r="1720" spans="2:6">
      <c r="B1720" s="1781" t="str">
        <f>'4U'!AQ19</f>
        <v>B0745GPBU_WP</v>
      </c>
      <c r="C1720" s="219" t="s">
        <v>3681</v>
      </c>
      <c r="E1720" s="249" t="s">
        <v>634</v>
      </c>
      <c r="F1720" s="255">
        <f>IF(ISBLANK('4U'!L19),"##BLANK",'4U'!L19)</f>
        <v>0</v>
      </c>
    </row>
    <row r="1721" spans="2:6">
      <c r="B1721" s="1781" t="str">
        <f>'4U'!AS19</f>
        <v>B0753GPBU_AC</v>
      </c>
      <c r="C1721" s="219" t="s">
        <v>3682</v>
      </c>
      <c r="E1721" s="249" t="s">
        <v>634</v>
      </c>
      <c r="F1721" s="255">
        <f>IF(ISBLANK('4U'!N19),"##BLANK",'4U'!N19)</f>
        <v>0</v>
      </c>
    </row>
    <row r="1722" spans="2:6">
      <c r="B1722" s="1781" t="str">
        <f>'4U'!AJ21</f>
        <v>B0698GTIV_WR</v>
      </c>
      <c r="C1722" s="219" t="s">
        <v>3683</v>
      </c>
      <c r="E1722" s="249" t="s">
        <v>634</v>
      </c>
      <c r="F1722" s="255">
        <f>IF(ISBLANK('4U'!E21),"##BLANK",'4U'!E21)</f>
        <v>0</v>
      </c>
    </row>
    <row r="1723" spans="2:6">
      <c r="B1723" s="1781" t="str">
        <f>'4U'!AK21</f>
        <v>B0706GTIV_NP</v>
      </c>
      <c r="C1723" s="219" t="s">
        <v>3684</v>
      </c>
      <c r="E1723" s="249" t="s">
        <v>634</v>
      </c>
      <c r="F1723" s="255">
        <f>IF(ISBLANK('4U'!F21),"##BLANK",'4U'!F21)</f>
        <v>0</v>
      </c>
    </row>
    <row r="1724" spans="2:6">
      <c r="B1724" s="1781" t="str">
        <f>'4U'!AL21</f>
        <v>B0714GTIV_WP</v>
      </c>
      <c r="C1724" s="219" t="s">
        <v>3685</v>
      </c>
      <c r="E1724" s="249" t="s">
        <v>634</v>
      </c>
      <c r="F1724" s="255">
        <f>IF(ISBLANK('4U'!G21),"##BLANK",'4U'!G21)</f>
        <v>0</v>
      </c>
    </row>
    <row r="1725" spans="2:6">
      <c r="B1725" s="1781" t="str">
        <f>'4U'!AN21</f>
        <v>B0722GTIV_AC</v>
      </c>
      <c r="C1725" s="219" t="s">
        <v>3686</v>
      </c>
      <c r="E1725" s="249" t="s">
        <v>634</v>
      </c>
      <c r="F1725" s="255">
        <f>IF(ISBLANK('4U'!I21),"##BLANK",'4U'!I21)</f>
        <v>0</v>
      </c>
    </row>
    <row r="1726" spans="2:6">
      <c r="B1726" s="1781" t="str">
        <f>'4U'!AO21</f>
        <v>B0730GPIV_WR</v>
      </c>
      <c r="C1726" s="219" t="s">
        <v>3687</v>
      </c>
      <c r="E1726" s="249" t="s">
        <v>634</v>
      </c>
      <c r="F1726" s="255">
        <f>IF(ISBLANK('4U'!J21),"##BLANK",'4U'!J21)</f>
        <v>0</v>
      </c>
    </row>
    <row r="1727" spans="2:6">
      <c r="B1727" s="1781" t="str">
        <f>'4U'!AP21</f>
        <v>B0738GPIV_NP</v>
      </c>
      <c r="C1727" s="219" t="s">
        <v>3688</v>
      </c>
      <c r="E1727" s="249" t="s">
        <v>634</v>
      </c>
      <c r="F1727" s="255">
        <f>IF(ISBLANK('4U'!K21),"##BLANK",'4U'!K21)</f>
        <v>0</v>
      </c>
    </row>
    <row r="1728" spans="2:6">
      <c r="B1728" s="1781" t="str">
        <f>'4U'!AQ21</f>
        <v>B0746GPIV_WP</v>
      </c>
      <c r="C1728" s="219" t="s">
        <v>3689</v>
      </c>
      <c r="E1728" s="249" t="s">
        <v>634</v>
      </c>
      <c r="F1728" s="255">
        <f>IF(ISBLANK('4U'!L21),"##BLANK",'4U'!L21)</f>
        <v>0</v>
      </c>
    </row>
    <row r="1729" spans="2:6">
      <c r="B1729" s="1781" t="str">
        <f>'4U'!AS21</f>
        <v>B0754GPIV_AC</v>
      </c>
      <c r="C1729" s="219" t="s">
        <v>3690</v>
      </c>
      <c r="E1729" s="249" t="s">
        <v>634</v>
      </c>
      <c r="F1729" s="255">
        <f>IF(ISBLANK('4U'!N21),"##BLANK",'4U'!N21)</f>
        <v>0</v>
      </c>
    </row>
    <row r="1730" spans="2:6">
      <c r="B1730" s="1781" t="str">
        <f>'4U'!AJ22</f>
        <v>B0637GTPF_WR</v>
      </c>
      <c r="C1730" s="219" t="s">
        <v>3691</v>
      </c>
      <c r="E1730" s="249" t="s">
        <v>634</v>
      </c>
      <c r="F1730" s="255">
        <f>IF(ISBLANK('4U'!E22),"##BLANK",'4U'!E22)</f>
        <v>0</v>
      </c>
    </row>
    <row r="1731" spans="2:6">
      <c r="B1731" s="1781" t="str">
        <f>'4U'!AK22</f>
        <v>B0643GTPF_NP</v>
      </c>
      <c r="C1731" s="219" t="s">
        <v>3692</v>
      </c>
      <c r="E1731" s="249" t="s">
        <v>634</v>
      </c>
      <c r="F1731" s="255">
        <f>IF(ISBLANK('4U'!F22),"##BLANK",'4U'!F22)</f>
        <v>0</v>
      </c>
    </row>
    <row r="1732" spans="2:6">
      <c r="B1732" s="1781" t="str">
        <f>'4U'!AL22</f>
        <v>B0649GTPF_WP</v>
      </c>
      <c r="C1732" s="219" t="s">
        <v>3693</v>
      </c>
      <c r="E1732" s="249" t="s">
        <v>634</v>
      </c>
      <c r="F1732" s="255">
        <f>IF(ISBLANK('4U'!G22),"##BLANK",'4U'!G22)</f>
        <v>0</v>
      </c>
    </row>
    <row r="1733" spans="2:6">
      <c r="B1733" s="1781" t="str">
        <f>'4U'!AN22</f>
        <v>B0661GTPF_AC</v>
      </c>
      <c r="C1733" s="219" t="s">
        <v>3694</v>
      </c>
      <c r="E1733" s="249" t="s">
        <v>634</v>
      </c>
      <c r="F1733" s="255">
        <f>IF(ISBLANK('4U'!I22),"##BLANK",'4U'!I22)</f>
        <v>0</v>
      </c>
    </row>
    <row r="1734" spans="2:6">
      <c r="B1734" s="1781" t="str">
        <f>'4U'!AO22</f>
        <v>B0667GPPF_WR</v>
      </c>
      <c r="C1734" s="219" t="s">
        <v>3695</v>
      </c>
      <c r="E1734" s="249" t="s">
        <v>634</v>
      </c>
      <c r="F1734" s="255">
        <f>IF(ISBLANK('4U'!J22),"##BLANK",'4U'!J22)</f>
        <v>0</v>
      </c>
    </row>
    <row r="1735" spans="2:6">
      <c r="B1735" s="1781" t="str">
        <f>'4U'!AP22</f>
        <v>B0673GPPF_NP</v>
      </c>
      <c r="C1735" s="219" t="s">
        <v>3696</v>
      </c>
      <c r="E1735" s="249" t="s">
        <v>634</v>
      </c>
      <c r="F1735" s="255">
        <f>IF(ISBLANK('4U'!K22),"##BLANK",'4U'!K22)</f>
        <v>0</v>
      </c>
    </row>
    <row r="1736" spans="2:6">
      <c r="B1736" s="1781" t="str">
        <f>'4U'!AQ22</f>
        <v>B0679GPPF_WP</v>
      </c>
      <c r="C1736" s="219" t="s">
        <v>3697</v>
      </c>
      <c r="E1736" s="249" t="s">
        <v>634</v>
      </c>
      <c r="F1736" s="255">
        <f>IF(ISBLANK('4U'!L22),"##BLANK",'4U'!L22)</f>
        <v>0</v>
      </c>
    </row>
    <row r="1737" spans="2:6">
      <c r="B1737" s="1781" t="str">
        <f>'4U'!AS22</f>
        <v>B0691GPPF_AC</v>
      </c>
      <c r="C1737" s="219" t="s">
        <v>3698</v>
      </c>
      <c r="E1737" s="249" t="s">
        <v>634</v>
      </c>
      <c r="F1737" s="255">
        <f>IF(ISBLANK('4U'!N22),"##BLANK",'4U'!N22)</f>
        <v>0</v>
      </c>
    </row>
    <row r="1738" spans="2:6">
      <c r="B1738" s="1781" t="str">
        <f>'4U'!AJ23</f>
        <v>B0699GTNV_WR</v>
      </c>
      <c r="C1738" s="219" t="s">
        <v>3699</v>
      </c>
      <c r="E1738" s="249" t="s">
        <v>634</v>
      </c>
      <c r="F1738" s="255">
        <f>IF(ISBLANK('4U'!E23),"##BLANK",'4U'!E23)</f>
        <v>0</v>
      </c>
    </row>
    <row r="1739" spans="2:6">
      <c r="B1739" s="1781" t="str">
        <f>'4U'!AK23</f>
        <v>B0707GTNV_NP</v>
      </c>
      <c r="C1739" s="219" t="s">
        <v>3700</v>
      </c>
      <c r="E1739" s="249" t="s">
        <v>634</v>
      </c>
      <c r="F1739" s="255">
        <f>IF(ISBLANK('4U'!F23),"##BLANK",'4U'!F23)</f>
        <v>0</v>
      </c>
    </row>
    <row r="1740" spans="2:6">
      <c r="B1740" s="1781" t="str">
        <f>'4U'!AL23</f>
        <v>B0715GTNV_WP</v>
      </c>
      <c r="C1740" s="219" t="s">
        <v>3701</v>
      </c>
      <c r="E1740" s="249" t="s">
        <v>634</v>
      </c>
      <c r="F1740" s="255">
        <f>IF(ISBLANK('4U'!G23),"##BLANK",'4U'!G23)</f>
        <v>0</v>
      </c>
    </row>
    <row r="1741" spans="2:6">
      <c r="B1741" s="1781" t="str">
        <f>'4U'!AN23</f>
        <v>B0723GTNV_AC</v>
      </c>
      <c r="C1741" s="219" t="s">
        <v>3702</v>
      </c>
      <c r="E1741" s="249" t="s">
        <v>634</v>
      </c>
      <c r="F1741" s="255">
        <f>IF(ISBLANK('4U'!I23),"##BLANK",'4U'!I23)</f>
        <v>0</v>
      </c>
    </row>
    <row r="1742" spans="2:6">
      <c r="B1742" s="1781" t="str">
        <f>'4U'!AO23</f>
        <v>B0731GPNV_WR</v>
      </c>
      <c r="C1742" s="219" t="s">
        <v>3703</v>
      </c>
      <c r="E1742" s="249" t="s">
        <v>634</v>
      </c>
      <c r="F1742" s="255">
        <f>IF(ISBLANK('4U'!J23),"##BLANK",'4U'!J23)</f>
        <v>0</v>
      </c>
    </row>
    <row r="1743" spans="2:6">
      <c r="B1743" s="1781" t="str">
        <f>'4U'!AP23</f>
        <v>B0739GPNV_NP</v>
      </c>
      <c r="C1743" s="219" t="s">
        <v>3704</v>
      </c>
      <c r="E1743" s="249" t="s">
        <v>634</v>
      </c>
      <c r="F1743" s="255">
        <f>IF(ISBLANK('4U'!K23),"##BLANK",'4U'!K23)</f>
        <v>0</v>
      </c>
    </row>
    <row r="1744" spans="2:6">
      <c r="B1744" s="1781" t="str">
        <f>'4U'!AQ23</f>
        <v>B0747GPNV_WP</v>
      </c>
      <c r="C1744" s="219" t="s">
        <v>3705</v>
      </c>
      <c r="E1744" s="249" t="s">
        <v>634</v>
      </c>
      <c r="F1744" s="255">
        <f>IF(ISBLANK('4U'!L23),"##BLANK",'4U'!L23)</f>
        <v>0</v>
      </c>
    </row>
    <row r="1745" spans="2:6">
      <c r="B1745" s="1781" t="str">
        <f>'4U'!AS23</f>
        <v>B0755GPNV_AC</v>
      </c>
      <c r="C1745" s="219" t="s">
        <v>3706</v>
      </c>
      <c r="E1745" s="249" t="s">
        <v>634</v>
      </c>
      <c r="F1745" s="255">
        <f>IF(ISBLANK('4U'!N23),"##BLANK",'4U'!N23)</f>
        <v>0</v>
      </c>
    </row>
  </sheetData>
  <sheetProtection sort="0"/>
  <conditionalFormatting sqref="B2">
    <cfRule type="duplicateValues" dxfId="240" priority="1"/>
    <cfRule type="duplicateValues" dxfId="239" priority="2"/>
    <cfRule type="duplicateValues" dxfId="238" priority="4"/>
  </conditionalFormatting>
  <conditionalFormatting sqref="B4:B979">
    <cfRule type="duplicateValues" dxfId="237" priority="233"/>
  </conditionalFormatting>
  <conditionalFormatting sqref="B2:F2">
    <cfRule type="expression" dxfId="236" priority="3">
      <formula>$C2="New Bon"</formula>
    </cfRule>
  </conditionalFormatting>
  <conditionalFormatting sqref="C4:D4 E4:E1745 D5:D979 C5:C1745">
    <cfRule type="expression" dxfId="235" priority="16">
      <formula>$C4="New Bon"</formula>
    </cfRule>
  </conditionalFormatting>
  <conditionalFormatting sqref="F259:F276">
    <cfRule type="expression" dxfId="234" priority="17">
      <formula>#REF!="New Bon"</formula>
    </cfRule>
  </conditionalFormatting>
  <conditionalFormatting sqref="F277:F294">
    <cfRule type="expression" dxfId="233" priority="18">
      <formula>#REF!="New Bon"</formula>
    </cfRule>
  </conditionalFormatting>
  <conditionalFormatting sqref="F295:F372">
    <cfRule type="expression" dxfId="232"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5" zoomScale="60" zoomScaleNormal="60" zoomScaleSheetLayoutView="100" workbookViewId="0">
      <selection activeCell="X23" sqref="X23"/>
    </sheetView>
  </sheetViews>
  <sheetFormatPr defaultColWidth="9" defaultRowHeight="13.8"/>
  <cols>
    <col min="1" max="1" width="1.59765625" style="219" customWidth="1"/>
    <col min="2" max="2" width="63.5" style="219" bestFit="1" customWidth="1"/>
    <col min="3" max="3" width="7" style="219" customWidth="1"/>
    <col min="4" max="4" width="5.09765625" style="219" customWidth="1"/>
    <col min="5" max="5" width="14.09765625" style="219" bestFit="1" customWidth="1"/>
    <col min="6" max="6" width="2.09765625" style="219" customWidth="1"/>
    <col min="7" max="7" width="12.09765625" style="219" customWidth="1"/>
    <col min="8" max="8" width="1.59765625" style="219" customWidth="1"/>
    <col min="9" max="9" width="33.59765625" style="219" customWidth="1"/>
    <col min="10" max="11" width="1.59765625" style="219" customWidth="1"/>
    <col min="12" max="12" width="25.09765625" style="219" customWidth="1"/>
    <col min="13" max="13" width="1.59765625" style="219" customWidth="1"/>
    <col min="14" max="14" width="25.09765625" style="219" hidden="1" customWidth="1"/>
    <col min="15" max="15" width="1.59765625" style="219" hidden="1" customWidth="1"/>
    <col min="16" max="16" width="1.59765625" style="219" customWidth="1"/>
    <col min="17" max="17" width="55" style="219" customWidth="1"/>
    <col min="18" max="18" width="17.5" style="219" customWidth="1"/>
    <col min="19" max="19" width="1.59765625" style="219" customWidth="1"/>
    <col min="20" max="16384" width="9" style="219"/>
  </cols>
  <sheetData>
    <row r="1" spans="1:18" ht="30" customHeight="1">
      <c r="B1" s="1229" t="s">
        <v>14008</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4.25" customHeight="1">
      <c r="B3" s="2829" t="s">
        <v>14009</v>
      </c>
      <c r="C3" s="2829"/>
      <c r="D3" s="2829"/>
      <c r="E3" s="2829"/>
      <c r="F3" s="2829"/>
      <c r="G3" s="2829"/>
      <c r="H3" s="2829"/>
      <c r="I3" s="2829"/>
      <c r="K3" s="238"/>
      <c r="L3" s="1240" t="s">
        <v>4200</v>
      </c>
      <c r="M3" s="238"/>
      <c r="O3" s="238"/>
      <c r="Q3" s="2829" t="s">
        <v>14010</v>
      </c>
      <c r="R3" s="2829"/>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12497</v>
      </c>
      <c r="F5" s="731"/>
      <c r="G5" s="449" t="s">
        <v>4208</v>
      </c>
      <c r="H5" s="242"/>
      <c r="I5" s="449" t="s">
        <v>4209</v>
      </c>
      <c r="J5" s="242"/>
      <c r="K5" s="238"/>
      <c r="M5" s="238"/>
      <c r="N5" s="269" t="s">
        <v>4210</v>
      </c>
      <c r="O5" s="238"/>
      <c r="Q5" s="445" t="s">
        <v>4202</v>
      </c>
      <c r="R5" s="447" t="s">
        <v>12497</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14011</v>
      </c>
      <c r="D8" s="277">
        <v>0</v>
      </c>
      <c r="E8" s="1732">
        <v>1180</v>
      </c>
      <c r="F8" s="1242"/>
      <c r="G8" s="572" t="s">
        <v>14012</v>
      </c>
      <c r="H8" s="242"/>
      <c r="I8" s="1231" t="s">
        <v>18582</v>
      </c>
      <c r="J8" s="242"/>
      <c r="K8" s="238"/>
      <c r="L8" s="1232">
        <f>IF( SUM( N8:N8 ) = 0, 0, $N$5 )</f>
        <v>0</v>
      </c>
      <c r="M8" s="238"/>
      <c r="N8" s="285">
        <f xml:space="preserve"> IF( ISNUMBER(E8 ), 0, 1 )</f>
        <v>0</v>
      </c>
      <c r="O8" s="238"/>
      <c r="Q8" s="451" t="s">
        <v>3901</v>
      </c>
      <c r="R8" s="960" t="s">
        <v>14013</v>
      </c>
    </row>
    <row r="9" spans="1:18" ht="15.75" customHeight="1">
      <c r="A9" s="242"/>
      <c r="B9" s="792" t="s">
        <v>18523</v>
      </c>
      <c r="C9" s="286" t="s">
        <v>4843</v>
      </c>
      <c r="D9" s="286">
        <v>0</v>
      </c>
      <c r="E9" s="1328">
        <v>107</v>
      </c>
      <c r="F9" s="1242"/>
      <c r="G9" s="573" t="s">
        <v>14014</v>
      </c>
      <c r="H9" s="242"/>
      <c r="I9" s="1233" t="s">
        <v>18583</v>
      </c>
      <c r="J9" s="242"/>
      <c r="K9" s="238"/>
      <c r="L9" s="1232">
        <f t="shared" ref="L9:L12" si="0">IF( SUM( N9:N9 ) = 0, 0, $N$5 )</f>
        <v>0</v>
      </c>
      <c r="M9" s="238"/>
      <c r="N9" s="285">
        <f t="shared" ref="N9:N12" si="1" xml:space="preserve"> IF( ISNUMBER(E9 ), 0, 1 )</f>
        <v>0</v>
      </c>
      <c r="O9" s="238"/>
      <c r="Q9" s="460" t="s">
        <v>14015</v>
      </c>
      <c r="R9" s="964" t="s">
        <v>14016</v>
      </c>
    </row>
    <row r="10" spans="1:18" ht="28.5" customHeight="1">
      <c r="A10" s="242"/>
      <c r="B10" s="792" t="s">
        <v>18524</v>
      </c>
      <c r="C10" s="286" t="s">
        <v>4843</v>
      </c>
      <c r="D10" s="286">
        <v>0</v>
      </c>
      <c r="E10" s="1328">
        <v>8</v>
      </c>
      <c r="F10" s="1242"/>
      <c r="G10" s="573" t="s">
        <v>14017</v>
      </c>
      <c r="H10" s="242"/>
      <c r="I10" s="1233"/>
      <c r="J10" s="242"/>
      <c r="K10" s="238"/>
      <c r="L10" s="1232">
        <f t="shared" si="0"/>
        <v>0</v>
      </c>
      <c r="M10" s="238"/>
      <c r="N10" s="285">
        <f t="shared" si="1"/>
        <v>0</v>
      </c>
      <c r="O10" s="238"/>
      <c r="Q10" s="460" t="s">
        <v>14018</v>
      </c>
      <c r="R10" s="964" t="s">
        <v>14019</v>
      </c>
    </row>
    <row r="11" spans="1:18" ht="15.75" customHeight="1">
      <c r="A11" s="242"/>
      <c r="B11" s="792" t="s">
        <v>3902</v>
      </c>
      <c r="C11" s="286" t="s">
        <v>4843</v>
      </c>
      <c r="D11" s="286">
        <v>0</v>
      </c>
      <c r="E11" s="1328">
        <v>4</v>
      </c>
      <c r="F11" s="1242"/>
      <c r="G11" s="573" t="s">
        <v>14020</v>
      </c>
      <c r="H11" s="242"/>
      <c r="I11" s="1233"/>
      <c r="J11" s="242"/>
      <c r="K11" s="238"/>
      <c r="L11" s="1232">
        <f t="shared" si="0"/>
        <v>0</v>
      </c>
      <c r="M11" s="238"/>
      <c r="N11" s="285">
        <f t="shared" si="1"/>
        <v>0</v>
      </c>
      <c r="O11" s="238"/>
      <c r="Q11" s="460" t="s">
        <v>3902</v>
      </c>
      <c r="R11" s="964" t="s">
        <v>14021</v>
      </c>
    </row>
    <row r="12" spans="1:18" ht="15.75" customHeight="1" thickBot="1">
      <c r="A12" s="242"/>
      <c r="B12" s="453" t="s">
        <v>3903</v>
      </c>
      <c r="C12" s="355" t="s">
        <v>4843</v>
      </c>
      <c r="D12" s="355">
        <v>0</v>
      </c>
      <c r="E12" s="1734">
        <v>2960</v>
      </c>
      <c r="F12" s="1242"/>
      <c r="G12" s="576" t="s">
        <v>14022</v>
      </c>
      <c r="H12" s="242"/>
      <c r="I12" s="1237"/>
      <c r="J12" s="242"/>
      <c r="K12" s="238"/>
      <c r="L12" s="1232">
        <f t="shared" si="0"/>
        <v>0</v>
      </c>
      <c r="M12" s="238"/>
      <c r="N12" s="285">
        <f t="shared" si="1"/>
        <v>0</v>
      </c>
      <c r="O12" s="238"/>
      <c r="Q12" s="463" t="s">
        <v>3903</v>
      </c>
      <c r="R12" s="1267" t="s">
        <v>14023</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14024</v>
      </c>
      <c r="C14" s="482"/>
      <c r="D14" s="482"/>
      <c r="E14" s="482"/>
      <c r="F14" s="1242"/>
      <c r="G14" s="482"/>
      <c r="H14" s="242"/>
      <c r="I14" s="242"/>
      <c r="J14" s="242"/>
      <c r="K14" s="238"/>
      <c r="M14" s="238"/>
      <c r="O14" s="238"/>
      <c r="Q14" s="393" t="s">
        <v>14024</v>
      </c>
      <c r="R14" s="482"/>
    </row>
    <row r="15" spans="1:18" ht="15.75" customHeight="1" thickTop="1">
      <c r="A15" s="242"/>
      <c r="B15" s="814" t="s">
        <v>14025</v>
      </c>
      <c r="C15" s="318" t="s">
        <v>12574</v>
      </c>
      <c r="D15" s="318">
        <v>3</v>
      </c>
      <c r="E15" s="1753">
        <v>41953.048999999999</v>
      </c>
      <c r="F15" s="1242"/>
      <c r="G15" s="1356" t="s">
        <v>14026</v>
      </c>
      <c r="H15" s="242"/>
      <c r="I15" s="1231"/>
      <c r="J15" s="242"/>
      <c r="K15" s="238"/>
      <c r="L15" s="1232">
        <f t="shared" ref="L15:L16" si="2">IF( SUM( N15:N15 ) = 0, 0, $N$5 )</f>
        <v>0</v>
      </c>
      <c r="M15" s="238"/>
      <c r="N15" s="285">
        <f t="shared" ref="N15:N16" si="3" xml:space="preserve"> IF( ISNUMBER(E15 ), 0, 1 )</f>
        <v>0</v>
      </c>
      <c r="O15" s="238"/>
      <c r="Q15" s="814" t="s">
        <v>14025</v>
      </c>
      <c r="R15" s="1185" t="s">
        <v>14027</v>
      </c>
    </row>
    <row r="16" spans="1:18" ht="15.75" customHeight="1">
      <c r="A16" s="242"/>
      <c r="B16" s="792" t="s">
        <v>14028</v>
      </c>
      <c r="C16" s="325" t="s">
        <v>12574</v>
      </c>
      <c r="D16" s="325">
        <v>3</v>
      </c>
      <c r="E16" s="794">
        <v>197617.58799999999</v>
      </c>
      <c r="F16" s="1242"/>
      <c r="G16" s="574" t="s">
        <v>14029</v>
      </c>
      <c r="H16" s="242"/>
      <c r="I16" s="1233"/>
      <c r="J16" s="242"/>
      <c r="K16" s="238"/>
      <c r="L16" s="1232">
        <f t="shared" si="2"/>
        <v>0</v>
      </c>
      <c r="M16" s="238"/>
      <c r="N16" s="285">
        <f t="shared" si="3"/>
        <v>0</v>
      </c>
      <c r="O16" s="238"/>
      <c r="Q16" s="792" t="s">
        <v>14028</v>
      </c>
      <c r="R16" s="1357" t="s">
        <v>14030</v>
      </c>
    </row>
    <row r="17" spans="1:18" ht="15.75" customHeight="1" thickBot="1">
      <c r="A17" s="242"/>
      <c r="B17" s="453" t="s">
        <v>14031</v>
      </c>
      <c r="C17" s="332" t="s">
        <v>12574</v>
      </c>
      <c r="D17" s="332">
        <v>3</v>
      </c>
      <c r="E17" s="1665">
        <f>IFERROR(SUM(E15:E16),0)</f>
        <v>239570.63699999999</v>
      </c>
      <c r="F17" s="1242"/>
      <c r="G17" s="813" t="s">
        <v>14032</v>
      </c>
      <c r="H17" s="242"/>
      <c r="I17" s="1237"/>
      <c r="J17" s="242"/>
      <c r="K17" s="238"/>
      <c r="M17" s="238"/>
      <c r="O17" s="238"/>
      <c r="Q17" s="453" t="s">
        <v>14031</v>
      </c>
      <c r="R17" s="807" t="s">
        <v>14033</v>
      </c>
    </row>
    <row r="18" spans="1:18" ht="16.2" thickTop="1" thickBot="1">
      <c r="A18" s="242"/>
      <c r="B18" s="242"/>
      <c r="C18" s="242"/>
      <c r="D18" s="242"/>
      <c r="E18" s="242"/>
      <c r="F18" s="242"/>
      <c r="G18" s="242"/>
      <c r="H18" s="242"/>
      <c r="I18" s="242"/>
      <c r="J18" s="242"/>
    </row>
    <row r="19" spans="1:18" ht="16.8" thickTop="1" thickBot="1">
      <c r="A19" s="242"/>
      <c r="B19" s="393" t="s">
        <v>14034</v>
      </c>
      <c r="C19" s="482"/>
      <c r="D19" s="482"/>
      <c r="E19" s="482"/>
      <c r="F19" s="1242"/>
      <c r="G19" s="482"/>
      <c r="H19" s="242"/>
      <c r="I19" s="242"/>
      <c r="J19" s="242"/>
      <c r="Q19" s="393" t="s">
        <v>14034</v>
      </c>
    </row>
    <row r="20" spans="1:18" ht="30.6" thickTop="1">
      <c r="A20" s="242"/>
      <c r="B20" s="814" t="s">
        <v>14035</v>
      </c>
      <c r="C20" s="318" t="s">
        <v>14036</v>
      </c>
      <c r="D20" s="318">
        <v>3</v>
      </c>
      <c r="E20" s="1753">
        <v>0</v>
      </c>
      <c r="F20" s="1242"/>
      <c r="G20" s="2459" t="s">
        <v>14037</v>
      </c>
      <c r="H20" s="242"/>
      <c r="I20" s="2340" t="s">
        <v>18584</v>
      </c>
      <c r="J20" s="242"/>
      <c r="L20" s="1232">
        <f t="shared" ref="L20" si="4">IF( SUM( N20:N20 ) = 0, 0, $N$5 )</f>
        <v>0</v>
      </c>
      <c r="M20" s="238"/>
      <c r="N20" s="285">
        <f t="shared" ref="N20" si="5" xml:space="preserve"> IF( ISNUMBER(E20 ), 0, 1 )</f>
        <v>0</v>
      </c>
      <c r="Q20" s="814" t="s">
        <v>14035</v>
      </c>
      <c r="R20" s="1185" t="s">
        <v>14038</v>
      </c>
    </row>
    <row r="21" spans="1:18" ht="30">
      <c r="A21" s="242"/>
      <c r="B21" s="792" t="s">
        <v>14039</v>
      </c>
      <c r="C21" s="325" t="s">
        <v>4843</v>
      </c>
      <c r="D21" s="325">
        <v>0</v>
      </c>
      <c r="E21" s="2648">
        <v>0</v>
      </c>
      <c r="F21" s="1242"/>
      <c r="G21" s="2460" t="s">
        <v>14040</v>
      </c>
      <c r="H21" s="242"/>
      <c r="I21" s="2331" t="s">
        <v>18584</v>
      </c>
      <c r="J21" s="242"/>
      <c r="L21" s="1232">
        <f>IF( SUM( N21:N21 ) = 0, 0, $N$5 )</f>
        <v>0</v>
      </c>
      <c r="M21" s="238"/>
      <c r="N21" s="285">
        <f xml:space="preserve"> IF( ISNUMBER(E21 ), 0, 1 )</f>
        <v>0</v>
      </c>
      <c r="Q21" s="792" t="s">
        <v>14039</v>
      </c>
      <c r="R21" s="1357" t="s">
        <v>14041</v>
      </c>
    </row>
    <row r="22" spans="1:18" ht="30">
      <c r="A22" s="242"/>
      <c r="B22" s="2641" t="s">
        <v>18525</v>
      </c>
      <c r="C22" s="325" t="s">
        <v>13312</v>
      </c>
      <c r="D22" s="325">
        <v>3</v>
      </c>
      <c r="E22" s="794">
        <v>0</v>
      </c>
      <c r="F22" s="1242"/>
      <c r="G22" s="2461" t="s">
        <v>14042</v>
      </c>
      <c r="H22" s="242"/>
      <c r="I22" s="2331" t="s">
        <v>18584</v>
      </c>
      <c r="J22" s="242"/>
      <c r="L22" s="1232">
        <f t="shared" ref="L22" si="6">IF( SUM( N22:N22 ) = 0, 0, $N$5 )</f>
        <v>0</v>
      </c>
      <c r="M22" s="238"/>
      <c r="N22" s="285">
        <f t="shared" ref="N22" si="7" xml:space="preserve"> IF( ISNUMBER(E22 ), 0, 1 )</f>
        <v>0</v>
      </c>
      <c r="Q22" s="792" t="s">
        <v>14043</v>
      </c>
      <c r="R22" s="1357" t="s">
        <v>14044</v>
      </c>
    </row>
    <row r="23" spans="1:18" ht="30">
      <c r="A23" s="242"/>
      <c r="B23" s="2641" t="s">
        <v>18526</v>
      </c>
      <c r="C23" s="325" t="s">
        <v>13312</v>
      </c>
      <c r="D23" s="325">
        <v>3</v>
      </c>
      <c r="E23" s="794">
        <v>0</v>
      </c>
      <c r="F23" s="1242"/>
      <c r="G23" s="2462" t="s">
        <v>14045</v>
      </c>
      <c r="H23" s="242"/>
      <c r="I23" s="2331" t="s">
        <v>18584</v>
      </c>
      <c r="J23" s="242"/>
      <c r="L23" s="1232">
        <f t="shared" ref="L23:L31" si="8">IF( SUM( N23:N23 ) = 0, 0, $N$5 )</f>
        <v>0</v>
      </c>
      <c r="M23" s="238"/>
      <c r="N23" s="285">
        <f t="shared" ref="N23:N31" si="9" xml:space="preserve"> IF( ISNUMBER(E23 ), 0, 1 )</f>
        <v>0</v>
      </c>
      <c r="Q23" s="792" t="s">
        <v>14046</v>
      </c>
      <c r="R23" s="1357" t="s">
        <v>14047</v>
      </c>
    </row>
    <row r="24" spans="1:18" ht="30">
      <c r="A24" s="242"/>
      <c r="B24" s="2641" t="s">
        <v>14048</v>
      </c>
      <c r="C24" s="325" t="s">
        <v>13312</v>
      </c>
      <c r="D24" s="325">
        <v>3</v>
      </c>
      <c r="E24" s="794">
        <v>0</v>
      </c>
      <c r="F24" s="1242"/>
      <c r="G24" s="2462" t="s">
        <v>14049</v>
      </c>
      <c r="H24" s="242"/>
      <c r="I24" s="2331" t="s">
        <v>18584</v>
      </c>
      <c r="J24" s="242"/>
      <c r="L24" s="1232">
        <f t="shared" si="8"/>
        <v>0</v>
      </c>
      <c r="M24" s="238"/>
      <c r="N24" s="285">
        <f t="shared" si="9"/>
        <v>0</v>
      </c>
      <c r="Q24" s="792" t="s">
        <v>14048</v>
      </c>
      <c r="R24" s="1357" t="s">
        <v>14050</v>
      </c>
    </row>
    <row r="25" spans="1:18" ht="30">
      <c r="A25" s="242"/>
      <c r="B25" s="792" t="s">
        <v>14051</v>
      </c>
      <c r="C25" s="325" t="s">
        <v>13312</v>
      </c>
      <c r="D25" s="325">
        <v>3</v>
      </c>
      <c r="E25" s="794">
        <v>0</v>
      </c>
      <c r="F25" s="1242"/>
      <c r="G25" s="2462" t="s">
        <v>14052</v>
      </c>
      <c r="H25" s="242"/>
      <c r="I25" s="2331" t="s">
        <v>18584</v>
      </c>
      <c r="J25" s="242"/>
      <c r="L25" s="1232">
        <f t="shared" si="8"/>
        <v>0</v>
      </c>
      <c r="M25" s="238"/>
      <c r="N25" s="285">
        <f t="shared" si="9"/>
        <v>0</v>
      </c>
      <c r="Q25" s="792" t="s">
        <v>14051</v>
      </c>
      <c r="R25" s="1357" t="s">
        <v>14053</v>
      </c>
    </row>
    <row r="26" spans="1:18" ht="30">
      <c r="A26" s="242"/>
      <c r="B26" s="792" t="s">
        <v>14054</v>
      </c>
      <c r="C26" s="325" t="s">
        <v>4843</v>
      </c>
      <c r="D26" s="325">
        <v>0</v>
      </c>
      <c r="E26" s="2648">
        <v>0</v>
      </c>
      <c r="F26" s="1242"/>
      <c r="G26" s="2462" t="s">
        <v>14055</v>
      </c>
      <c r="H26" s="242"/>
      <c r="I26" s="2331" t="s">
        <v>18584</v>
      </c>
      <c r="J26" s="242"/>
      <c r="L26" s="1232">
        <f t="shared" si="8"/>
        <v>0</v>
      </c>
      <c r="M26" s="238"/>
      <c r="N26" s="285">
        <f t="shared" si="9"/>
        <v>0</v>
      </c>
      <c r="Q26" s="792" t="s">
        <v>14054</v>
      </c>
      <c r="R26" s="1357" t="s">
        <v>14056</v>
      </c>
    </row>
    <row r="27" spans="1:18" ht="45">
      <c r="A27" s="242"/>
      <c r="B27" s="792" t="s">
        <v>14057</v>
      </c>
      <c r="C27" s="325" t="s">
        <v>4843</v>
      </c>
      <c r="D27" s="325">
        <v>0</v>
      </c>
      <c r="E27" s="2648">
        <v>0</v>
      </c>
      <c r="F27" s="1242"/>
      <c r="G27" s="2462" t="s">
        <v>14058</v>
      </c>
      <c r="H27" s="242"/>
      <c r="I27" s="2331" t="s">
        <v>18584</v>
      </c>
      <c r="J27" s="242"/>
      <c r="L27" s="1232">
        <f t="shared" si="8"/>
        <v>0</v>
      </c>
      <c r="M27" s="238"/>
      <c r="N27" s="285">
        <f t="shared" si="9"/>
        <v>0</v>
      </c>
      <c r="Q27" s="792" t="s">
        <v>14057</v>
      </c>
      <c r="R27" s="1357" t="s">
        <v>14059</v>
      </c>
    </row>
    <row r="28" spans="1:18" ht="30">
      <c r="A28" s="242"/>
      <c r="B28" s="792" t="s">
        <v>14060</v>
      </c>
      <c r="C28" s="325" t="s">
        <v>4843</v>
      </c>
      <c r="D28" s="325">
        <v>0</v>
      </c>
      <c r="E28" s="2648">
        <v>0</v>
      </c>
      <c r="F28" s="1242"/>
      <c r="G28" s="2462" t="s">
        <v>14061</v>
      </c>
      <c r="H28" s="242"/>
      <c r="I28" s="2331" t="s">
        <v>18584</v>
      </c>
      <c r="J28" s="242"/>
      <c r="L28" s="1232">
        <f t="shared" si="8"/>
        <v>0</v>
      </c>
      <c r="M28" s="238"/>
      <c r="N28" s="285">
        <f t="shared" si="9"/>
        <v>0</v>
      </c>
      <c r="Q28" s="792" t="s">
        <v>14060</v>
      </c>
      <c r="R28" s="1357" t="s">
        <v>14062</v>
      </c>
    </row>
    <row r="29" spans="1:18" ht="30">
      <c r="A29" s="242"/>
      <c r="B29" s="792" t="s">
        <v>14063</v>
      </c>
      <c r="C29" s="325" t="s">
        <v>4843</v>
      </c>
      <c r="D29" s="325">
        <v>0</v>
      </c>
      <c r="E29" s="2648">
        <v>0</v>
      </c>
      <c r="F29" s="1242"/>
      <c r="G29" s="2462" t="s">
        <v>14064</v>
      </c>
      <c r="H29" s="242"/>
      <c r="I29" s="2331" t="s">
        <v>18584</v>
      </c>
      <c r="J29" s="242"/>
      <c r="L29" s="1232">
        <f>IF( SUM( N29:N29 ) = 0, 0, $N$5 )</f>
        <v>0</v>
      </c>
      <c r="M29" s="238"/>
      <c r="N29" s="285">
        <f xml:space="preserve"> IF( ISNUMBER(E29 ), 0, 1 )</f>
        <v>0</v>
      </c>
      <c r="Q29" s="792" t="s">
        <v>14063</v>
      </c>
      <c r="R29" s="1357" t="s">
        <v>14065</v>
      </c>
    </row>
    <row r="30" spans="1:18" ht="45.6" customHeight="1">
      <c r="A30" s="242"/>
      <c r="B30" s="792" t="s">
        <v>14066</v>
      </c>
      <c r="C30" s="325" t="s">
        <v>4843</v>
      </c>
      <c r="D30" s="325">
        <v>0</v>
      </c>
      <c r="E30" s="2648">
        <v>1</v>
      </c>
      <c r="F30" s="1242"/>
      <c r="G30" s="2462" t="s">
        <v>14067</v>
      </c>
      <c r="H30" s="242"/>
      <c r="I30" s="2331" t="s">
        <v>18585</v>
      </c>
      <c r="J30" s="242"/>
      <c r="L30" s="1232">
        <f t="shared" si="8"/>
        <v>0</v>
      </c>
      <c r="M30" s="238"/>
      <c r="N30" s="285">
        <f t="shared" si="9"/>
        <v>0</v>
      </c>
      <c r="Q30" s="792" t="s">
        <v>14066</v>
      </c>
      <c r="R30" s="1357" t="s">
        <v>14068</v>
      </c>
    </row>
    <row r="31" spans="1:18" ht="30">
      <c r="A31" s="242"/>
      <c r="B31" s="792" t="s">
        <v>14069</v>
      </c>
      <c r="C31" s="325" t="s">
        <v>4843</v>
      </c>
      <c r="D31" s="325">
        <v>0</v>
      </c>
      <c r="E31" s="2648">
        <v>0</v>
      </c>
      <c r="F31" s="1242"/>
      <c r="G31" s="2462" t="s">
        <v>14070</v>
      </c>
      <c r="H31" s="242"/>
      <c r="I31" s="2657" t="s">
        <v>18584</v>
      </c>
      <c r="J31" s="242"/>
      <c r="L31" s="1232">
        <f t="shared" si="8"/>
        <v>0</v>
      </c>
      <c r="M31" s="238"/>
      <c r="N31" s="285">
        <f t="shared" si="9"/>
        <v>0</v>
      </c>
      <c r="Q31" s="792" t="s">
        <v>14069</v>
      </c>
      <c r="R31" s="1357" t="s">
        <v>14071</v>
      </c>
    </row>
    <row r="32" spans="1:18" ht="15.6">
      <c r="A32" s="242"/>
      <c r="B32" s="792" t="s">
        <v>14072</v>
      </c>
      <c r="C32" s="325" t="s">
        <v>14073</v>
      </c>
      <c r="D32" s="325">
        <v>0</v>
      </c>
      <c r="E32" s="2648">
        <v>11500</v>
      </c>
      <c r="F32" s="1242"/>
      <c r="G32" s="2462" t="s">
        <v>14074</v>
      </c>
      <c r="H32" s="242"/>
      <c r="I32" s="2321" t="s">
        <v>18586</v>
      </c>
      <c r="J32" s="242"/>
      <c r="L32" s="2325">
        <f>IF( SUM( N32:N32 ) = 0, 0, $N$5 )</f>
        <v>0</v>
      </c>
      <c r="M32" s="238"/>
      <c r="N32" s="285">
        <f xml:space="preserve"> IF( ISNUMBER(E32 ), 0, 1 )</f>
        <v>0</v>
      </c>
      <c r="Q32" s="792" t="s">
        <v>14072</v>
      </c>
      <c r="R32" s="1357" t="s">
        <v>14075</v>
      </c>
    </row>
    <row r="33" spans="1:18" ht="30">
      <c r="A33" s="242"/>
      <c r="B33" s="792" t="s">
        <v>14076</v>
      </c>
      <c r="C33" s="325" t="s">
        <v>4843</v>
      </c>
      <c r="D33" s="325">
        <v>0</v>
      </c>
      <c r="E33" s="2648">
        <v>0</v>
      </c>
      <c r="F33" s="1242"/>
      <c r="G33" s="2462" t="s">
        <v>14077</v>
      </c>
      <c r="H33" s="242"/>
      <c r="I33" s="2321" t="s">
        <v>18584</v>
      </c>
      <c r="J33" s="242"/>
      <c r="L33" s="1232">
        <f>IF( SUM( N33:N33 ) = 0, 0, $N$5 )</f>
        <v>0</v>
      </c>
      <c r="M33" s="238"/>
      <c r="N33" s="285">
        <f xml:space="preserve"> IF( ISNUMBER(E33 ), 0, 1 )</f>
        <v>0</v>
      </c>
      <c r="Q33" s="792" t="s">
        <v>14076</v>
      </c>
      <c r="R33" s="1357" t="s">
        <v>14078</v>
      </c>
    </row>
    <row r="34" spans="1:18" ht="30">
      <c r="A34" s="242"/>
      <c r="B34" s="792" t="s">
        <v>14079</v>
      </c>
      <c r="C34" s="325" t="s">
        <v>4843</v>
      </c>
      <c r="D34" s="325">
        <v>0</v>
      </c>
      <c r="E34" s="2648">
        <v>2</v>
      </c>
      <c r="F34" s="1242"/>
      <c r="G34" s="2462" t="s">
        <v>14080</v>
      </c>
      <c r="H34" s="242"/>
      <c r="I34" s="2331"/>
      <c r="J34" s="242"/>
      <c r="L34" s="1232">
        <f>IF( SUM( N34:N34 ) = 0, 0, $N$5 )</f>
        <v>0</v>
      </c>
      <c r="M34" s="238"/>
      <c r="N34" s="285">
        <f xml:space="preserve"> IF( ISNUMBER(E34 ), 0, 1 )</f>
        <v>0</v>
      </c>
      <c r="Q34" s="792" t="s">
        <v>14079</v>
      </c>
      <c r="R34" s="1357" t="s">
        <v>14081</v>
      </c>
    </row>
    <row r="35" spans="1:18" ht="30">
      <c r="A35" s="242"/>
      <c r="B35" s="792" t="s">
        <v>14082</v>
      </c>
      <c r="C35" s="325" t="s">
        <v>4843</v>
      </c>
      <c r="D35" s="325">
        <v>0</v>
      </c>
      <c r="E35" s="2648">
        <v>0</v>
      </c>
      <c r="F35" s="1242"/>
      <c r="G35" s="2462" t="s">
        <v>14083</v>
      </c>
      <c r="H35" s="242"/>
      <c r="I35" s="2331" t="s">
        <v>18587</v>
      </c>
      <c r="J35" s="242"/>
      <c r="L35" s="1232">
        <f>IF( SUM( N35:N35 ) = 0, 0, $N$5 )</f>
        <v>0</v>
      </c>
      <c r="M35" s="238"/>
      <c r="N35" s="285">
        <f xml:space="preserve"> IF( ISNUMBER(E35 ), 0, 1 )</f>
        <v>0</v>
      </c>
      <c r="Q35" s="792" t="s">
        <v>14082</v>
      </c>
      <c r="R35" s="1357" t="s">
        <v>17716</v>
      </c>
    </row>
    <row r="36" spans="1:18" ht="30.6" thickBot="1">
      <c r="A36" s="242"/>
      <c r="B36" s="453" t="s">
        <v>14084</v>
      </c>
      <c r="C36" s="332" t="s">
        <v>4843</v>
      </c>
      <c r="D36" s="332">
        <v>0</v>
      </c>
      <c r="E36" s="2458">
        <v>0</v>
      </c>
      <c r="F36" s="1242"/>
      <c r="G36" s="2577" t="s">
        <v>14085</v>
      </c>
      <c r="H36" s="242"/>
      <c r="I36" s="2329" t="s">
        <v>18584</v>
      </c>
      <c r="J36" s="242"/>
      <c r="L36" s="1232">
        <f>IF( SUM( N36:N36 ) = 0, 0, $N$5 )</f>
        <v>0</v>
      </c>
      <c r="M36" s="238"/>
      <c r="N36" s="285">
        <f xml:space="preserve"> IF( ISNUMBER(E36 ), 0, 1 )</f>
        <v>0</v>
      </c>
      <c r="Q36" s="453" t="s">
        <v>14084</v>
      </c>
      <c r="R36" s="1267" t="s">
        <v>17717</v>
      </c>
    </row>
    <row r="37" spans="1:18" ht="14.4"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O16" zoomScaleNormal="100" zoomScaleSheetLayoutView="55" workbookViewId="0">
      <selection activeCell="AA47" sqref="AA47"/>
    </sheetView>
  </sheetViews>
  <sheetFormatPr defaultColWidth="9" defaultRowHeight="13.8"/>
  <cols>
    <col min="1" max="1" width="9" style="219"/>
    <col min="2" max="2" width="22.69921875" style="219" bestFit="1" customWidth="1"/>
    <col min="3" max="4" width="9.19921875" style="219" customWidth="1"/>
    <col min="5" max="19" width="10.19921875" style="219" customWidth="1"/>
    <col min="20" max="20" width="1.59765625" style="219" customWidth="1"/>
    <col min="21" max="21" width="23.19921875" style="219" customWidth="1"/>
    <col min="22" max="22" width="12.69921875" style="219" customWidth="1"/>
    <col min="23" max="23" width="12.796875" style="219" customWidth="1"/>
    <col min="24" max="29" width="15.69921875" style="219" customWidth="1"/>
    <col min="30" max="30" width="13.09765625" style="219" customWidth="1"/>
    <col min="31" max="31" width="1.09765625" style="219" customWidth="1"/>
    <col min="32" max="32" width="9.5" style="219" bestFit="1" customWidth="1"/>
    <col min="33" max="34" width="1.59765625" style="219" customWidth="1"/>
    <col min="35" max="35" width="25" style="219" customWidth="1"/>
    <col min="36" max="36" width="1.59765625" style="219" customWidth="1"/>
    <col min="37" max="58" width="10.19921875" style="219" hidden="1" customWidth="1"/>
    <col min="59" max="64" width="7.59765625" style="219" customWidth="1"/>
    <col min="65" max="16384" width="9" style="219"/>
  </cols>
  <sheetData>
    <row r="1" spans="2:64" ht="22.8">
      <c r="B1" s="1229" t="s">
        <v>14086</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38"/>
      <c r="AF1" s="2938"/>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Dŵr Cymru</v>
      </c>
      <c r="C2" s="529"/>
      <c r="D2" s="529"/>
      <c r="E2" s="529"/>
      <c r="F2" s="529"/>
      <c r="G2" s="528"/>
      <c r="H2" s="261"/>
      <c r="K2" s="1229"/>
      <c r="L2" s="529"/>
      <c r="M2" s="529"/>
      <c r="N2" s="529"/>
      <c r="O2" s="528"/>
      <c r="P2" s="261"/>
      <c r="S2" s="1229"/>
      <c r="T2" s="529"/>
      <c r="U2" s="529"/>
      <c r="V2" s="529"/>
      <c r="W2" s="528"/>
      <c r="X2" s="261"/>
      <c r="Y2" s="261"/>
      <c r="Z2" s="261"/>
      <c r="AA2" s="261"/>
      <c r="AB2" s="261"/>
      <c r="AC2" s="261"/>
      <c r="AE2" s="2938"/>
      <c r="AF2" s="2938"/>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29" t="s">
        <v>14087</v>
      </c>
      <c r="C3" s="2829"/>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938"/>
      <c r="AF3" s="2938"/>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2" thickBot="1">
      <c r="B4" s="1359"/>
      <c r="C4" s="1359"/>
      <c r="D4" s="1359"/>
      <c r="E4" s="1359"/>
      <c r="F4" s="1359"/>
      <c r="G4" s="1359"/>
      <c r="H4" s="1359"/>
      <c r="I4" s="1359"/>
      <c r="J4" s="1359"/>
      <c r="K4" s="1359"/>
      <c r="L4" s="1359"/>
      <c r="M4" s="1358"/>
      <c r="N4" s="1358"/>
      <c r="O4" s="1358"/>
      <c r="P4" s="1358"/>
      <c r="Q4" s="1358"/>
      <c r="R4" s="1358"/>
      <c r="S4" s="1358"/>
      <c r="T4" s="2938"/>
      <c r="U4" s="2938"/>
      <c r="V4" s="1358"/>
      <c r="W4" s="1358"/>
      <c r="X4" s="1358"/>
      <c r="Y4" s="1358"/>
      <c r="Z4" s="1358"/>
      <c r="AA4" s="1358"/>
      <c r="AB4" s="1358"/>
      <c r="AC4" s="1358"/>
      <c r="AD4" s="1358"/>
      <c r="AE4" s="2938"/>
      <c r="AF4" s="2938"/>
      <c r="AG4" s="242"/>
      <c r="AH4" s="238"/>
      <c r="AJ4" s="238"/>
      <c r="AK4" s="2917" t="s">
        <v>4201</v>
      </c>
      <c r="AL4" s="2917"/>
      <c r="AM4" s="2917"/>
      <c r="AN4" s="2917"/>
      <c r="AO4" s="2917"/>
      <c r="AP4" s="2917"/>
      <c r="AQ4" s="2917"/>
      <c r="AR4" s="2917"/>
      <c r="AS4" s="2917"/>
      <c r="AT4" s="2917"/>
      <c r="AU4" s="2917"/>
      <c r="AV4" s="2917"/>
      <c r="AW4" s="2917"/>
      <c r="AX4" s="2917"/>
      <c r="AY4" s="2917"/>
      <c r="AZ4" s="2917"/>
      <c r="BA4" s="2917"/>
      <c r="BB4" s="2917"/>
      <c r="BC4" s="2917"/>
      <c r="BD4" s="2917"/>
      <c r="BE4" s="2917"/>
      <c r="BF4" s="238"/>
      <c r="BG4" s="1358"/>
      <c r="BH4" s="1358"/>
      <c r="BI4" s="1358"/>
      <c r="BJ4" s="1358"/>
      <c r="BK4" s="1358"/>
      <c r="BL4" s="1358"/>
    </row>
    <row r="5" spans="2:64" ht="16.8" thickTop="1" thickBot="1">
      <c r="B5" s="87"/>
      <c r="C5" s="87"/>
      <c r="D5" s="87"/>
      <c r="E5" s="2932" t="s">
        <v>4701</v>
      </c>
      <c r="F5" s="2933"/>
      <c r="G5" s="2933"/>
      <c r="H5" s="2933"/>
      <c r="I5" s="2933"/>
      <c r="J5" s="2933"/>
      <c r="K5" s="2934"/>
      <c r="L5" s="87"/>
      <c r="M5" s="2932" t="s">
        <v>5460</v>
      </c>
      <c r="N5" s="2933"/>
      <c r="O5" s="2933"/>
      <c r="P5" s="2933"/>
      <c r="Q5" s="2933"/>
      <c r="R5" s="2933"/>
      <c r="S5" s="2934"/>
      <c r="T5" s="2935"/>
      <c r="U5" s="2935"/>
      <c r="V5" s="2419" t="s">
        <v>14088</v>
      </c>
      <c r="W5" s="2420" t="s">
        <v>14089</v>
      </c>
      <c r="X5" s="2420" t="s">
        <v>14090</v>
      </c>
      <c r="Y5" s="2420" t="s">
        <v>14091</v>
      </c>
      <c r="Z5" s="2420" t="s">
        <v>14092</v>
      </c>
      <c r="AA5" s="2420" t="s">
        <v>14093</v>
      </c>
      <c r="AB5" s="2420" t="s">
        <v>14094</v>
      </c>
      <c r="AC5" s="2420" t="s">
        <v>14095</v>
      </c>
      <c r="AD5" s="2421" t="s">
        <v>14096</v>
      </c>
      <c r="AE5" s="88"/>
      <c r="AF5" s="2936"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5" customHeight="1" thickTop="1" thickBot="1">
      <c r="B6" s="2463" t="s">
        <v>14097</v>
      </c>
      <c r="C6" s="2170" t="s">
        <v>4203</v>
      </c>
      <c r="D6" s="2170" t="s">
        <v>4204</v>
      </c>
      <c r="E6" s="2470" t="s">
        <v>14098</v>
      </c>
      <c r="F6" s="2470" t="s">
        <v>4135</v>
      </c>
      <c r="G6" s="2470" t="s">
        <v>632</v>
      </c>
      <c r="H6" s="2470" t="s">
        <v>13301</v>
      </c>
      <c r="I6" s="2470" t="s">
        <v>13302</v>
      </c>
      <c r="J6" s="2470" t="s">
        <v>13303</v>
      </c>
      <c r="K6" s="2471" t="s">
        <v>13304</v>
      </c>
      <c r="L6" s="81"/>
      <c r="M6" s="89" t="s">
        <v>14098</v>
      </c>
      <c r="N6" s="90" t="s">
        <v>4135</v>
      </c>
      <c r="O6" s="90" t="s">
        <v>632</v>
      </c>
      <c r="P6" s="90" t="s">
        <v>13301</v>
      </c>
      <c r="Q6" s="90" t="s">
        <v>13302</v>
      </c>
      <c r="R6" s="90" t="s">
        <v>14099</v>
      </c>
      <c r="S6" s="91" t="s">
        <v>13304</v>
      </c>
      <c r="T6" s="2935"/>
      <c r="U6" s="2935"/>
      <c r="V6" s="89" t="s">
        <v>14100</v>
      </c>
      <c r="W6" s="90" t="s">
        <v>14101</v>
      </c>
      <c r="X6" s="90" t="s">
        <v>14102</v>
      </c>
      <c r="Y6" s="90" t="s">
        <v>14103</v>
      </c>
      <c r="Z6" s="90" t="s">
        <v>14104</v>
      </c>
      <c r="AA6" s="90" t="s">
        <v>14105</v>
      </c>
      <c r="AB6" s="90" t="s">
        <v>14106</v>
      </c>
      <c r="AC6" s="90" t="s">
        <v>14107</v>
      </c>
      <c r="AD6" s="91" t="s">
        <v>14107</v>
      </c>
      <c r="AE6" s="88"/>
      <c r="AF6" s="2937"/>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39"/>
      <c r="D7" s="2939"/>
      <c r="E7" s="2939"/>
      <c r="F7" s="82"/>
      <c r="G7" s="82"/>
      <c r="H7" s="82"/>
      <c r="I7" s="82"/>
      <c r="J7" s="82"/>
      <c r="K7" s="83"/>
      <c r="L7" s="84"/>
      <c r="M7" s="88"/>
      <c r="N7" s="88"/>
      <c r="O7" s="88"/>
      <c r="P7" s="88"/>
      <c r="Q7" s="88"/>
      <c r="R7" s="88"/>
      <c r="S7" s="88"/>
      <c r="T7" s="2935"/>
      <c r="U7" s="2935"/>
      <c r="V7" s="88"/>
      <c r="W7" s="88"/>
      <c r="X7" s="88"/>
      <c r="Y7" s="88"/>
      <c r="Z7" s="88"/>
      <c r="AA7" s="88"/>
      <c r="AB7" s="88"/>
      <c r="AC7" s="88"/>
      <c r="AD7" s="88"/>
      <c r="AE7" s="2935"/>
      <c r="AF7" s="2935"/>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35"/>
      <c r="U8" s="2935"/>
      <c r="V8" s="88"/>
      <c r="W8" s="88"/>
      <c r="X8" s="88"/>
      <c r="Y8" s="88"/>
      <c r="Z8" s="88"/>
      <c r="AA8" s="88"/>
      <c r="AB8" s="88"/>
      <c r="AC8" s="88"/>
      <c r="AD8" s="88"/>
      <c r="AE8" s="2935"/>
      <c r="AF8" s="2935"/>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18797</v>
      </c>
      <c r="C9" s="94" t="s">
        <v>4215</v>
      </c>
      <c r="D9" s="94">
        <v>3</v>
      </c>
      <c r="E9" s="1624">
        <v>0</v>
      </c>
      <c r="F9" s="1624">
        <v>0.20499999999999999</v>
      </c>
      <c r="G9" s="1624">
        <v>0.10100000000000001</v>
      </c>
      <c r="H9" s="1624">
        <v>0.04</v>
      </c>
      <c r="I9" s="1624">
        <v>-2.2168075506560506E-3</v>
      </c>
      <c r="J9" s="1624">
        <v>0</v>
      </c>
      <c r="K9" s="2177">
        <v>0</v>
      </c>
      <c r="L9" s="2108"/>
      <c r="M9" s="2179">
        <v>0</v>
      </c>
      <c r="N9" s="1624">
        <v>0</v>
      </c>
      <c r="O9" s="1624">
        <v>0</v>
      </c>
      <c r="P9" s="1624">
        <v>0</v>
      </c>
      <c r="Q9" s="1624">
        <v>0</v>
      </c>
      <c r="R9" s="1624">
        <v>0</v>
      </c>
      <c r="S9" s="2177">
        <v>0</v>
      </c>
      <c r="T9" s="2109"/>
      <c r="U9" s="2110" t="s">
        <v>14108</v>
      </c>
      <c r="V9" s="1624">
        <v>4155</v>
      </c>
      <c r="W9" s="1624">
        <v>0</v>
      </c>
      <c r="X9" s="1624">
        <v>2.5</v>
      </c>
      <c r="Y9" s="2333" t="s">
        <v>18832</v>
      </c>
      <c r="Z9" s="2464" t="s">
        <v>18832</v>
      </c>
      <c r="AA9" s="2464" t="s">
        <v>8431</v>
      </c>
      <c r="AB9" s="2464" t="s">
        <v>8431</v>
      </c>
      <c r="AC9" s="2464"/>
      <c r="AD9" s="2465"/>
      <c r="AE9" s="88"/>
      <c r="AF9" s="95" t="s">
        <v>14109</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18798</v>
      </c>
      <c r="C10" s="97" t="s">
        <v>4215</v>
      </c>
      <c r="D10" s="97">
        <v>3</v>
      </c>
      <c r="E10" s="1626">
        <v>0.67600000000000005</v>
      </c>
      <c r="F10" s="1626">
        <v>4.8239999999999998</v>
      </c>
      <c r="G10" s="1626">
        <v>1.43</v>
      </c>
      <c r="H10" s="1626">
        <v>2.1999999999999999E-2</v>
      </c>
      <c r="I10" s="1626">
        <v>0</v>
      </c>
      <c r="J10" s="1626">
        <v>0</v>
      </c>
      <c r="K10" s="2178">
        <v>0</v>
      </c>
      <c r="L10" s="2108"/>
      <c r="M10" s="2180">
        <v>0</v>
      </c>
      <c r="N10" s="1626">
        <v>0.08</v>
      </c>
      <c r="O10" s="1626">
        <v>0.24399999999999999</v>
      </c>
      <c r="P10" s="1626">
        <v>0.224</v>
      </c>
      <c r="Q10" s="1626">
        <v>0.224</v>
      </c>
      <c r="R10" s="1626">
        <v>0.224</v>
      </c>
      <c r="S10" s="2178">
        <v>0</v>
      </c>
      <c r="T10" s="2109"/>
      <c r="U10" s="2111" t="s">
        <v>14108</v>
      </c>
      <c r="V10" s="1626">
        <v>10100</v>
      </c>
      <c r="W10" s="1626">
        <v>0</v>
      </c>
      <c r="X10" s="1626">
        <v>1</v>
      </c>
      <c r="Y10" s="2334" t="s">
        <v>18832</v>
      </c>
      <c r="Z10" s="2466" t="s">
        <v>18832</v>
      </c>
      <c r="AA10" s="2466" t="s">
        <v>8431</v>
      </c>
      <c r="AB10" s="2466" t="s">
        <v>8431</v>
      </c>
      <c r="AC10" s="2466"/>
      <c r="AD10" s="2467"/>
      <c r="AE10" s="88"/>
      <c r="AF10" s="98" t="s">
        <v>14110</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1</v>
      </c>
      <c r="BF10" s="238"/>
      <c r="BG10" s="1360"/>
      <c r="BH10" s="1360"/>
      <c r="BI10" s="1360"/>
      <c r="BJ10" s="1360"/>
      <c r="BK10" s="1360"/>
      <c r="BL10" s="1360"/>
    </row>
    <row r="11" spans="2:64" ht="15.75" customHeight="1">
      <c r="B11" s="96" t="s">
        <v>18799</v>
      </c>
      <c r="C11" s="97" t="s">
        <v>4215</v>
      </c>
      <c r="D11" s="97">
        <v>3</v>
      </c>
      <c r="E11" s="1626">
        <v>0</v>
      </c>
      <c r="F11" s="1626">
        <v>0</v>
      </c>
      <c r="G11" s="1626">
        <v>0</v>
      </c>
      <c r="H11" s="1626">
        <v>9.2999999999999999E-2</v>
      </c>
      <c r="I11" s="1626">
        <v>0.7371646064350833</v>
      </c>
      <c r="J11" s="1626">
        <v>2.8960908255346598</v>
      </c>
      <c r="K11" s="2178">
        <v>0</v>
      </c>
      <c r="L11" s="2108"/>
      <c r="M11" s="2180">
        <v>0</v>
      </c>
      <c r="N11" s="1626">
        <v>0</v>
      </c>
      <c r="O11" s="1626">
        <v>0</v>
      </c>
      <c r="P11" s="1626">
        <v>0</v>
      </c>
      <c r="Q11" s="1626">
        <v>0</v>
      </c>
      <c r="R11" s="1626">
        <v>0</v>
      </c>
      <c r="S11" s="2178">
        <v>0</v>
      </c>
      <c r="T11" s="2109"/>
      <c r="U11" s="2111" t="s">
        <v>14108</v>
      </c>
      <c r="V11" s="1626">
        <v>8630</v>
      </c>
      <c r="W11" s="1626">
        <v>1.25</v>
      </c>
      <c r="X11" s="1626">
        <v>0.8</v>
      </c>
      <c r="Y11" s="2334" t="s">
        <v>18832</v>
      </c>
      <c r="Z11" s="2466" t="s">
        <v>18832</v>
      </c>
      <c r="AA11" s="2466" t="s">
        <v>8431</v>
      </c>
      <c r="AB11" s="2466" t="s">
        <v>8431</v>
      </c>
      <c r="AC11" s="2466"/>
      <c r="AD11" s="2467"/>
      <c r="AE11" s="88"/>
      <c r="AF11" s="98" t="s">
        <v>14111</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18800</v>
      </c>
      <c r="C12" s="97" t="s">
        <v>4215</v>
      </c>
      <c r="D12" s="97">
        <v>3</v>
      </c>
      <c r="E12" s="1626">
        <v>0.16700000000000001</v>
      </c>
      <c r="F12" s="1626">
        <v>0.48799999999999999</v>
      </c>
      <c r="G12" s="1626">
        <v>1.9159999999999999</v>
      </c>
      <c r="H12" s="1626">
        <v>4.2999999999999997E-2</v>
      </c>
      <c r="I12" s="1626">
        <v>1.4570289116871863E-5</v>
      </c>
      <c r="J12" s="1626">
        <v>0</v>
      </c>
      <c r="K12" s="2178">
        <v>0</v>
      </c>
      <c r="L12" s="2112"/>
      <c r="M12" s="2180">
        <v>0</v>
      </c>
      <c r="N12" s="1626">
        <v>0</v>
      </c>
      <c r="O12" s="1626">
        <v>0</v>
      </c>
      <c r="P12" s="1626">
        <v>1E-3</v>
      </c>
      <c r="Q12" s="1626">
        <v>2E-3</v>
      </c>
      <c r="R12" s="1626">
        <v>2E-3</v>
      </c>
      <c r="S12" s="2178">
        <v>0</v>
      </c>
      <c r="T12" s="2109"/>
      <c r="U12" s="2111" t="s">
        <v>14108</v>
      </c>
      <c r="V12" s="1626">
        <v>0</v>
      </c>
      <c r="W12" s="1626">
        <v>0</v>
      </c>
      <c r="X12" s="1626" t="s">
        <v>8431</v>
      </c>
      <c r="Y12" s="2334" t="s">
        <v>8431</v>
      </c>
      <c r="Z12" s="2466" t="s">
        <v>18832</v>
      </c>
      <c r="AA12" s="2466">
        <v>2.1</v>
      </c>
      <c r="AB12" s="2466">
        <v>423</v>
      </c>
      <c r="AC12" s="2466"/>
      <c r="AD12" s="2467"/>
      <c r="AE12" s="88"/>
      <c r="AF12" s="98" t="s">
        <v>14112</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1</v>
      </c>
      <c r="BE12" s="285">
        <f t="shared" si="16"/>
        <v>1</v>
      </c>
      <c r="BF12" s="238"/>
      <c r="BG12" s="1360"/>
      <c r="BH12" s="1360"/>
      <c r="BI12" s="1360"/>
      <c r="BJ12" s="1360"/>
      <c r="BK12" s="1360"/>
      <c r="BL12" s="1360"/>
    </row>
    <row r="13" spans="2:64" ht="15.75" customHeight="1">
      <c r="B13" s="96" t="s">
        <v>18801</v>
      </c>
      <c r="C13" s="97" t="s">
        <v>4215</v>
      </c>
      <c r="D13" s="97">
        <v>3</v>
      </c>
      <c r="E13" s="1626">
        <v>0</v>
      </c>
      <c r="F13" s="1626">
        <v>0</v>
      </c>
      <c r="G13" s="1626">
        <v>0</v>
      </c>
      <c r="H13" s="1626">
        <v>7.0000000000000007E-2</v>
      </c>
      <c r="I13" s="1626">
        <v>0.12721219146598722</v>
      </c>
      <c r="J13" s="1626">
        <v>0</v>
      </c>
      <c r="K13" s="2178">
        <v>0</v>
      </c>
      <c r="L13" s="2112"/>
      <c r="M13" s="2180">
        <v>0</v>
      </c>
      <c r="N13" s="1626">
        <v>0</v>
      </c>
      <c r="O13" s="1626">
        <v>0</v>
      </c>
      <c r="P13" s="1626">
        <v>0</v>
      </c>
      <c r="Q13" s="1626">
        <v>0</v>
      </c>
      <c r="R13" s="1626">
        <v>0</v>
      </c>
      <c r="S13" s="2178">
        <v>0</v>
      </c>
      <c r="T13" s="2109"/>
      <c r="U13" s="2111" t="s">
        <v>14108</v>
      </c>
      <c r="V13" s="1626">
        <v>10037</v>
      </c>
      <c r="W13" s="1626">
        <v>1</v>
      </c>
      <c r="X13" s="1626">
        <v>0.5</v>
      </c>
      <c r="Y13" s="2334" t="s">
        <v>18832</v>
      </c>
      <c r="Z13" s="2466" t="s">
        <v>18832</v>
      </c>
      <c r="AA13" s="2466" t="s">
        <v>8431</v>
      </c>
      <c r="AB13" s="2466" t="s">
        <v>8431</v>
      </c>
      <c r="AC13" s="2466"/>
      <c r="AD13" s="2467"/>
      <c r="AE13" s="88"/>
      <c r="AF13" s="98" t="s">
        <v>14113</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1</v>
      </c>
      <c r="BF13" s="238"/>
      <c r="BG13" s="1360"/>
      <c r="BH13" s="1360"/>
      <c r="BI13" s="1360"/>
      <c r="BJ13" s="1360"/>
      <c r="BK13" s="1360"/>
      <c r="BL13" s="1360"/>
    </row>
    <row r="14" spans="2:64" ht="15.75" customHeight="1">
      <c r="B14" s="96" t="s">
        <v>18802</v>
      </c>
      <c r="C14" s="97" t="s">
        <v>4215</v>
      </c>
      <c r="D14" s="97">
        <v>3</v>
      </c>
      <c r="E14" s="1626">
        <v>0.151</v>
      </c>
      <c r="F14" s="1626">
        <v>1.05</v>
      </c>
      <c r="G14" s="1626">
        <v>3.7269999999999999</v>
      </c>
      <c r="H14" s="1626">
        <v>0.50800000000000001</v>
      </c>
      <c r="I14" s="1626">
        <v>-0.26815112899471161</v>
      </c>
      <c r="J14" s="1626">
        <v>3.8582922713822909E-3</v>
      </c>
      <c r="K14" s="2178">
        <v>0</v>
      </c>
      <c r="L14" s="2112"/>
      <c r="M14" s="2180">
        <v>0</v>
      </c>
      <c r="N14" s="1626">
        <v>0</v>
      </c>
      <c r="O14" s="1626">
        <v>0</v>
      </c>
      <c r="P14" s="1626">
        <v>8.2000000000000003E-2</v>
      </c>
      <c r="Q14" s="1626">
        <v>9.9000000000000005E-2</v>
      </c>
      <c r="R14" s="1626">
        <v>9.9000000000000005E-2</v>
      </c>
      <c r="S14" s="2178">
        <v>0</v>
      </c>
      <c r="T14" s="2109"/>
      <c r="U14" s="2111" t="s">
        <v>14108</v>
      </c>
      <c r="V14" s="1626">
        <v>2671</v>
      </c>
      <c r="W14" s="1626">
        <v>0</v>
      </c>
      <c r="X14" s="1626">
        <v>1</v>
      </c>
      <c r="Y14" s="2334" t="s">
        <v>18832</v>
      </c>
      <c r="Z14" s="2466" t="s">
        <v>18832</v>
      </c>
      <c r="AA14" s="2466" t="s">
        <v>8431</v>
      </c>
      <c r="AB14" s="2466" t="s">
        <v>8431</v>
      </c>
      <c r="AC14" s="2466"/>
      <c r="AD14" s="2467"/>
      <c r="AE14" s="88"/>
      <c r="AF14" s="98" t="s">
        <v>14114</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1</v>
      </c>
      <c r="BF14" s="238"/>
      <c r="BG14" s="1360"/>
      <c r="BH14" s="1360"/>
      <c r="BI14" s="1360"/>
      <c r="BJ14" s="1360"/>
      <c r="BK14" s="1360"/>
      <c r="BL14" s="1360"/>
    </row>
    <row r="15" spans="2:64" ht="15.75" customHeight="1">
      <c r="B15" s="96" t="s">
        <v>18803</v>
      </c>
      <c r="C15" s="97" t="s">
        <v>4215</v>
      </c>
      <c r="D15" s="97">
        <v>3</v>
      </c>
      <c r="E15" s="1626">
        <v>0</v>
      </c>
      <c r="F15" s="1626">
        <v>0.183</v>
      </c>
      <c r="G15" s="1626">
        <v>0.17699999999999999</v>
      </c>
      <c r="H15" s="1626">
        <v>0.68200000000000005</v>
      </c>
      <c r="I15" s="1626">
        <v>0.31603723951817009</v>
      </c>
      <c r="J15" s="1626">
        <v>6.0080673260915889</v>
      </c>
      <c r="K15" s="2178">
        <v>0</v>
      </c>
      <c r="L15" s="2112"/>
      <c r="M15" s="2180">
        <v>0</v>
      </c>
      <c r="N15" s="1626">
        <v>0</v>
      </c>
      <c r="O15" s="1626">
        <v>0</v>
      </c>
      <c r="P15" s="1626">
        <v>0</v>
      </c>
      <c r="Q15" s="1626">
        <v>0</v>
      </c>
      <c r="R15" s="1626">
        <v>0</v>
      </c>
      <c r="S15" s="2178">
        <v>0</v>
      </c>
      <c r="T15" s="2109"/>
      <c r="U15" s="2111" t="s">
        <v>14108</v>
      </c>
      <c r="V15" s="1626">
        <v>3133</v>
      </c>
      <c r="W15" s="1626">
        <v>0</v>
      </c>
      <c r="X15" s="1626">
        <v>2</v>
      </c>
      <c r="Y15" s="2334" t="s">
        <v>18832</v>
      </c>
      <c r="Z15" s="2466" t="s">
        <v>18832</v>
      </c>
      <c r="AA15" s="2466" t="s">
        <v>8431</v>
      </c>
      <c r="AB15" s="2466" t="s">
        <v>8431</v>
      </c>
      <c r="AC15" s="2466"/>
      <c r="AD15" s="2467"/>
      <c r="AE15" s="88"/>
      <c r="AF15" s="98" t="s">
        <v>14115</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1</v>
      </c>
      <c r="BF15" s="238"/>
      <c r="BG15" s="1360"/>
      <c r="BH15" s="1360"/>
      <c r="BI15" s="1360"/>
      <c r="BJ15" s="1360"/>
      <c r="BK15" s="1360"/>
      <c r="BL15" s="1360"/>
    </row>
    <row r="16" spans="2:64" ht="15.75" customHeight="1">
      <c r="B16" s="96" t="s">
        <v>18804</v>
      </c>
      <c r="C16" s="97" t="s">
        <v>4215</v>
      </c>
      <c r="D16" s="97">
        <v>3</v>
      </c>
      <c r="E16" s="1626">
        <v>3.484</v>
      </c>
      <c r="F16" s="1626">
        <v>0.91800000000000004</v>
      </c>
      <c r="G16" s="1626">
        <v>-3.5999999999999997E-2</v>
      </c>
      <c r="H16" s="1626">
        <v>0</v>
      </c>
      <c r="I16" s="1626">
        <v>0</v>
      </c>
      <c r="J16" s="1626">
        <v>0</v>
      </c>
      <c r="K16" s="2178">
        <v>0</v>
      </c>
      <c r="L16" s="2112"/>
      <c r="M16" s="2180">
        <v>0</v>
      </c>
      <c r="N16" s="1626">
        <v>0.159</v>
      </c>
      <c r="O16" s="1626">
        <v>0.153</v>
      </c>
      <c r="P16" s="1626">
        <v>0.14099999999999999</v>
      </c>
      <c r="Q16" s="1626">
        <v>0.14099999999999999</v>
      </c>
      <c r="R16" s="1626">
        <v>0.14099999999999999</v>
      </c>
      <c r="S16" s="2178">
        <v>0</v>
      </c>
      <c r="T16" s="2109"/>
      <c r="U16" s="2111" t="s">
        <v>14108</v>
      </c>
      <c r="V16" s="1626">
        <v>8006</v>
      </c>
      <c r="W16" s="1626">
        <v>0</v>
      </c>
      <c r="X16" s="1626">
        <v>0.5</v>
      </c>
      <c r="Y16" s="2334" t="s">
        <v>18832</v>
      </c>
      <c r="Z16" s="2466" t="s">
        <v>18832</v>
      </c>
      <c r="AA16" s="2466" t="s">
        <v>8431</v>
      </c>
      <c r="AB16" s="2466" t="s">
        <v>8431</v>
      </c>
      <c r="AC16" s="2466"/>
      <c r="AD16" s="2467"/>
      <c r="AE16" s="88"/>
      <c r="AF16" s="98" t="s">
        <v>14116</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1</v>
      </c>
      <c r="BF16" s="238"/>
      <c r="BG16" s="1360"/>
      <c r="BH16" s="1360"/>
      <c r="BI16" s="1360"/>
      <c r="BJ16" s="1360"/>
      <c r="BK16" s="1360"/>
      <c r="BL16" s="1360"/>
    </row>
    <row r="17" spans="2:64" ht="15.75" customHeight="1">
      <c r="B17" s="96" t="s">
        <v>18805</v>
      </c>
      <c r="C17" s="97" t="s">
        <v>4215</v>
      </c>
      <c r="D17" s="97">
        <v>3</v>
      </c>
      <c r="E17" s="1626">
        <v>0</v>
      </c>
      <c r="F17" s="1626">
        <v>0</v>
      </c>
      <c r="G17" s="1626">
        <v>0</v>
      </c>
      <c r="H17" s="1626">
        <v>0.109</v>
      </c>
      <c r="I17" s="1626">
        <v>0.42336950000000001</v>
      </c>
      <c r="J17" s="1626">
        <v>0.43685600000000002</v>
      </c>
      <c r="K17" s="2178">
        <v>0</v>
      </c>
      <c r="L17" s="2112"/>
      <c r="M17" s="2180">
        <v>0</v>
      </c>
      <c r="N17" s="1626">
        <v>0</v>
      </c>
      <c r="O17" s="1626">
        <v>0</v>
      </c>
      <c r="P17" s="1626">
        <v>0</v>
      </c>
      <c r="Q17" s="1626">
        <v>0</v>
      </c>
      <c r="R17" s="1626">
        <v>0</v>
      </c>
      <c r="S17" s="2178">
        <v>0</v>
      </c>
      <c r="T17" s="2109"/>
      <c r="U17" s="2111" t="s">
        <v>14108</v>
      </c>
      <c r="V17" s="1626">
        <v>353</v>
      </c>
      <c r="W17" s="1626">
        <v>0</v>
      </c>
      <c r="X17" s="1626">
        <v>0.6</v>
      </c>
      <c r="Y17" s="2334" t="s">
        <v>18832</v>
      </c>
      <c r="Z17" s="2466" t="s">
        <v>18832</v>
      </c>
      <c r="AA17" s="2466" t="s">
        <v>8431</v>
      </c>
      <c r="AB17" s="2466" t="s">
        <v>8431</v>
      </c>
      <c r="AC17" s="2466"/>
      <c r="AD17" s="2467"/>
      <c r="AE17" s="88"/>
      <c r="AF17" s="98" t="s">
        <v>14117</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1</v>
      </c>
      <c r="BF17" s="238"/>
      <c r="BG17" s="1360"/>
      <c r="BH17" s="1360"/>
      <c r="BI17" s="1360"/>
      <c r="BJ17" s="1360"/>
      <c r="BK17" s="1360"/>
      <c r="BL17" s="1360"/>
    </row>
    <row r="18" spans="2:64" ht="15.75" customHeight="1">
      <c r="B18" s="96" t="s">
        <v>18806</v>
      </c>
      <c r="C18" s="97" t="s">
        <v>4215</v>
      </c>
      <c r="D18" s="97">
        <v>3</v>
      </c>
      <c r="E18" s="1626">
        <v>0</v>
      </c>
      <c r="F18" s="1626">
        <v>0</v>
      </c>
      <c r="G18" s="1626">
        <v>0</v>
      </c>
      <c r="H18" s="1626">
        <v>0</v>
      </c>
      <c r="I18" s="1626">
        <v>0</v>
      </c>
      <c r="J18" s="1626">
        <v>0</v>
      </c>
      <c r="K18" s="2178">
        <v>0</v>
      </c>
      <c r="L18" s="2112"/>
      <c r="M18" s="2180">
        <v>0</v>
      </c>
      <c r="N18" s="1626">
        <v>0</v>
      </c>
      <c r="O18" s="1626">
        <v>0</v>
      </c>
      <c r="P18" s="1626">
        <v>0</v>
      </c>
      <c r="Q18" s="1626">
        <v>0</v>
      </c>
      <c r="R18" s="1626">
        <v>0</v>
      </c>
      <c r="S18" s="2178">
        <v>0</v>
      </c>
      <c r="T18" s="2109"/>
      <c r="U18" s="2111" t="s">
        <v>14108</v>
      </c>
      <c r="V18" s="1626" t="s">
        <v>8431</v>
      </c>
      <c r="W18" s="1626">
        <v>0</v>
      </c>
      <c r="X18" s="1626" t="s">
        <v>8431</v>
      </c>
      <c r="Y18" s="2334" t="s">
        <v>8431</v>
      </c>
      <c r="Z18" s="2466" t="s">
        <v>18832</v>
      </c>
      <c r="AA18" s="2466" t="s">
        <v>8431</v>
      </c>
      <c r="AB18" s="2466" t="s">
        <v>8431</v>
      </c>
      <c r="AC18" s="2466"/>
      <c r="AD18" s="2467"/>
      <c r="AE18" s="88"/>
      <c r="AF18" s="98" t="s">
        <v>14118</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18807</v>
      </c>
      <c r="C19" s="97" t="s">
        <v>4215</v>
      </c>
      <c r="D19" s="97">
        <v>3</v>
      </c>
      <c r="E19" s="1626">
        <v>1.2170000000000001</v>
      </c>
      <c r="F19" s="1626">
        <v>5.7000000000000002E-2</v>
      </c>
      <c r="G19" s="1626">
        <v>0</v>
      </c>
      <c r="H19" s="1626">
        <v>0</v>
      </c>
      <c r="I19" s="1626">
        <v>0</v>
      </c>
      <c r="J19" s="1626">
        <v>0</v>
      </c>
      <c r="K19" s="2178">
        <v>0</v>
      </c>
      <c r="L19" s="2112"/>
      <c r="M19" s="2180">
        <v>0</v>
      </c>
      <c r="N19" s="1626">
        <v>0</v>
      </c>
      <c r="O19" s="1626">
        <v>0</v>
      </c>
      <c r="P19" s="1626">
        <v>0</v>
      </c>
      <c r="Q19" s="1626">
        <v>0</v>
      </c>
      <c r="R19" s="1626">
        <v>0</v>
      </c>
      <c r="S19" s="2178">
        <v>0</v>
      </c>
      <c r="T19" s="2109"/>
      <c r="U19" s="2111" t="s">
        <v>14108</v>
      </c>
      <c r="V19" s="1626">
        <v>552</v>
      </c>
      <c r="W19" s="1626">
        <v>0</v>
      </c>
      <c r="X19" s="1626">
        <v>1</v>
      </c>
      <c r="Y19" s="2334" t="s">
        <v>18832</v>
      </c>
      <c r="Z19" s="2466" t="s">
        <v>18832</v>
      </c>
      <c r="AA19" s="2466" t="s">
        <v>8431</v>
      </c>
      <c r="AB19" s="2466" t="s">
        <v>8431</v>
      </c>
      <c r="AC19" s="2466"/>
      <c r="AD19" s="2467"/>
      <c r="AE19" s="88"/>
      <c r="AF19" s="98" t="s">
        <v>14119</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1</v>
      </c>
      <c r="BF19" s="238"/>
      <c r="BG19" s="1360"/>
      <c r="BH19" s="1360"/>
      <c r="BI19" s="1360"/>
      <c r="BJ19" s="1360"/>
      <c r="BK19" s="1360"/>
      <c r="BL19" s="1360"/>
    </row>
    <row r="20" spans="2:64" ht="15.75" customHeight="1">
      <c r="B20" s="96" t="s">
        <v>18808</v>
      </c>
      <c r="C20" s="97" t="s">
        <v>4215</v>
      </c>
      <c r="D20" s="97">
        <v>3</v>
      </c>
      <c r="E20" s="1626">
        <v>0</v>
      </c>
      <c r="F20" s="1626">
        <v>0</v>
      </c>
      <c r="G20" s="1626">
        <v>0</v>
      </c>
      <c r="H20" s="1626">
        <v>2.3E-2</v>
      </c>
      <c r="I20" s="1626">
        <v>0.29325530062429855</v>
      </c>
      <c r="J20" s="1626">
        <v>2.2134988238078201</v>
      </c>
      <c r="K20" s="2178">
        <v>0</v>
      </c>
      <c r="L20" s="2112"/>
      <c r="M20" s="2180">
        <v>0</v>
      </c>
      <c r="N20" s="1626">
        <v>0</v>
      </c>
      <c r="O20" s="1626">
        <v>0</v>
      </c>
      <c r="P20" s="1626">
        <v>0</v>
      </c>
      <c r="Q20" s="1626">
        <v>0</v>
      </c>
      <c r="R20" s="1626">
        <v>0</v>
      </c>
      <c r="S20" s="2178">
        <v>0</v>
      </c>
      <c r="T20" s="2109"/>
      <c r="U20" s="2111" t="s">
        <v>14108</v>
      </c>
      <c r="V20" s="1626">
        <v>314</v>
      </c>
      <c r="W20" s="1626">
        <v>0</v>
      </c>
      <c r="X20" s="1626">
        <v>3.5</v>
      </c>
      <c r="Y20" s="2334" t="s">
        <v>18832</v>
      </c>
      <c r="Z20" s="2466" t="s">
        <v>18832</v>
      </c>
      <c r="AA20" s="2466" t="s">
        <v>8431</v>
      </c>
      <c r="AB20" s="2466" t="s">
        <v>8431</v>
      </c>
      <c r="AC20" s="2466"/>
      <c r="AD20" s="2467"/>
      <c r="AE20" s="88"/>
      <c r="AF20" s="98" t="s">
        <v>14120</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1</v>
      </c>
      <c r="BF20" s="238"/>
      <c r="BG20" s="1360"/>
      <c r="BH20" s="1360"/>
      <c r="BI20" s="1360"/>
      <c r="BJ20" s="1360"/>
      <c r="BK20" s="1360"/>
      <c r="BL20" s="1360"/>
    </row>
    <row r="21" spans="2:64" ht="15.75" customHeight="1">
      <c r="B21" s="96" t="s">
        <v>18809</v>
      </c>
      <c r="C21" s="97" t="s">
        <v>4215</v>
      </c>
      <c r="D21" s="97">
        <v>3</v>
      </c>
      <c r="E21" s="1626">
        <v>2.4239999999999999</v>
      </c>
      <c r="F21" s="1626">
        <v>-0.154</v>
      </c>
      <c r="G21" s="1626">
        <v>-4.0000000000000001E-3</v>
      </c>
      <c r="H21" s="1626">
        <v>0</v>
      </c>
      <c r="I21" s="1626">
        <v>0</v>
      </c>
      <c r="J21" s="1626">
        <v>0</v>
      </c>
      <c r="K21" s="2178">
        <v>0</v>
      </c>
      <c r="L21" s="2112"/>
      <c r="M21" s="2180">
        <v>0</v>
      </c>
      <c r="N21" s="1626">
        <v>4.4999999999999998E-2</v>
      </c>
      <c r="O21" s="1626">
        <v>7.8E-2</v>
      </c>
      <c r="P21" s="1626">
        <v>7.1999999999999995E-2</v>
      </c>
      <c r="Q21" s="1626">
        <v>7.1999999999999995E-2</v>
      </c>
      <c r="R21" s="1626">
        <v>7.1999999999999995E-2</v>
      </c>
      <c r="S21" s="2178">
        <v>0</v>
      </c>
      <c r="T21" s="2109"/>
      <c r="U21" s="2111" t="s">
        <v>14108</v>
      </c>
      <c r="V21" s="1626">
        <v>753</v>
      </c>
      <c r="W21" s="1626">
        <v>0</v>
      </c>
      <c r="X21" s="1626">
        <v>2.2000000000000002</v>
      </c>
      <c r="Y21" s="2334" t="s">
        <v>18832</v>
      </c>
      <c r="Z21" s="2466" t="s">
        <v>18832</v>
      </c>
      <c r="AA21" s="2466" t="s">
        <v>8431</v>
      </c>
      <c r="AB21" s="2466" t="s">
        <v>8431</v>
      </c>
      <c r="AC21" s="2466"/>
      <c r="AD21" s="2467"/>
      <c r="AE21" s="88"/>
      <c r="AF21" s="98" t="s">
        <v>14121</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1</v>
      </c>
      <c r="BF21" s="238"/>
      <c r="BG21" s="1360"/>
      <c r="BH21" s="1360"/>
      <c r="BI21" s="1360"/>
      <c r="BJ21" s="1360"/>
      <c r="BK21" s="1360"/>
      <c r="BL21" s="1360"/>
    </row>
    <row r="22" spans="2:64" ht="15.75" customHeight="1">
      <c r="B22" s="96" t="s">
        <v>18810</v>
      </c>
      <c r="C22" s="97" t="s">
        <v>4215</v>
      </c>
      <c r="D22" s="97">
        <v>3</v>
      </c>
      <c r="E22" s="1626">
        <v>0</v>
      </c>
      <c r="F22" s="1626">
        <v>0.18</v>
      </c>
      <c r="G22" s="1626">
        <v>0.22700000000000001</v>
      </c>
      <c r="H22" s="1626">
        <v>4.3999999999999997E-2</v>
      </c>
      <c r="I22" s="1626">
        <v>0.77972636758328318</v>
      </c>
      <c r="J22" s="1626">
        <v>5.2705415084528564</v>
      </c>
      <c r="K22" s="2178">
        <v>0</v>
      </c>
      <c r="L22" s="2112"/>
      <c r="M22" s="2180">
        <v>0</v>
      </c>
      <c r="N22" s="1626">
        <v>0</v>
      </c>
      <c r="O22" s="1626">
        <v>0</v>
      </c>
      <c r="P22" s="1626">
        <v>0</v>
      </c>
      <c r="Q22" s="1626">
        <v>0</v>
      </c>
      <c r="R22" s="1626">
        <v>0</v>
      </c>
      <c r="S22" s="2178">
        <v>0</v>
      </c>
      <c r="T22" s="2109"/>
      <c r="U22" s="2111" t="s">
        <v>14108</v>
      </c>
      <c r="V22" s="1626">
        <v>430</v>
      </c>
      <c r="W22" s="1626">
        <v>0</v>
      </c>
      <c r="X22" s="1626">
        <v>2.2000000000000002</v>
      </c>
      <c r="Y22" s="2334" t="s">
        <v>18832</v>
      </c>
      <c r="Z22" s="2466" t="s">
        <v>18832</v>
      </c>
      <c r="AA22" s="2466" t="s">
        <v>8431</v>
      </c>
      <c r="AB22" s="2466" t="s">
        <v>8431</v>
      </c>
      <c r="AC22" s="2466"/>
      <c r="AD22" s="2467"/>
      <c r="AE22" s="88"/>
      <c r="AF22" s="98" t="s">
        <v>14122</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1</v>
      </c>
      <c r="BF22" s="238"/>
      <c r="BG22" s="1360"/>
      <c r="BH22" s="1360"/>
      <c r="BI22" s="1360"/>
      <c r="BJ22" s="1360"/>
      <c r="BK22" s="1360"/>
      <c r="BL22" s="1360"/>
    </row>
    <row r="23" spans="2:64" ht="15.75" customHeight="1">
      <c r="B23" s="96" t="s">
        <v>18811</v>
      </c>
      <c r="C23" s="97" t="s">
        <v>4215</v>
      </c>
      <c r="D23" s="97">
        <v>3</v>
      </c>
      <c r="E23" s="1626">
        <v>0.04</v>
      </c>
      <c r="F23" s="1626">
        <v>1.0999999999999999E-2</v>
      </c>
      <c r="G23" s="1626">
        <v>9.0999999999999998E-2</v>
      </c>
      <c r="H23" s="1626">
        <v>0.252</v>
      </c>
      <c r="I23" s="1626">
        <v>0</v>
      </c>
      <c r="J23" s="1626">
        <v>0</v>
      </c>
      <c r="K23" s="2178">
        <v>0</v>
      </c>
      <c r="L23" s="2112"/>
      <c r="M23" s="2180">
        <v>0</v>
      </c>
      <c r="N23" s="1626">
        <v>0</v>
      </c>
      <c r="O23" s="1626">
        <v>0</v>
      </c>
      <c r="P23" s="1626">
        <v>0</v>
      </c>
      <c r="Q23" s="1626">
        <v>0</v>
      </c>
      <c r="R23" s="1626">
        <v>0</v>
      </c>
      <c r="S23" s="2178">
        <v>0</v>
      </c>
      <c r="T23" s="2109"/>
      <c r="U23" s="2111" t="s">
        <v>14108</v>
      </c>
      <c r="V23" s="1626">
        <v>9289</v>
      </c>
      <c r="W23" s="1626">
        <v>6</v>
      </c>
      <c r="X23" s="1626">
        <v>0.65</v>
      </c>
      <c r="Y23" s="2334" t="s">
        <v>18832</v>
      </c>
      <c r="Z23" s="2466" t="s">
        <v>18832</v>
      </c>
      <c r="AA23" s="2466" t="s">
        <v>8431</v>
      </c>
      <c r="AB23" s="2466" t="s">
        <v>8431</v>
      </c>
      <c r="AC23" s="2466"/>
      <c r="AD23" s="2467"/>
      <c r="AE23" s="88"/>
      <c r="AF23" s="98" t="s">
        <v>14123</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1</v>
      </c>
      <c r="BF23" s="238"/>
      <c r="BG23" s="1360"/>
      <c r="BH23" s="1360"/>
      <c r="BI23" s="1360"/>
      <c r="BJ23" s="1360"/>
      <c r="BK23" s="1360"/>
      <c r="BL23" s="1360"/>
    </row>
    <row r="24" spans="2:64" ht="15.75" customHeight="1">
      <c r="B24" s="96" t="s">
        <v>18812</v>
      </c>
      <c r="C24" s="97" t="s">
        <v>4215</v>
      </c>
      <c r="D24" s="97">
        <v>3</v>
      </c>
      <c r="E24" s="1626">
        <v>2.0760000000000001</v>
      </c>
      <c r="F24" s="1626">
        <v>0.29399999999999998</v>
      </c>
      <c r="G24" s="1626">
        <v>-5.0999999999999997E-2</v>
      </c>
      <c r="H24" s="1626">
        <v>0</v>
      </c>
      <c r="I24" s="1626">
        <v>0</v>
      </c>
      <c r="J24" s="1626">
        <v>0</v>
      </c>
      <c r="K24" s="2178">
        <v>0</v>
      </c>
      <c r="L24" s="2112"/>
      <c r="M24" s="2180">
        <v>0</v>
      </c>
      <c r="N24" s="1626">
        <v>9.8000000000000004E-2</v>
      </c>
      <c r="O24" s="1626">
        <v>9.5000000000000001E-2</v>
      </c>
      <c r="P24" s="1626">
        <v>8.6999999999999994E-2</v>
      </c>
      <c r="Q24" s="1626">
        <v>8.6999999999999994E-2</v>
      </c>
      <c r="R24" s="1626">
        <v>8.6999999999999994E-2</v>
      </c>
      <c r="S24" s="2178">
        <v>0</v>
      </c>
      <c r="T24" s="2109"/>
      <c r="U24" s="2111" t="s">
        <v>14108</v>
      </c>
      <c r="V24" s="1626">
        <v>6288</v>
      </c>
      <c r="W24" s="1626">
        <v>0</v>
      </c>
      <c r="X24" s="1626">
        <v>1</v>
      </c>
      <c r="Y24" s="2334" t="s">
        <v>18832</v>
      </c>
      <c r="Z24" s="2466" t="s">
        <v>18832</v>
      </c>
      <c r="AA24" s="2466" t="s">
        <v>8431</v>
      </c>
      <c r="AB24" s="2466" t="s">
        <v>8431</v>
      </c>
      <c r="AC24" s="2466"/>
      <c r="AD24" s="2467"/>
      <c r="AE24" s="88"/>
      <c r="AF24" s="98" t="s">
        <v>14124</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1</v>
      </c>
      <c r="BF24" s="238"/>
      <c r="BG24" s="1360"/>
      <c r="BH24" s="1360"/>
      <c r="BI24" s="1360"/>
      <c r="BJ24" s="1360"/>
      <c r="BK24" s="1360"/>
      <c r="BL24" s="1360"/>
    </row>
    <row r="25" spans="2:64" ht="15.75" customHeight="1">
      <c r="B25" s="96" t="s">
        <v>18813</v>
      </c>
      <c r="C25" s="97" t="s">
        <v>4215</v>
      </c>
      <c r="D25" s="97">
        <v>3</v>
      </c>
      <c r="E25" s="1626">
        <v>0.43</v>
      </c>
      <c r="F25" s="1626">
        <v>0.75800000000000001</v>
      </c>
      <c r="G25" s="1626">
        <v>1.4999999999999999E-2</v>
      </c>
      <c r="H25" s="1626">
        <v>0</v>
      </c>
      <c r="I25" s="1626">
        <v>0</v>
      </c>
      <c r="J25" s="1626">
        <v>0</v>
      </c>
      <c r="K25" s="2178">
        <v>0</v>
      </c>
      <c r="L25" s="2112"/>
      <c r="M25" s="2180">
        <v>0</v>
      </c>
      <c r="N25" s="1626">
        <v>7.6999999999999999E-2</v>
      </c>
      <c r="O25" s="1626">
        <v>7.3999999999999996E-2</v>
      </c>
      <c r="P25" s="1626">
        <v>6.8000000000000005E-2</v>
      </c>
      <c r="Q25" s="1626">
        <v>6.8000000000000005E-2</v>
      </c>
      <c r="R25" s="1626">
        <v>6.8000000000000005E-2</v>
      </c>
      <c r="S25" s="2178">
        <v>0</v>
      </c>
      <c r="T25" s="2109"/>
      <c r="U25" s="2111" t="s">
        <v>14108</v>
      </c>
      <c r="V25" s="1626">
        <v>8704</v>
      </c>
      <c r="W25" s="1626">
        <v>0</v>
      </c>
      <c r="X25" s="1626">
        <v>1</v>
      </c>
      <c r="Y25" s="2334" t="s">
        <v>18832</v>
      </c>
      <c r="Z25" s="2466" t="s">
        <v>18832</v>
      </c>
      <c r="AA25" s="2466" t="s">
        <v>8431</v>
      </c>
      <c r="AB25" s="2466" t="s">
        <v>8431</v>
      </c>
      <c r="AC25" s="2466"/>
      <c r="AD25" s="2467"/>
      <c r="AE25" s="88"/>
      <c r="AF25" s="98" t="s">
        <v>14125</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1</v>
      </c>
      <c r="BF25" s="238"/>
      <c r="BG25" s="1360"/>
      <c r="BH25" s="1360"/>
      <c r="BI25" s="1360"/>
      <c r="BJ25" s="1360"/>
      <c r="BK25" s="1360"/>
      <c r="BL25" s="1360"/>
    </row>
    <row r="26" spans="2:64" ht="15.75" customHeight="1">
      <c r="B26" s="96" t="s">
        <v>18814</v>
      </c>
      <c r="C26" s="97" t="s">
        <v>4215</v>
      </c>
      <c r="D26" s="97">
        <v>3</v>
      </c>
      <c r="E26" s="1626">
        <v>3.2389999999999999</v>
      </c>
      <c r="F26" s="1626">
        <v>1.649</v>
      </c>
      <c r="G26" s="1626">
        <v>-5.7000000000000002E-2</v>
      </c>
      <c r="H26" s="1626">
        <v>0</v>
      </c>
      <c r="I26" s="1626">
        <v>0</v>
      </c>
      <c r="J26" s="1626">
        <v>0</v>
      </c>
      <c r="K26" s="2178">
        <v>0</v>
      </c>
      <c r="L26" s="2112"/>
      <c r="M26" s="2180">
        <v>0</v>
      </c>
      <c r="N26" s="1626">
        <v>0.13100000000000001</v>
      </c>
      <c r="O26" s="1626">
        <v>0.104</v>
      </c>
      <c r="P26" s="1626">
        <v>9.6000000000000002E-2</v>
      </c>
      <c r="Q26" s="1626">
        <v>9.6000000000000002E-2</v>
      </c>
      <c r="R26" s="1626">
        <v>9.6000000000000002E-2</v>
      </c>
      <c r="S26" s="2178">
        <v>0</v>
      </c>
      <c r="T26" s="2109"/>
      <c r="U26" s="2111" t="s">
        <v>14108</v>
      </c>
      <c r="V26" s="1626">
        <v>3125</v>
      </c>
      <c r="W26" s="1626">
        <v>0</v>
      </c>
      <c r="X26" s="1626">
        <v>0.5</v>
      </c>
      <c r="Y26" s="2334" t="s">
        <v>18832</v>
      </c>
      <c r="Z26" s="2466" t="s">
        <v>18832</v>
      </c>
      <c r="AA26" s="2466" t="s">
        <v>8431</v>
      </c>
      <c r="AB26" s="2466" t="s">
        <v>8431</v>
      </c>
      <c r="AC26" s="2466"/>
      <c r="AD26" s="2467"/>
      <c r="AE26" s="88"/>
      <c r="AF26" s="98" t="s">
        <v>14126</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1</v>
      </c>
      <c r="BF26" s="238"/>
      <c r="BG26" s="1360"/>
      <c r="BH26" s="1360"/>
      <c r="BI26" s="1360"/>
      <c r="BJ26" s="1360"/>
      <c r="BK26" s="1360"/>
      <c r="BL26" s="1360"/>
    </row>
    <row r="27" spans="2:64" ht="15.75" customHeight="1">
      <c r="B27" s="96" t="s">
        <v>18815</v>
      </c>
      <c r="C27" s="97" t="s">
        <v>4215</v>
      </c>
      <c r="D27" s="97">
        <v>3</v>
      </c>
      <c r="E27" s="1626">
        <v>5.931</v>
      </c>
      <c r="F27" s="1626">
        <v>0.86699999999999999</v>
      </c>
      <c r="G27" s="1626">
        <v>8.5999999999999993E-2</v>
      </c>
      <c r="H27" s="1626">
        <v>1.2999999999999999E-2</v>
      </c>
      <c r="I27" s="1626">
        <v>0</v>
      </c>
      <c r="J27" s="1626">
        <v>0</v>
      </c>
      <c r="K27" s="2178">
        <v>0</v>
      </c>
      <c r="L27" s="2112"/>
      <c r="M27" s="2180">
        <v>0</v>
      </c>
      <c r="N27" s="1626">
        <v>0.19700000000000001</v>
      </c>
      <c r="O27" s="1626">
        <v>0.24399999999999999</v>
      </c>
      <c r="P27" s="1626">
        <v>0.29799999999999999</v>
      </c>
      <c r="Q27" s="1626">
        <v>0.29799999999999999</v>
      </c>
      <c r="R27" s="1626">
        <v>0.29799999999999999</v>
      </c>
      <c r="S27" s="2178">
        <v>0</v>
      </c>
      <c r="T27" s="2109"/>
      <c r="U27" s="2111" t="s">
        <v>14108</v>
      </c>
      <c r="V27" s="1626">
        <v>25648</v>
      </c>
      <c r="W27" s="1626">
        <v>0</v>
      </c>
      <c r="X27" s="1626">
        <v>0.5</v>
      </c>
      <c r="Y27" s="2334" t="s">
        <v>18832</v>
      </c>
      <c r="Z27" s="2466" t="s">
        <v>18832</v>
      </c>
      <c r="AA27" s="2466" t="s">
        <v>8431</v>
      </c>
      <c r="AB27" s="2466" t="s">
        <v>8431</v>
      </c>
      <c r="AC27" s="2466"/>
      <c r="AD27" s="2467"/>
      <c r="AE27" s="88"/>
      <c r="AF27" s="98" t="s">
        <v>14127</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1</v>
      </c>
      <c r="BF27" s="238"/>
      <c r="BG27" s="1360"/>
      <c r="BH27" s="1360"/>
      <c r="BI27" s="1360"/>
      <c r="BJ27" s="1360"/>
      <c r="BK27" s="1360"/>
      <c r="BL27" s="1360"/>
    </row>
    <row r="28" spans="2:64" ht="15.75" customHeight="1">
      <c r="B28" s="96" t="s">
        <v>18816</v>
      </c>
      <c r="C28" s="97" t="s">
        <v>4215</v>
      </c>
      <c r="D28" s="97">
        <v>3</v>
      </c>
      <c r="E28" s="1626">
        <v>0.115</v>
      </c>
      <c r="F28" s="1626">
        <v>1E-3</v>
      </c>
      <c r="G28" s="1626">
        <v>0</v>
      </c>
      <c r="H28" s="1626">
        <v>0</v>
      </c>
      <c r="I28" s="1626">
        <v>0</v>
      </c>
      <c r="J28" s="1626">
        <v>0</v>
      </c>
      <c r="K28" s="2178">
        <v>0</v>
      </c>
      <c r="L28" s="2112"/>
      <c r="M28" s="2180">
        <v>0</v>
      </c>
      <c r="N28" s="1626">
        <v>0</v>
      </c>
      <c r="O28" s="1626">
        <v>0</v>
      </c>
      <c r="P28" s="1626">
        <v>0</v>
      </c>
      <c r="Q28" s="1626">
        <v>0</v>
      </c>
      <c r="R28" s="1626">
        <v>0</v>
      </c>
      <c r="S28" s="2178">
        <v>0</v>
      </c>
      <c r="T28" s="2109"/>
      <c r="U28" s="2111" t="s">
        <v>14108</v>
      </c>
      <c r="V28" s="1626">
        <v>22322</v>
      </c>
      <c r="W28" s="1626">
        <v>0</v>
      </c>
      <c r="X28" s="1626">
        <v>2</v>
      </c>
      <c r="Y28" s="2334" t="s">
        <v>18832</v>
      </c>
      <c r="Z28" s="2466" t="s">
        <v>18832</v>
      </c>
      <c r="AA28" s="2466" t="s">
        <v>8431</v>
      </c>
      <c r="AB28" s="2466" t="s">
        <v>8431</v>
      </c>
      <c r="AC28" s="2466"/>
      <c r="AD28" s="2467"/>
      <c r="AE28" s="88"/>
      <c r="AF28" s="98" t="s">
        <v>14128</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1</v>
      </c>
      <c r="BF28" s="238"/>
      <c r="BG28" s="1360"/>
      <c r="BH28" s="1360"/>
      <c r="BI28" s="1360"/>
      <c r="BJ28" s="1360"/>
      <c r="BK28" s="1360"/>
      <c r="BL28" s="1360"/>
    </row>
    <row r="29" spans="2:64" ht="15.75" customHeight="1">
      <c r="B29" s="96" t="s">
        <v>18817</v>
      </c>
      <c r="C29" s="97" t="s">
        <v>4215</v>
      </c>
      <c r="D29" s="97">
        <v>3</v>
      </c>
      <c r="E29" s="1626">
        <v>1.5269999999999999</v>
      </c>
      <c r="F29" s="1626">
        <v>0.16200000000000001</v>
      </c>
      <c r="G29" s="1626">
        <v>-2.7E-2</v>
      </c>
      <c r="H29" s="1626">
        <v>0</v>
      </c>
      <c r="I29" s="1626">
        <v>0</v>
      </c>
      <c r="J29" s="1626">
        <v>0</v>
      </c>
      <c r="K29" s="2178">
        <v>0</v>
      </c>
      <c r="L29" s="2112"/>
      <c r="M29" s="2180">
        <v>0</v>
      </c>
      <c r="N29" s="1626">
        <v>0.13300000000000001</v>
      </c>
      <c r="O29" s="1626">
        <v>6.5000000000000002E-2</v>
      </c>
      <c r="P29" s="1626">
        <v>0.06</v>
      </c>
      <c r="Q29" s="1626">
        <v>0.06</v>
      </c>
      <c r="R29" s="1626">
        <v>0.06</v>
      </c>
      <c r="S29" s="2178">
        <v>0</v>
      </c>
      <c r="T29" s="2109"/>
      <c r="U29" s="2111" t="s">
        <v>14108</v>
      </c>
      <c r="V29" s="1626">
        <v>1628</v>
      </c>
      <c r="W29" s="1626">
        <v>0</v>
      </c>
      <c r="X29" s="1626">
        <v>1</v>
      </c>
      <c r="Y29" s="2334" t="s">
        <v>18832</v>
      </c>
      <c r="Z29" s="2466" t="s">
        <v>18832</v>
      </c>
      <c r="AA29" s="2466" t="s">
        <v>8431</v>
      </c>
      <c r="AB29" s="2466" t="s">
        <v>8431</v>
      </c>
      <c r="AC29" s="2466"/>
      <c r="AD29" s="2467"/>
      <c r="AE29" s="88"/>
      <c r="AF29" s="98" t="s">
        <v>14129</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1</v>
      </c>
      <c r="BF29" s="238"/>
      <c r="BG29" s="1360"/>
      <c r="BH29" s="1360"/>
      <c r="BI29" s="1360"/>
      <c r="BJ29" s="1360"/>
      <c r="BK29" s="1360"/>
      <c r="BL29" s="1360"/>
    </row>
    <row r="30" spans="2:64" ht="15.75" customHeight="1">
      <c r="B30" s="96" t="s">
        <v>18818</v>
      </c>
      <c r="C30" s="97" t="s">
        <v>4215</v>
      </c>
      <c r="D30" s="97">
        <v>3</v>
      </c>
      <c r="E30" s="1626">
        <v>3.2559999999999998</v>
      </c>
      <c r="F30" s="1626">
        <v>1.054</v>
      </c>
      <c r="G30" s="1626">
        <v>0.28599999999999998</v>
      </c>
      <c r="H30" s="1626">
        <v>0</v>
      </c>
      <c r="I30" s="1626">
        <v>0</v>
      </c>
      <c r="J30" s="1626">
        <v>0</v>
      </c>
      <c r="K30" s="2178">
        <v>0</v>
      </c>
      <c r="L30" s="2112"/>
      <c r="M30" s="2180">
        <v>0</v>
      </c>
      <c r="N30" s="1626">
        <v>-0.01</v>
      </c>
      <c r="O30" s="1626">
        <v>-1.4999999999999999E-2</v>
      </c>
      <c r="P30" s="1626">
        <v>-1.4E-2</v>
      </c>
      <c r="Q30" s="1626">
        <v>-1.4E-2</v>
      </c>
      <c r="R30" s="1626">
        <v>-1.4E-2</v>
      </c>
      <c r="S30" s="2178">
        <v>0</v>
      </c>
      <c r="T30" s="2109"/>
      <c r="U30" s="2111" t="s">
        <v>14108</v>
      </c>
      <c r="V30" s="1626">
        <v>0</v>
      </c>
      <c r="W30" s="1626">
        <v>0</v>
      </c>
      <c r="X30" s="1626">
        <v>0</v>
      </c>
      <c r="Y30" s="2334" t="s">
        <v>18832</v>
      </c>
      <c r="Z30" s="2466" t="s">
        <v>18832</v>
      </c>
      <c r="AA30" s="2466">
        <v>1.45</v>
      </c>
      <c r="AB30" s="2466">
        <v>2332</v>
      </c>
      <c r="AC30" s="2466"/>
      <c r="AD30" s="2467"/>
      <c r="AE30" s="88"/>
      <c r="AF30" s="98" t="s">
        <v>14130</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1</v>
      </c>
      <c r="BF30" s="238"/>
      <c r="BG30" s="1360"/>
      <c r="BH30" s="1360"/>
      <c r="BI30" s="1360"/>
      <c r="BJ30" s="1360"/>
      <c r="BK30" s="1360"/>
      <c r="BL30" s="1360"/>
    </row>
    <row r="31" spans="2:64" ht="15.75" customHeight="1">
      <c r="B31" s="96" t="s">
        <v>18819</v>
      </c>
      <c r="C31" s="97" t="s">
        <v>4215</v>
      </c>
      <c r="D31" s="97">
        <v>3</v>
      </c>
      <c r="E31" s="1626">
        <v>3.4000000000000002E-2</v>
      </c>
      <c r="F31" s="1626">
        <v>0.38600000000000001</v>
      </c>
      <c r="G31" s="1626">
        <v>0.34899999999999998</v>
      </c>
      <c r="H31" s="1626">
        <v>2.887</v>
      </c>
      <c r="I31" s="1626">
        <v>8.4651265090353203</v>
      </c>
      <c r="J31" s="1626">
        <v>0.61474298494449431</v>
      </c>
      <c r="K31" s="2178">
        <v>0</v>
      </c>
      <c r="L31" s="2112"/>
      <c r="M31" s="2180">
        <v>0</v>
      </c>
      <c r="N31" s="1626">
        <v>0</v>
      </c>
      <c r="O31" s="1626">
        <v>0</v>
      </c>
      <c r="P31" s="1626">
        <v>0</v>
      </c>
      <c r="Q31" s="1626">
        <v>0</v>
      </c>
      <c r="R31" s="1626">
        <v>0.28299999999999997</v>
      </c>
      <c r="S31" s="2178">
        <v>0</v>
      </c>
      <c r="T31" s="2109"/>
      <c r="U31" s="2111" t="s">
        <v>14108</v>
      </c>
      <c r="V31" s="1626">
        <v>58083</v>
      </c>
      <c r="W31" s="1626">
        <v>1</v>
      </c>
      <c r="X31" s="1626">
        <v>0.4</v>
      </c>
      <c r="Y31" s="2334" t="s">
        <v>18832</v>
      </c>
      <c r="Z31" s="2466" t="s">
        <v>18833</v>
      </c>
      <c r="AA31" s="2466" t="s">
        <v>8431</v>
      </c>
      <c r="AB31" s="2466" t="s">
        <v>8431</v>
      </c>
      <c r="AC31" s="2466"/>
      <c r="AD31" s="2467"/>
      <c r="AE31" s="88"/>
      <c r="AF31" s="98" t="s">
        <v>14131</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1</v>
      </c>
      <c r="BF31" s="238"/>
      <c r="BG31" s="1360"/>
      <c r="BH31" s="1360"/>
      <c r="BI31" s="1360"/>
      <c r="BJ31" s="1360"/>
      <c r="BK31" s="1360"/>
      <c r="BL31" s="1360"/>
    </row>
    <row r="32" spans="2:64" ht="15.75" customHeight="1">
      <c r="B32" s="96" t="s">
        <v>18820</v>
      </c>
      <c r="C32" s="97" t="s">
        <v>4215</v>
      </c>
      <c r="D32" s="97">
        <v>3</v>
      </c>
      <c r="E32" s="1626">
        <v>2.5000000000000001E-2</v>
      </c>
      <c r="F32" s="1626">
        <v>0.16</v>
      </c>
      <c r="G32" s="1626">
        <v>0.154</v>
      </c>
      <c r="H32" s="1626">
        <v>2.0840000000000001</v>
      </c>
      <c r="I32" s="1626">
        <v>1.6822440885540055</v>
      </c>
      <c r="J32" s="1626">
        <v>0</v>
      </c>
      <c r="K32" s="2178">
        <v>0</v>
      </c>
      <c r="L32" s="2112"/>
      <c r="M32" s="2180">
        <v>0</v>
      </c>
      <c r="N32" s="1626">
        <v>0</v>
      </c>
      <c r="O32" s="1626">
        <v>0</v>
      </c>
      <c r="P32" s="1626">
        <v>0</v>
      </c>
      <c r="Q32" s="1626">
        <v>8.6999999999999994E-2</v>
      </c>
      <c r="R32" s="1626">
        <v>8.6999999999999994E-2</v>
      </c>
      <c r="S32" s="2178">
        <v>0</v>
      </c>
      <c r="T32" s="2109"/>
      <c r="U32" s="2111" t="s">
        <v>14108</v>
      </c>
      <c r="V32" s="1626">
        <v>3376</v>
      </c>
      <c r="W32" s="1626">
        <v>0</v>
      </c>
      <c r="X32" s="1626">
        <v>2</v>
      </c>
      <c r="Y32" s="2334" t="s">
        <v>18832</v>
      </c>
      <c r="Z32" s="2466" t="s">
        <v>18832</v>
      </c>
      <c r="AA32" s="2466" t="s">
        <v>8431</v>
      </c>
      <c r="AB32" s="2466" t="s">
        <v>8431</v>
      </c>
      <c r="AC32" s="2466"/>
      <c r="AD32" s="2467"/>
      <c r="AE32" s="88"/>
      <c r="AF32" s="98" t="s">
        <v>14132</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1</v>
      </c>
      <c r="BF32" s="238"/>
      <c r="BG32" s="1360"/>
      <c r="BH32" s="1360"/>
      <c r="BI32" s="1360"/>
      <c r="BJ32" s="1360"/>
      <c r="BK32" s="1360"/>
      <c r="BL32" s="1360"/>
    </row>
    <row r="33" spans="2:64" ht="15.75" customHeight="1">
      <c r="B33" s="96" t="s">
        <v>18821</v>
      </c>
      <c r="C33" s="97" t="s">
        <v>4215</v>
      </c>
      <c r="D33" s="97">
        <v>3</v>
      </c>
      <c r="E33" s="1626">
        <v>0</v>
      </c>
      <c r="F33" s="1626">
        <v>0.34300000000000003</v>
      </c>
      <c r="G33" s="1626">
        <v>0.624</v>
      </c>
      <c r="H33" s="1626">
        <v>3.5259999999999998</v>
      </c>
      <c r="I33" s="1626">
        <v>12.263638509015063</v>
      </c>
      <c r="J33" s="1626">
        <v>0.59998039678047588</v>
      </c>
      <c r="K33" s="2178">
        <v>0</v>
      </c>
      <c r="L33" s="2112"/>
      <c r="M33" s="2180">
        <v>0</v>
      </c>
      <c r="N33" s="1626">
        <v>0</v>
      </c>
      <c r="O33" s="1626">
        <v>0</v>
      </c>
      <c r="P33" s="1626">
        <v>0</v>
      </c>
      <c r="Q33" s="1626">
        <v>0</v>
      </c>
      <c r="R33" s="1626">
        <v>0.50800000000000001</v>
      </c>
      <c r="S33" s="2178">
        <v>0</v>
      </c>
      <c r="T33" s="2109"/>
      <c r="U33" s="2111" t="s">
        <v>14108</v>
      </c>
      <c r="V33" s="1626">
        <v>15690</v>
      </c>
      <c r="W33" s="1626">
        <v>1</v>
      </c>
      <c r="X33" s="1626">
        <v>0.5</v>
      </c>
      <c r="Y33" s="2334" t="s">
        <v>18832</v>
      </c>
      <c r="Z33" s="2466" t="s">
        <v>18832</v>
      </c>
      <c r="AA33" s="2466" t="s">
        <v>8431</v>
      </c>
      <c r="AB33" s="2466" t="s">
        <v>8431</v>
      </c>
      <c r="AC33" s="2466"/>
      <c r="AD33" s="2467"/>
      <c r="AE33" s="88"/>
      <c r="AF33" s="98" t="s">
        <v>14133</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1</v>
      </c>
      <c r="BF33" s="238"/>
      <c r="BG33" s="1360"/>
      <c r="BH33" s="1360"/>
      <c r="BI33" s="1360"/>
      <c r="BJ33" s="1360"/>
      <c r="BK33" s="1360"/>
      <c r="BL33" s="1360"/>
    </row>
    <row r="34" spans="2:64" ht="15.75" customHeight="1">
      <c r="B34" s="96" t="s">
        <v>18822</v>
      </c>
      <c r="C34" s="97" t="s">
        <v>4215</v>
      </c>
      <c r="D34" s="97">
        <v>3</v>
      </c>
      <c r="E34" s="1626">
        <v>0</v>
      </c>
      <c r="F34" s="1626">
        <v>0</v>
      </c>
      <c r="G34" s="1626">
        <v>0</v>
      </c>
      <c r="H34" s="1626">
        <v>0.313</v>
      </c>
      <c r="I34" s="1626">
        <v>1.4167190801549872</v>
      </c>
      <c r="J34" s="1626">
        <v>5.6172225621191672</v>
      </c>
      <c r="K34" s="2178">
        <v>0</v>
      </c>
      <c r="L34" s="2112"/>
      <c r="M34" s="2180">
        <v>0</v>
      </c>
      <c r="N34" s="1626">
        <v>0</v>
      </c>
      <c r="O34" s="1626">
        <v>0</v>
      </c>
      <c r="P34" s="1626">
        <v>0</v>
      </c>
      <c r="Q34" s="1626">
        <v>6.0000000000000001E-3</v>
      </c>
      <c r="R34" s="1626">
        <v>8.0000000000000002E-3</v>
      </c>
      <c r="S34" s="2178">
        <v>0</v>
      </c>
      <c r="T34" s="2109"/>
      <c r="U34" s="2111" t="s">
        <v>14108</v>
      </c>
      <c r="V34" s="1626">
        <v>3742</v>
      </c>
      <c r="W34" s="1626">
        <v>1</v>
      </c>
      <c r="X34" s="1626">
        <v>0.4</v>
      </c>
      <c r="Y34" s="2334" t="s">
        <v>18832</v>
      </c>
      <c r="Z34" s="2466" t="s">
        <v>18832</v>
      </c>
      <c r="AA34" s="2466" t="s">
        <v>8431</v>
      </c>
      <c r="AB34" s="2466" t="s">
        <v>8431</v>
      </c>
      <c r="AC34" s="2466"/>
      <c r="AD34" s="2467"/>
      <c r="AE34" s="88"/>
      <c r="AF34" s="98" t="s">
        <v>14134</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1</v>
      </c>
      <c r="BF34" s="238"/>
      <c r="BG34" s="1360"/>
      <c r="BH34" s="1360"/>
      <c r="BI34" s="1360"/>
      <c r="BJ34" s="1360"/>
      <c r="BK34" s="1360"/>
      <c r="BL34" s="1360"/>
    </row>
    <row r="35" spans="2:64" ht="15.75" customHeight="1">
      <c r="B35" s="96" t="s">
        <v>18823</v>
      </c>
      <c r="C35" s="97" t="s">
        <v>4215</v>
      </c>
      <c r="D35" s="97">
        <v>3</v>
      </c>
      <c r="E35" s="1626">
        <v>0</v>
      </c>
      <c r="F35" s="1626">
        <v>0</v>
      </c>
      <c r="G35" s="1626">
        <v>0.192</v>
      </c>
      <c r="H35" s="1626">
        <v>2.464</v>
      </c>
      <c r="I35" s="1626">
        <v>0.48392118377889737</v>
      </c>
      <c r="J35" s="1626">
        <v>0</v>
      </c>
      <c r="K35" s="2178">
        <v>0</v>
      </c>
      <c r="L35" s="2112"/>
      <c r="M35" s="2180">
        <v>0</v>
      </c>
      <c r="N35" s="1626">
        <v>0</v>
      </c>
      <c r="O35" s="1626">
        <v>0</v>
      </c>
      <c r="P35" s="1626">
        <v>0</v>
      </c>
      <c r="Q35" s="1626">
        <v>0</v>
      </c>
      <c r="R35" s="1626">
        <v>0</v>
      </c>
      <c r="S35" s="2178">
        <v>0</v>
      </c>
      <c r="T35" s="2109"/>
      <c r="U35" s="2111" t="s">
        <v>14108</v>
      </c>
      <c r="V35" s="1626">
        <v>0</v>
      </c>
      <c r="W35" s="1626">
        <v>0</v>
      </c>
      <c r="X35" s="1626" t="s">
        <v>8431</v>
      </c>
      <c r="Y35" s="2334" t="s">
        <v>18832</v>
      </c>
      <c r="Z35" s="2466" t="s">
        <v>18832</v>
      </c>
      <c r="AA35" s="2466">
        <v>2.04</v>
      </c>
      <c r="AB35" s="2466">
        <v>461</v>
      </c>
      <c r="AC35" s="2466"/>
      <c r="AD35" s="2467"/>
      <c r="AE35" s="88"/>
      <c r="AF35" s="98" t="s">
        <v>14135</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1</v>
      </c>
      <c r="BE35" s="285">
        <f t="shared" si="16"/>
        <v>1</v>
      </c>
      <c r="BF35" s="238"/>
      <c r="BG35" s="1360"/>
      <c r="BH35" s="1360"/>
      <c r="BI35" s="1360"/>
      <c r="BJ35" s="1360"/>
      <c r="BK35" s="1360"/>
      <c r="BL35" s="1360"/>
    </row>
    <row r="36" spans="2:64" ht="15.75" customHeight="1">
      <c r="B36" s="96" t="s">
        <v>18824</v>
      </c>
      <c r="C36" s="97" t="s">
        <v>4215</v>
      </c>
      <c r="D36" s="97">
        <v>3</v>
      </c>
      <c r="E36" s="1626">
        <v>0</v>
      </c>
      <c r="F36" s="1626">
        <v>0</v>
      </c>
      <c r="G36" s="1626">
        <v>3.5999999999999997E-2</v>
      </c>
      <c r="H36" s="1626">
        <v>0.35899999999999999</v>
      </c>
      <c r="I36" s="1626">
        <v>0.7044964845204128</v>
      </c>
      <c r="J36" s="1626">
        <v>7.0821094084951506</v>
      </c>
      <c r="K36" s="2178">
        <v>0</v>
      </c>
      <c r="L36" s="2112"/>
      <c r="M36" s="2180">
        <v>0</v>
      </c>
      <c r="N36" s="1626">
        <v>0</v>
      </c>
      <c r="O36" s="1626">
        <v>0</v>
      </c>
      <c r="P36" s="1626">
        <v>0</v>
      </c>
      <c r="Q36" s="1626">
        <v>0</v>
      </c>
      <c r="R36" s="1626">
        <v>0</v>
      </c>
      <c r="S36" s="2178">
        <v>0</v>
      </c>
      <c r="T36" s="2109"/>
      <c r="U36" s="2111" t="s">
        <v>14108</v>
      </c>
      <c r="V36" s="1626">
        <v>1264</v>
      </c>
      <c r="W36" s="1626">
        <v>0</v>
      </c>
      <c r="X36" s="1626">
        <v>1.8</v>
      </c>
      <c r="Y36" s="2334" t="s">
        <v>18832</v>
      </c>
      <c r="Z36" s="2466" t="s">
        <v>18832</v>
      </c>
      <c r="AA36" s="2466" t="s">
        <v>8431</v>
      </c>
      <c r="AB36" s="2466" t="s">
        <v>8431</v>
      </c>
      <c r="AC36" s="2466"/>
      <c r="AD36" s="2467"/>
      <c r="AE36" s="88"/>
      <c r="AF36" s="98" t="s">
        <v>14136</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1</v>
      </c>
      <c r="BF36" s="238"/>
      <c r="BG36" s="1360"/>
      <c r="BH36" s="1360"/>
      <c r="BI36" s="1360"/>
      <c r="BJ36" s="1360"/>
      <c r="BK36" s="1360"/>
      <c r="BL36" s="1360"/>
    </row>
    <row r="37" spans="2:64" ht="15.75" customHeight="1">
      <c r="B37" s="96" t="s">
        <v>18825</v>
      </c>
      <c r="C37" s="97" t="s">
        <v>4215</v>
      </c>
      <c r="D37" s="97">
        <v>3</v>
      </c>
      <c r="E37" s="1626">
        <v>3.4000000000000002E-2</v>
      </c>
      <c r="F37" s="1626">
        <v>0.38600000000000001</v>
      </c>
      <c r="G37" s="1626">
        <v>0.34899999999999998</v>
      </c>
      <c r="H37" s="1626">
        <v>2.887</v>
      </c>
      <c r="I37" s="1626">
        <v>8.4651265090353203</v>
      </c>
      <c r="J37" s="1626">
        <v>0.61474298494449431</v>
      </c>
      <c r="K37" s="2178">
        <v>0</v>
      </c>
      <c r="L37" s="2112"/>
      <c r="M37" s="2180">
        <v>0</v>
      </c>
      <c r="N37" s="1626">
        <v>0</v>
      </c>
      <c r="O37" s="1626">
        <v>0</v>
      </c>
      <c r="P37" s="1626">
        <v>0</v>
      </c>
      <c r="Q37" s="1626">
        <v>0</v>
      </c>
      <c r="R37" s="1626">
        <v>0.42499999999999999</v>
      </c>
      <c r="S37" s="2178">
        <v>0</v>
      </c>
      <c r="T37" s="2109"/>
      <c r="U37" s="2111" t="s">
        <v>14108</v>
      </c>
      <c r="V37" s="1626">
        <v>110118</v>
      </c>
      <c r="W37" s="1626">
        <v>1</v>
      </c>
      <c r="X37" s="1626">
        <v>0.4</v>
      </c>
      <c r="Y37" s="2334" t="s">
        <v>18832</v>
      </c>
      <c r="Z37" s="2466" t="s">
        <v>18833</v>
      </c>
      <c r="AA37" s="2466" t="s">
        <v>8431</v>
      </c>
      <c r="AB37" s="2466" t="s">
        <v>8431</v>
      </c>
      <c r="AC37" s="2466"/>
      <c r="AD37" s="2467"/>
      <c r="AE37" s="88"/>
      <c r="AF37" s="98" t="s">
        <v>14137</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1</v>
      </c>
      <c r="BF37" s="238"/>
      <c r="BG37" s="1360"/>
      <c r="BH37" s="1360"/>
      <c r="BI37" s="1360"/>
      <c r="BJ37" s="1360"/>
      <c r="BK37" s="1360"/>
      <c r="BL37" s="1360"/>
    </row>
    <row r="38" spans="2:64" ht="15.75" customHeight="1">
      <c r="B38" s="96" t="s">
        <v>18826</v>
      </c>
      <c r="C38" s="97" t="s">
        <v>4215</v>
      </c>
      <c r="D38" s="97">
        <v>3</v>
      </c>
      <c r="E38" s="1626">
        <v>0</v>
      </c>
      <c r="F38" s="1626">
        <v>0</v>
      </c>
      <c r="G38" s="1626">
        <v>0</v>
      </c>
      <c r="H38" s="1626">
        <v>6.2E-2</v>
      </c>
      <c r="I38" s="1626">
        <v>5.0893371005961002E-2</v>
      </c>
      <c r="J38" s="1626">
        <v>0.76533250815790954</v>
      </c>
      <c r="K38" s="2178">
        <v>0</v>
      </c>
      <c r="L38" s="2112"/>
      <c r="M38" s="2180">
        <v>0</v>
      </c>
      <c r="N38" s="1626">
        <v>0</v>
      </c>
      <c r="O38" s="1626">
        <v>0</v>
      </c>
      <c r="P38" s="1626">
        <v>0</v>
      </c>
      <c r="Q38" s="1626">
        <v>0</v>
      </c>
      <c r="R38" s="1626">
        <v>0</v>
      </c>
      <c r="S38" s="2178">
        <v>0</v>
      </c>
      <c r="T38" s="2109"/>
      <c r="U38" s="2111" t="s">
        <v>14108</v>
      </c>
      <c r="V38" s="1626">
        <v>2685</v>
      </c>
      <c r="W38" s="1626">
        <v>1</v>
      </c>
      <c r="X38" s="1626">
        <v>0.5</v>
      </c>
      <c r="Y38" s="2334" t="s">
        <v>18832</v>
      </c>
      <c r="Z38" s="2466" t="s">
        <v>18832</v>
      </c>
      <c r="AA38" s="2466" t="s">
        <v>8431</v>
      </c>
      <c r="AB38" s="2466" t="s">
        <v>8431</v>
      </c>
      <c r="AC38" s="2466"/>
      <c r="AD38" s="2467"/>
      <c r="AE38" s="88"/>
      <c r="AF38" s="98" t="s">
        <v>14138</v>
      </c>
      <c r="AH38" s="238"/>
      <c r="AI38" s="1232" t="str">
        <f t="shared" si="17"/>
        <v>Please complete all cells in row</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1</v>
      </c>
      <c r="BF38" s="238"/>
      <c r="BG38" s="1360"/>
      <c r="BH38" s="1360"/>
      <c r="BI38" s="1360"/>
      <c r="BJ38" s="1360"/>
      <c r="BK38" s="1360"/>
      <c r="BL38" s="1360"/>
    </row>
    <row r="39" spans="2:64" ht="15.75" customHeight="1">
      <c r="B39" s="96" t="s">
        <v>18827</v>
      </c>
      <c r="C39" s="97" t="s">
        <v>4215</v>
      </c>
      <c r="D39" s="97">
        <v>3</v>
      </c>
      <c r="E39" s="1626">
        <v>1.9E-2</v>
      </c>
      <c r="F39" s="1626">
        <v>0.216</v>
      </c>
      <c r="G39" s="1626">
        <v>0.35899999999999999</v>
      </c>
      <c r="H39" s="1626">
        <v>3.7069999999999999</v>
      </c>
      <c r="I39" s="1626">
        <v>-9.8468115748750459E-2</v>
      </c>
      <c r="J39" s="1626">
        <v>0</v>
      </c>
      <c r="K39" s="2178">
        <v>0</v>
      </c>
      <c r="L39" s="2112"/>
      <c r="M39" s="2180">
        <v>0</v>
      </c>
      <c r="N39" s="1626">
        <v>0</v>
      </c>
      <c r="O39" s="1626">
        <v>0</v>
      </c>
      <c r="P39" s="1626">
        <v>4.0000000000000001E-3</v>
      </c>
      <c r="Q39" s="1626">
        <v>4.2999999999999997E-2</v>
      </c>
      <c r="R39" s="1626">
        <v>4.2999999999999997E-2</v>
      </c>
      <c r="S39" s="2178">
        <v>0</v>
      </c>
      <c r="T39" s="2109"/>
      <c r="U39" s="2111" t="s">
        <v>14108</v>
      </c>
      <c r="V39" s="1626">
        <v>1368</v>
      </c>
      <c r="W39" s="1626">
        <v>0</v>
      </c>
      <c r="X39" s="1626">
        <v>1.5</v>
      </c>
      <c r="Y39" s="2334" t="s">
        <v>18832</v>
      </c>
      <c r="Z39" s="2466" t="s">
        <v>18832</v>
      </c>
      <c r="AA39" s="2466" t="s">
        <v>8431</v>
      </c>
      <c r="AB39" s="2466" t="s">
        <v>8431</v>
      </c>
      <c r="AC39" s="2466"/>
      <c r="AD39" s="2467"/>
      <c r="AE39" s="88"/>
      <c r="AF39" s="98" t="s">
        <v>14139</v>
      </c>
      <c r="AH39" s="238"/>
      <c r="AI39" s="1232" t="str">
        <f t="shared" si="17"/>
        <v>Please complete all cells in row</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1</v>
      </c>
      <c r="BF39" s="238"/>
      <c r="BG39" s="1360"/>
      <c r="BH39" s="1360"/>
      <c r="BI39" s="1360"/>
      <c r="BJ39" s="1360"/>
      <c r="BK39" s="1360"/>
      <c r="BL39" s="1360"/>
    </row>
    <row r="40" spans="2:64" ht="15.75" customHeight="1">
      <c r="B40" s="96" t="s">
        <v>18828</v>
      </c>
      <c r="C40" s="97" t="s">
        <v>4215</v>
      </c>
      <c r="D40" s="97">
        <v>3</v>
      </c>
      <c r="E40" s="1626">
        <v>0.01</v>
      </c>
      <c r="F40" s="1626">
        <v>0.47399999999999998</v>
      </c>
      <c r="G40" s="1626">
        <v>0</v>
      </c>
      <c r="H40" s="1626">
        <v>0.995</v>
      </c>
      <c r="I40" s="1626">
        <v>4.582739355917171E-2</v>
      </c>
      <c r="J40" s="1626">
        <v>0</v>
      </c>
      <c r="K40" s="2178">
        <v>0</v>
      </c>
      <c r="L40" s="2112"/>
      <c r="M40" s="2180">
        <v>0</v>
      </c>
      <c r="N40" s="1626">
        <v>0</v>
      </c>
      <c r="O40" s="1626">
        <v>0</v>
      </c>
      <c r="P40" s="1626">
        <v>0</v>
      </c>
      <c r="Q40" s="1626">
        <v>0</v>
      </c>
      <c r="R40" s="1626">
        <v>0</v>
      </c>
      <c r="S40" s="2178">
        <v>0</v>
      </c>
      <c r="T40" s="2109"/>
      <c r="U40" s="2111" t="s">
        <v>14108</v>
      </c>
      <c r="V40" s="1626">
        <v>15273</v>
      </c>
      <c r="W40" s="1626">
        <v>1</v>
      </c>
      <c r="X40" s="1626">
        <v>0.3</v>
      </c>
      <c r="Y40" s="2334" t="s">
        <v>18832</v>
      </c>
      <c r="Z40" s="2466" t="s">
        <v>18832</v>
      </c>
      <c r="AA40" s="2466" t="s">
        <v>8431</v>
      </c>
      <c r="AB40" s="2466" t="s">
        <v>8431</v>
      </c>
      <c r="AC40" s="2466"/>
      <c r="AD40" s="2467"/>
      <c r="AE40" s="88"/>
      <c r="AF40" s="98" t="s">
        <v>14140</v>
      </c>
      <c r="AH40" s="238"/>
      <c r="AI40" s="1232" t="str">
        <f t="shared" si="17"/>
        <v>Please complete all cells in row</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1</v>
      </c>
      <c r="BF40" s="238"/>
      <c r="BG40" s="1360"/>
      <c r="BH40" s="1360"/>
      <c r="BI40" s="1360"/>
      <c r="BJ40" s="1360"/>
      <c r="BK40" s="1360"/>
      <c r="BL40" s="1360"/>
    </row>
    <row r="41" spans="2:64" ht="15.75" customHeight="1">
      <c r="B41" s="96" t="s">
        <v>18829</v>
      </c>
      <c r="C41" s="97" t="s">
        <v>4215</v>
      </c>
      <c r="D41" s="97">
        <v>3</v>
      </c>
      <c r="E41" s="1626">
        <v>1.1419999999999999</v>
      </c>
      <c r="F41" s="1626">
        <v>0.11799999999999999</v>
      </c>
      <c r="G41" s="1626">
        <v>1.2E-2</v>
      </c>
      <c r="H41" s="1626">
        <v>1E-3</v>
      </c>
      <c r="I41" s="1626">
        <v>0</v>
      </c>
      <c r="J41" s="1626">
        <v>0</v>
      </c>
      <c r="K41" s="2178">
        <v>0</v>
      </c>
      <c r="L41" s="2112"/>
      <c r="M41" s="2180">
        <v>0</v>
      </c>
      <c r="N41" s="1626">
        <v>0</v>
      </c>
      <c r="O41" s="1626">
        <v>0</v>
      </c>
      <c r="P41" s="1626">
        <v>0</v>
      </c>
      <c r="Q41" s="1626">
        <v>0</v>
      </c>
      <c r="R41" s="1626">
        <v>0</v>
      </c>
      <c r="S41" s="2178">
        <v>0</v>
      </c>
      <c r="T41" s="2109"/>
      <c r="U41" s="2111" t="s">
        <v>14108</v>
      </c>
      <c r="V41" s="1626" t="s">
        <v>8431</v>
      </c>
      <c r="W41" s="1626" t="s">
        <v>8431</v>
      </c>
      <c r="X41" s="1626" t="s">
        <v>8431</v>
      </c>
      <c r="Y41" s="2334" t="s">
        <v>8431</v>
      </c>
      <c r="Z41" s="2466" t="s">
        <v>8431</v>
      </c>
      <c r="AA41" s="2466" t="s">
        <v>8431</v>
      </c>
      <c r="AB41" s="2466" t="s">
        <v>8431</v>
      </c>
      <c r="AC41" s="2466"/>
      <c r="AD41" s="2467"/>
      <c r="AE41" s="88"/>
      <c r="AF41" s="98" t="s">
        <v>14141</v>
      </c>
      <c r="AH41" s="238"/>
      <c r="AI41" s="1232" t="str">
        <f t="shared" si="17"/>
        <v>Please complete all cells in row</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1</v>
      </c>
      <c r="BC41" s="285">
        <f t="shared" si="14"/>
        <v>1</v>
      </c>
      <c r="BD41" s="285">
        <f t="shared" si="15"/>
        <v>1</v>
      </c>
      <c r="BE41" s="285">
        <f t="shared" si="16"/>
        <v>1</v>
      </c>
      <c r="BF41" s="238"/>
      <c r="BG41" s="1360"/>
      <c r="BH41" s="1360"/>
      <c r="BI41" s="1360"/>
      <c r="BJ41" s="1360"/>
      <c r="BK41" s="1360"/>
      <c r="BL41" s="1360"/>
    </row>
    <row r="42" spans="2:64" ht="15.75" customHeight="1">
      <c r="B42" s="96" t="s">
        <v>18830</v>
      </c>
      <c r="C42" s="97" t="s">
        <v>4215</v>
      </c>
      <c r="D42" s="97">
        <v>3</v>
      </c>
      <c r="E42" s="1626">
        <v>0</v>
      </c>
      <c r="F42" s="1626">
        <v>0</v>
      </c>
      <c r="G42" s="1626">
        <v>0</v>
      </c>
      <c r="H42" s="1626">
        <v>0.97499999999999998</v>
      </c>
      <c r="I42" s="1626">
        <v>1.035270362205291</v>
      </c>
      <c r="J42" s="1626">
        <v>0</v>
      </c>
      <c r="K42" s="2178">
        <v>0</v>
      </c>
      <c r="L42" s="2112"/>
      <c r="M42" s="2180">
        <v>0</v>
      </c>
      <c r="N42" s="1626">
        <v>0</v>
      </c>
      <c r="O42" s="1626">
        <v>0</v>
      </c>
      <c r="P42" s="1626">
        <v>0</v>
      </c>
      <c r="Q42" s="1626">
        <v>0</v>
      </c>
      <c r="R42" s="1626">
        <v>0</v>
      </c>
      <c r="S42" s="2178">
        <v>0</v>
      </c>
      <c r="T42" s="2109"/>
      <c r="U42" s="2111" t="s">
        <v>14108</v>
      </c>
      <c r="V42" s="1626">
        <v>10990</v>
      </c>
      <c r="W42" s="1626">
        <v>0</v>
      </c>
      <c r="X42" s="1626">
        <v>2</v>
      </c>
      <c r="Y42" s="2334" t="s">
        <v>18832</v>
      </c>
      <c r="Z42" s="2466" t="s">
        <v>18832</v>
      </c>
      <c r="AA42" s="2466" t="s">
        <v>8431</v>
      </c>
      <c r="AB42" s="2466" t="s">
        <v>8431</v>
      </c>
      <c r="AC42" s="2466"/>
      <c r="AD42" s="2467"/>
      <c r="AE42" s="88"/>
      <c r="AF42" s="98" t="s">
        <v>14142</v>
      </c>
      <c r="AH42" s="238"/>
      <c r="AI42" s="1232" t="str">
        <f t="shared" si="17"/>
        <v>Please complete all cells in row</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1</v>
      </c>
      <c r="BF42" s="238"/>
      <c r="BG42" s="1360"/>
      <c r="BH42" s="1360"/>
      <c r="BI42" s="1360"/>
      <c r="BJ42" s="1360"/>
      <c r="BK42" s="1360"/>
      <c r="BL42" s="1360"/>
    </row>
    <row r="43" spans="2:64" ht="15.75" customHeight="1">
      <c r="B43" s="96" t="s">
        <v>18831</v>
      </c>
      <c r="C43" s="97" t="s">
        <v>4215</v>
      </c>
      <c r="D43" s="97">
        <v>3</v>
      </c>
      <c r="E43" s="1626">
        <v>0</v>
      </c>
      <c r="F43" s="1626">
        <v>0</v>
      </c>
      <c r="G43" s="1626">
        <v>0</v>
      </c>
      <c r="H43" s="1626">
        <v>0.86699999999999999</v>
      </c>
      <c r="I43" s="1626">
        <v>1.1207560771137459</v>
      </c>
      <c r="J43" s="1626">
        <v>0</v>
      </c>
      <c r="K43" s="2178">
        <v>0</v>
      </c>
      <c r="L43" s="2112"/>
      <c r="M43" s="2180">
        <v>0</v>
      </c>
      <c r="N43" s="1626">
        <v>0</v>
      </c>
      <c r="O43" s="1626">
        <v>0</v>
      </c>
      <c r="P43" s="1626">
        <v>0</v>
      </c>
      <c r="Q43" s="1626">
        <v>0</v>
      </c>
      <c r="R43" s="1626">
        <v>0</v>
      </c>
      <c r="S43" s="2178">
        <v>0</v>
      </c>
      <c r="T43" s="2109"/>
      <c r="U43" s="2111" t="s">
        <v>14108</v>
      </c>
      <c r="V43" s="1626">
        <v>13227</v>
      </c>
      <c r="W43" s="1626">
        <v>0</v>
      </c>
      <c r="X43" s="1626">
        <v>2</v>
      </c>
      <c r="Y43" s="2334" t="s">
        <v>18832</v>
      </c>
      <c r="Z43" s="2466" t="s">
        <v>18832</v>
      </c>
      <c r="AA43" s="2466" t="s">
        <v>8431</v>
      </c>
      <c r="AB43" s="2466" t="s">
        <v>8431</v>
      </c>
      <c r="AC43" s="2466"/>
      <c r="AD43" s="2467"/>
      <c r="AE43" s="88"/>
      <c r="AF43" s="98" t="s">
        <v>14143</v>
      </c>
      <c r="AH43" s="238"/>
      <c r="AI43" s="1232" t="str">
        <f t="shared" si="17"/>
        <v>Please complete all cells in row</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1</v>
      </c>
      <c r="BF43" s="238"/>
      <c r="BG43" s="1360"/>
      <c r="BH43" s="1360"/>
      <c r="BI43" s="1360"/>
      <c r="BJ43" s="1360"/>
      <c r="BK43" s="1360"/>
      <c r="BL43" s="1360"/>
    </row>
    <row r="44" spans="2:64" ht="15.75" customHeight="1">
      <c r="B44" s="96" t="s">
        <v>18559</v>
      </c>
      <c r="C44" s="97" t="s">
        <v>4215</v>
      </c>
      <c r="D44" s="97">
        <v>3</v>
      </c>
      <c r="E44" s="1626">
        <v>0</v>
      </c>
      <c r="F44" s="1626">
        <v>0</v>
      </c>
      <c r="G44" s="1626">
        <v>0</v>
      </c>
      <c r="H44" s="1626">
        <v>0</v>
      </c>
      <c r="I44" s="1626">
        <v>0</v>
      </c>
      <c r="J44" s="1626">
        <v>0</v>
      </c>
      <c r="K44" s="2178">
        <v>0</v>
      </c>
      <c r="L44" s="2112"/>
      <c r="M44" s="2180">
        <v>0</v>
      </c>
      <c r="N44" s="1626">
        <v>3.0000000000000001E-3</v>
      </c>
      <c r="O44" s="1626">
        <v>3.0000000000000001E-3</v>
      </c>
      <c r="P44" s="1626">
        <v>3.0000000000000001E-3</v>
      </c>
      <c r="Q44" s="1626">
        <v>3.0000000000000001E-3</v>
      </c>
      <c r="R44" s="1626">
        <v>3.0000000000000001E-3</v>
      </c>
      <c r="S44" s="2178">
        <v>0</v>
      </c>
      <c r="T44" s="2109"/>
      <c r="U44" s="2111" t="s">
        <v>14108</v>
      </c>
      <c r="V44" s="1626">
        <v>217950</v>
      </c>
      <c r="W44" s="1626" t="s">
        <v>8431</v>
      </c>
      <c r="X44" s="1626" t="s">
        <v>8431</v>
      </c>
      <c r="Y44" s="2334" t="s">
        <v>8431</v>
      </c>
      <c r="Z44" s="2466" t="s">
        <v>8431</v>
      </c>
      <c r="AA44" s="2466" t="s">
        <v>8431</v>
      </c>
      <c r="AB44" s="2466" t="s">
        <v>8431</v>
      </c>
      <c r="AC44" s="2466"/>
      <c r="AD44" s="2467"/>
      <c r="AE44" s="88"/>
      <c r="AF44" s="98" t="s">
        <v>14144</v>
      </c>
      <c r="AH44" s="238"/>
      <c r="AI44" s="1232" t="str">
        <f t="shared" si="17"/>
        <v>Please complete all cells in row</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1</v>
      </c>
      <c r="BD44" s="285">
        <f t="shared" si="15"/>
        <v>1</v>
      </c>
      <c r="BE44" s="285">
        <f t="shared" si="16"/>
        <v>1</v>
      </c>
      <c r="BF44" s="238"/>
      <c r="BG44" s="1360"/>
      <c r="BH44" s="1360"/>
      <c r="BI44" s="1360"/>
      <c r="BJ44" s="1360"/>
      <c r="BK44" s="1360"/>
      <c r="BL44" s="1360"/>
    </row>
    <row r="45" spans="2:64" ht="15.75" customHeight="1">
      <c r="B45" s="96" t="s">
        <v>14145</v>
      </c>
      <c r="C45" s="97" t="s">
        <v>4215</v>
      </c>
      <c r="D45" s="97">
        <v>3</v>
      </c>
      <c r="E45" s="1626"/>
      <c r="F45" s="1626"/>
      <c r="G45" s="1626"/>
      <c r="H45" s="1626"/>
      <c r="I45" s="1626"/>
      <c r="J45" s="1626"/>
      <c r="K45" s="2178"/>
      <c r="L45" s="2112"/>
      <c r="M45" s="2180"/>
      <c r="N45" s="1626"/>
      <c r="O45" s="1626"/>
      <c r="P45" s="1626"/>
      <c r="Q45" s="1626"/>
      <c r="R45" s="1626"/>
      <c r="S45" s="2178"/>
      <c r="T45" s="2109"/>
      <c r="U45" s="2111" t="s">
        <v>14108</v>
      </c>
      <c r="V45" s="1626"/>
      <c r="W45" s="1626"/>
      <c r="X45" s="1626"/>
      <c r="Y45" s="2334"/>
      <c r="Z45" s="2466"/>
      <c r="AA45" s="2466"/>
      <c r="AB45" s="2466"/>
      <c r="AC45" s="2466"/>
      <c r="AD45" s="2467"/>
      <c r="AE45" s="88"/>
      <c r="AF45" s="98" t="s">
        <v>14146</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14147</v>
      </c>
      <c r="C46" s="97" t="s">
        <v>4215</v>
      </c>
      <c r="D46" s="97">
        <v>3</v>
      </c>
      <c r="E46" s="1626"/>
      <c r="F46" s="1626"/>
      <c r="G46" s="1626"/>
      <c r="H46" s="1626"/>
      <c r="I46" s="1626"/>
      <c r="J46" s="1626"/>
      <c r="K46" s="2178"/>
      <c r="L46" s="2112"/>
      <c r="M46" s="2180"/>
      <c r="N46" s="1626"/>
      <c r="O46" s="1626"/>
      <c r="P46" s="1626"/>
      <c r="Q46" s="1626"/>
      <c r="R46" s="1626"/>
      <c r="S46" s="2178"/>
      <c r="T46" s="2109"/>
      <c r="U46" s="2111" t="s">
        <v>14108</v>
      </c>
      <c r="V46" s="1626"/>
      <c r="W46" s="1626"/>
      <c r="X46" s="1626"/>
      <c r="Y46" s="2334"/>
      <c r="Z46" s="2466"/>
      <c r="AA46" s="2466"/>
      <c r="AB46" s="2466"/>
      <c r="AC46" s="2466"/>
      <c r="AD46" s="2467"/>
      <c r="AE46" s="88"/>
      <c r="AF46" s="98" t="s">
        <v>14148</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14149</v>
      </c>
      <c r="C47" s="97" t="s">
        <v>4215</v>
      </c>
      <c r="D47" s="97">
        <v>3</v>
      </c>
      <c r="E47" s="1626"/>
      <c r="F47" s="1626"/>
      <c r="G47" s="1626"/>
      <c r="H47" s="1626"/>
      <c r="I47" s="1626"/>
      <c r="J47" s="1626"/>
      <c r="K47" s="2178"/>
      <c r="L47" s="2112"/>
      <c r="M47" s="2180"/>
      <c r="N47" s="1626"/>
      <c r="O47" s="1626"/>
      <c r="P47" s="1626"/>
      <c r="Q47" s="1626"/>
      <c r="R47" s="1626"/>
      <c r="S47" s="2178"/>
      <c r="T47" s="2109"/>
      <c r="U47" s="2111" t="s">
        <v>14108</v>
      </c>
      <c r="V47" s="1626"/>
      <c r="W47" s="1626"/>
      <c r="X47" s="1626"/>
      <c r="Y47" s="2334"/>
      <c r="Z47" s="2466"/>
      <c r="AA47" s="2466"/>
      <c r="AB47" s="2466"/>
      <c r="AC47" s="2466"/>
      <c r="AD47" s="2467"/>
      <c r="AE47" s="88"/>
      <c r="AF47" s="98" t="s">
        <v>14150</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14151</v>
      </c>
      <c r="C48" s="97" t="s">
        <v>4215</v>
      </c>
      <c r="D48" s="97">
        <v>3</v>
      </c>
      <c r="E48" s="1626"/>
      <c r="F48" s="1626"/>
      <c r="G48" s="1626"/>
      <c r="H48" s="1626"/>
      <c r="I48" s="1626"/>
      <c r="J48" s="1626"/>
      <c r="K48" s="2178"/>
      <c r="L48" s="2112"/>
      <c r="M48" s="2180"/>
      <c r="N48" s="1626"/>
      <c r="O48" s="1626"/>
      <c r="P48" s="1626"/>
      <c r="Q48" s="1626"/>
      <c r="R48" s="1626"/>
      <c r="S48" s="2178"/>
      <c r="T48" s="2109"/>
      <c r="U48" s="2111" t="s">
        <v>14108</v>
      </c>
      <c r="V48" s="1626"/>
      <c r="W48" s="1626"/>
      <c r="X48" s="1626"/>
      <c r="Y48" s="2334"/>
      <c r="Z48" s="2466"/>
      <c r="AA48" s="2466"/>
      <c r="AB48" s="2466"/>
      <c r="AC48" s="2466"/>
      <c r="AD48" s="2467"/>
      <c r="AE48" s="88"/>
      <c r="AF48" s="98" t="s">
        <v>14152</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14153</v>
      </c>
      <c r="C49" s="97" t="s">
        <v>4215</v>
      </c>
      <c r="D49" s="97">
        <v>3</v>
      </c>
      <c r="E49" s="1626"/>
      <c r="F49" s="1626"/>
      <c r="G49" s="1626"/>
      <c r="H49" s="1626"/>
      <c r="I49" s="1626"/>
      <c r="J49" s="1626"/>
      <c r="K49" s="2178"/>
      <c r="L49" s="2112"/>
      <c r="M49" s="2180"/>
      <c r="N49" s="1626"/>
      <c r="O49" s="1626"/>
      <c r="P49" s="1626"/>
      <c r="Q49" s="1626"/>
      <c r="R49" s="1626"/>
      <c r="S49" s="2178"/>
      <c r="T49" s="2109"/>
      <c r="U49" s="2111" t="s">
        <v>14108</v>
      </c>
      <c r="V49" s="1626"/>
      <c r="W49" s="1626"/>
      <c r="X49" s="1626"/>
      <c r="Y49" s="2334"/>
      <c r="Z49" s="2466"/>
      <c r="AA49" s="2466"/>
      <c r="AB49" s="2466"/>
      <c r="AC49" s="2466"/>
      <c r="AD49" s="2467"/>
      <c r="AE49" s="88"/>
      <c r="AF49" s="98" t="s">
        <v>14154</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14155</v>
      </c>
      <c r="C50" s="97" t="s">
        <v>4215</v>
      </c>
      <c r="D50" s="97">
        <v>3</v>
      </c>
      <c r="E50" s="1626"/>
      <c r="F50" s="1626"/>
      <c r="G50" s="1626"/>
      <c r="H50" s="1626"/>
      <c r="I50" s="1626"/>
      <c r="J50" s="1626"/>
      <c r="K50" s="2178"/>
      <c r="L50" s="2112"/>
      <c r="M50" s="2180"/>
      <c r="N50" s="1626"/>
      <c r="O50" s="1626"/>
      <c r="P50" s="1626"/>
      <c r="Q50" s="1626"/>
      <c r="R50" s="1626"/>
      <c r="S50" s="2178"/>
      <c r="T50" s="2109"/>
      <c r="U50" s="2111" t="s">
        <v>14108</v>
      </c>
      <c r="V50" s="1626"/>
      <c r="W50" s="1626"/>
      <c r="X50" s="1626"/>
      <c r="Y50" s="2334"/>
      <c r="Z50" s="2466"/>
      <c r="AA50" s="2466"/>
      <c r="AB50" s="2466"/>
      <c r="AC50" s="2466"/>
      <c r="AD50" s="2467"/>
      <c r="AE50" s="88"/>
      <c r="AF50" s="98" t="s">
        <v>14156</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14157</v>
      </c>
      <c r="C51" s="97" t="s">
        <v>4215</v>
      </c>
      <c r="D51" s="97">
        <v>3</v>
      </c>
      <c r="E51" s="1626"/>
      <c r="F51" s="1626"/>
      <c r="G51" s="1626"/>
      <c r="H51" s="1626"/>
      <c r="I51" s="1626"/>
      <c r="J51" s="1626"/>
      <c r="K51" s="2178"/>
      <c r="L51" s="2112"/>
      <c r="M51" s="2180"/>
      <c r="N51" s="1626"/>
      <c r="O51" s="1626"/>
      <c r="P51" s="1626"/>
      <c r="Q51" s="1626"/>
      <c r="R51" s="1626"/>
      <c r="S51" s="2178"/>
      <c r="T51" s="2109"/>
      <c r="U51" s="2111" t="s">
        <v>14108</v>
      </c>
      <c r="V51" s="1626"/>
      <c r="W51" s="1626"/>
      <c r="X51" s="1626"/>
      <c r="Y51" s="2334"/>
      <c r="Z51" s="2466"/>
      <c r="AA51" s="2466"/>
      <c r="AB51" s="2466"/>
      <c r="AC51" s="2466"/>
      <c r="AD51" s="2467"/>
      <c r="AE51" s="88"/>
      <c r="AF51" s="98" t="s">
        <v>14158</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14159</v>
      </c>
      <c r="C52" s="97" t="s">
        <v>4215</v>
      </c>
      <c r="D52" s="97">
        <v>3</v>
      </c>
      <c r="E52" s="1626"/>
      <c r="F52" s="1626"/>
      <c r="G52" s="1626"/>
      <c r="H52" s="1626"/>
      <c r="I52" s="1626"/>
      <c r="J52" s="1626"/>
      <c r="K52" s="2178"/>
      <c r="L52" s="2112"/>
      <c r="M52" s="2180"/>
      <c r="N52" s="1626"/>
      <c r="O52" s="1626"/>
      <c r="P52" s="1626"/>
      <c r="Q52" s="1626"/>
      <c r="R52" s="1626"/>
      <c r="S52" s="2178"/>
      <c r="T52" s="2109"/>
      <c r="U52" s="2111" t="s">
        <v>14108</v>
      </c>
      <c r="V52" s="1626"/>
      <c r="W52" s="1626"/>
      <c r="X52" s="1626"/>
      <c r="Y52" s="2334"/>
      <c r="Z52" s="2466"/>
      <c r="AA52" s="2466"/>
      <c r="AB52" s="2466"/>
      <c r="AC52" s="2466"/>
      <c r="AD52" s="2467"/>
      <c r="AE52" s="88"/>
      <c r="AF52" s="98" t="s">
        <v>14160</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14161</v>
      </c>
      <c r="C53" s="97" t="s">
        <v>4215</v>
      </c>
      <c r="D53" s="97">
        <v>3</v>
      </c>
      <c r="E53" s="1626"/>
      <c r="F53" s="1626"/>
      <c r="G53" s="1626"/>
      <c r="H53" s="1626"/>
      <c r="I53" s="1626"/>
      <c r="J53" s="1626"/>
      <c r="K53" s="2178"/>
      <c r="L53" s="2112"/>
      <c r="M53" s="2180"/>
      <c r="N53" s="1626"/>
      <c r="O53" s="1626"/>
      <c r="P53" s="1626"/>
      <c r="Q53" s="1626"/>
      <c r="R53" s="1626"/>
      <c r="S53" s="2178"/>
      <c r="T53" s="2109"/>
      <c r="U53" s="2111" t="s">
        <v>14108</v>
      </c>
      <c r="V53" s="1626"/>
      <c r="W53" s="1626"/>
      <c r="X53" s="1626"/>
      <c r="Y53" s="2334"/>
      <c r="Z53" s="2466"/>
      <c r="AA53" s="2466"/>
      <c r="AB53" s="2466"/>
      <c r="AC53" s="2466"/>
      <c r="AD53" s="2467"/>
      <c r="AE53" s="88"/>
      <c r="AF53" s="98" t="s">
        <v>14162</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14163</v>
      </c>
      <c r="C54" s="97" t="s">
        <v>4215</v>
      </c>
      <c r="D54" s="97">
        <v>3</v>
      </c>
      <c r="E54" s="1626"/>
      <c r="F54" s="1626"/>
      <c r="G54" s="1626"/>
      <c r="H54" s="1626"/>
      <c r="I54" s="1626"/>
      <c r="J54" s="1626"/>
      <c r="K54" s="2178"/>
      <c r="L54" s="2112"/>
      <c r="M54" s="2180"/>
      <c r="N54" s="1626"/>
      <c r="O54" s="1626"/>
      <c r="P54" s="1626"/>
      <c r="Q54" s="1626"/>
      <c r="R54" s="1626"/>
      <c r="S54" s="2178"/>
      <c r="T54" s="2109"/>
      <c r="U54" s="2111" t="s">
        <v>14108</v>
      </c>
      <c r="V54" s="1626"/>
      <c r="W54" s="1626"/>
      <c r="X54" s="1626"/>
      <c r="Y54" s="2334"/>
      <c r="Z54" s="2466"/>
      <c r="AA54" s="2466"/>
      <c r="AB54" s="2466"/>
      <c r="AC54" s="2466"/>
      <c r="AD54" s="2467"/>
      <c r="AE54" s="88"/>
      <c r="AF54" s="98" t="s">
        <v>14164</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14165</v>
      </c>
      <c r="C55" s="97" t="s">
        <v>4215</v>
      </c>
      <c r="D55" s="97">
        <v>3</v>
      </c>
      <c r="E55" s="1626"/>
      <c r="F55" s="1626"/>
      <c r="G55" s="1626"/>
      <c r="H55" s="1626"/>
      <c r="I55" s="1626"/>
      <c r="J55" s="1626"/>
      <c r="K55" s="2178"/>
      <c r="L55" s="2112"/>
      <c r="M55" s="2180"/>
      <c r="N55" s="1626"/>
      <c r="O55" s="1626"/>
      <c r="P55" s="1626"/>
      <c r="Q55" s="1626"/>
      <c r="R55" s="1626"/>
      <c r="S55" s="2178"/>
      <c r="T55" s="2109"/>
      <c r="U55" s="2111" t="s">
        <v>14108</v>
      </c>
      <c r="V55" s="1626"/>
      <c r="W55" s="1626"/>
      <c r="X55" s="1626"/>
      <c r="Y55" s="2334"/>
      <c r="Z55" s="2466"/>
      <c r="AA55" s="2466"/>
      <c r="AB55" s="2466"/>
      <c r="AC55" s="2466"/>
      <c r="AD55" s="2467"/>
      <c r="AE55" s="88"/>
      <c r="AF55" s="98" t="s">
        <v>14166</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14167</v>
      </c>
      <c r="C56" s="97" t="s">
        <v>4215</v>
      </c>
      <c r="D56" s="97">
        <v>3</v>
      </c>
      <c r="E56" s="1626"/>
      <c r="F56" s="1626"/>
      <c r="G56" s="1626"/>
      <c r="H56" s="1626"/>
      <c r="I56" s="1626"/>
      <c r="J56" s="1626"/>
      <c r="K56" s="2178"/>
      <c r="L56" s="2112"/>
      <c r="M56" s="2180"/>
      <c r="N56" s="1626"/>
      <c r="O56" s="1626"/>
      <c r="P56" s="1626"/>
      <c r="Q56" s="1626"/>
      <c r="R56" s="1626"/>
      <c r="S56" s="2178"/>
      <c r="T56" s="2109"/>
      <c r="U56" s="2111" t="s">
        <v>14108</v>
      </c>
      <c r="V56" s="1626"/>
      <c r="W56" s="1626"/>
      <c r="X56" s="1626"/>
      <c r="Y56" s="2334"/>
      <c r="Z56" s="2466"/>
      <c r="AA56" s="2466"/>
      <c r="AB56" s="2466"/>
      <c r="AC56" s="2466"/>
      <c r="AD56" s="2467"/>
      <c r="AE56" s="88"/>
      <c r="AF56" s="98" t="s">
        <v>14168</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14169</v>
      </c>
      <c r="C57" s="97" t="s">
        <v>4215</v>
      </c>
      <c r="D57" s="97">
        <v>3</v>
      </c>
      <c r="E57" s="1626"/>
      <c r="F57" s="1626"/>
      <c r="G57" s="1626"/>
      <c r="H57" s="1626"/>
      <c r="I57" s="1626"/>
      <c r="J57" s="1626"/>
      <c r="K57" s="2178"/>
      <c r="L57" s="2112"/>
      <c r="M57" s="2180"/>
      <c r="N57" s="1626"/>
      <c r="O57" s="1626"/>
      <c r="P57" s="1626"/>
      <c r="Q57" s="1626"/>
      <c r="R57" s="1626"/>
      <c r="S57" s="2178"/>
      <c r="T57" s="2109"/>
      <c r="U57" s="2111" t="s">
        <v>14108</v>
      </c>
      <c r="V57" s="1626"/>
      <c r="W57" s="1626"/>
      <c r="X57" s="1626"/>
      <c r="Y57" s="2334"/>
      <c r="Z57" s="2466"/>
      <c r="AA57" s="2466"/>
      <c r="AB57" s="2466"/>
      <c r="AC57" s="2466"/>
      <c r="AD57" s="2467"/>
      <c r="AE57" s="88"/>
      <c r="AF57" s="98" t="s">
        <v>14170</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14171</v>
      </c>
      <c r="C58" s="97" t="s">
        <v>4215</v>
      </c>
      <c r="D58" s="97">
        <v>3</v>
      </c>
      <c r="E58" s="1626"/>
      <c r="F58" s="1626"/>
      <c r="G58" s="1626"/>
      <c r="H58" s="1626"/>
      <c r="I58" s="1626"/>
      <c r="J58" s="1626"/>
      <c r="K58" s="2178"/>
      <c r="L58" s="2112"/>
      <c r="M58" s="2180"/>
      <c r="N58" s="1626"/>
      <c r="O58" s="1626"/>
      <c r="P58" s="1626"/>
      <c r="Q58" s="1626"/>
      <c r="R58" s="1626"/>
      <c r="S58" s="2178"/>
      <c r="T58" s="2109"/>
      <c r="U58" s="2111" t="s">
        <v>14108</v>
      </c>
      <c r="V58" s="1626"/>
      <c r="W58" s="1626"/>
      <c r="X58" s="1626"/>
      <c r="Y58" s="2334"/>
      <c r="Z58" s="2466"/>
      <c r="AA58" s="2466"/>
      <c r="AB58" s="2466"/>
      <c r="AC58" s="2466"/>
      <c r="AD58" s="2467"/>
      <c r="AE58" s="88"/>
      <c r="AF58" s="98" t="s">
        <v>14172</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14173</v>
      </c>
      <c r="C59" s="97" t="s">
        <v>4215</v>
      </c>
      <c r="D59" s="97">
        <v>3</v>
      </c>
      <c r="E59" s="1626"/>
      <c r="F59" s="1626"/>
      <c r="G59" s="1626"/>
      <c r="H59" s="1626"/>
      <c r="I59" s="1626"/>
      <c r="J59" s="1626"/>
      <c r="K59" s="2178"/>
      <c r="L59" s="2112"/>
      <c r="M59" s="2180"/>
      <c r="N59" s="1626"/>
      <c r="O59" s="1626"/>
      <c r="P59" s="1626"/>
      <c r="Q59" s="1626"/>
      <c r="R59" s="1626"/>
      <c r="S59" s="2178"/>
      <c r="T59" s="2109"/>
      <c r="U59" s="2111" t="s">
        <v>14108</v>
      </c>
      <c r="V59" s="1626"/>
      <c r="W59" s="1626"/>
      <c r="X59" s="1626"/>
      <c r="Y59" s="2334"/>
      <c r="Z59" s="2466"/>
      <c r="AA59" s="2466"/>
      <c r="AB59" s="2466"/>
      <c r="AC59" s="2466"/>
      <c r="AD59" s="2467"/>
      <c r="AE59" s="88"/>
      <c r="AF59" s="98" t="s">
        <v>14174</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14175</v>
      </c>
      <c r="C60" s="97" t="s">
        <v>4215</v>
      </c>
      <c r="D60" s="97">
        <v>3</v>
      </c>
      <c r="E60" s="1626"/>
      <c r="F60" s="1626"/>
      <c r="G60" s="1626"/>
      <c r="H60" s="1626"/>
      <c r="I60" s="1626"/>
      <c r="J60" s="1626"/>
      <c r="K60" s="2178"/>
      <c r="L60" s="2112"/>
      <c r="M60" s="2180"/>
      <c r="N60" s="1626"/>
      <c r="O60" s="1626"/>
      <c r="P60" s="1626"/>
      <c r="Q60" s="1626"/>
      <c r="R60" s="1626"/>
      <c r="S60" s="2178"/>
      <c r="T60" s="2109"/>
      <c r="U60" s="2111" t="s">
        <v>14108</v>
      </c>
      <c r="V60" s="1626"/>
      <c r="W60" s="1626"/>
      <c r="X60" s="1626"/>
      <c r="Y60" s="2334"/>
      <c r="Z60" s="2466"/>
      <c r="AA60" s="2466"/>
      <c r="AB60" s="2466"/>
      <c r="AC60" s="2466"/>
      <c r="AD60" s="2467"/>
      <c r="AE60" s="88"/>
      <c r="AF60" s="98" t="s">
        <v>14176</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14177</v>
      </c>
      <c r="C61" s="97" t="s">
        <v>4215</v>
      </c>
      <c r="D61" s="97">
        <v>3</v>
      </c>
      <c r="E61" s="1626"/>
      <c r="F61" s="1626"/>
      <c r="G61" s="1626"/>
      <c r="H61" s="1626"/>
      <c r="I61" s="1626"/>
      <c r="J61" s="1626"/>
      <c r="K61" s="2178"/>
      <c r="L61" s="2112"/>
      <c r="M61" s="2180"/>
      <c r="N61" s="1626"/>
      <c r="O61" s="1626"/>
      <c r="P61" s="1626"/>
      <c r="Q61" s="1626"/>
      <c r="R61" s="1626"/>
      <c r="S61" s="2178"/>
      <c r="T61" s="2109"/>
      <c r="U61" s="2111" t="s">
        <v>14108</v>
      </c>
      <c r="V61" s="1626"/>
      <c r="W61" s="1626"/>
      <c r="X61" s="1626"/>
      <c r="Y61" s="2334"/>
      <c r="Z61" s="2466"/>
      <c r="AA61" s="2466"/>
      <c r="AB61" s="2466"/>
      <c r="AC61" s="2466"/>
      <c r="AD61" s="2467"/>
      <c r="AE61" s="88"/>
      <c r="AF61" s="98" t="s">
        <v>14178</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14179</v>
      </c>
      <c r="C62" s="97" t="s">
        <v>4215</v>
      </c>
      <c r="D62" s="97">
        <v>3</v>
      </c>
      <c r="E62" s="1626"/>
      <c r="F62" s="1626"/>
      <c r="G62" s="1626"/>
      <c r="H62" s="1626"/>
      <c r="I62" s="1626"/>
      <c r="J62" s="1626"/>
      <c r="K62" s="2178"/>
      <c r="L62" s="2112"/>
      <c r="M62" s="2180"/>
      <c r="N62" s="1626"/>
      <c r="O62" s="1626"/>
      <c r="P62" s="1626"/>
      <c r="Q62" s="1626"/>
      <c r="R62" s="1626"/>
      <c r="S62" s="2178"/>
      <c r="T62" s="2109"/>
      <c r="U62" s="2111" t="s">
        <v>14108</v>
      </c>
      <c r="V62" s="1626"/>
      <c r="W62" s="1626"/>
      <c r="X62" s="1626"/>
      <c r="Y62" s="2334"/>
      <c r="Z62" s="2466"/>
      <c r="AA62" s="2466"/>
      <c r="AB62" s="2466"/>
      <c r="AC62" s="2466"/>
      <c r="AD62" s="2467"/>
      <c r="AE62" s="88"/>
      <c r="AF62" s="98" t="s">
        <v>14180</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14181</v>
      </c>
      <c r="C63" s="97" t="s">
        <v>4215</v>
      </c>
      <c r="D63" s="97">
        <v>3</v>
      </c>
      <c r="E63" s="1626"/>
      <c r="F63" s="1626"/>
      <c r="G63" s="1626"/>
      <c r="H63" s="1626"/>
      <c r="I63" s="1626"/>
      <c r="J63" s="1626"/>
      <c r="K63" s="2178"/>
      <c r="L63" s="2112"/>
      <c r="M63" s="2180"/>
      <c r="N63" s="1626"/>
      <c r="O63" s="1626"/>
      <c r="P63" s="1626"/>
      <c r="Q63" s="1626"/>
      <c r="R63" s="1626"/>
      <c r="S63" s="2178"/>
      <c r="T63" s="2109"/>
      <c r="U63" s="2111" t="s">
        <v>14108</v>
      </c>
      <c r="V63" s="1626"/>
      <c r="W63" s="1626"/>
      <c r="X63" s="1626"/>
      <c r="Y63" s="2334"/>
      <c r="Z63" s="2466"/>
      <c r="AA63" s="2466"/>
      <c r="AB63" s="2466"/>
      <c r="AC63" s="2466"/>
      <c r="AD63" s="2467"/>
      <c r="AE63" s="88"/>
      <c r="AF63" s="98" t="s">
        <v>14182</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14183</v>
      </c>
      <c r="C64" s="97" t="s">
        <v>4215</v>
      </c>
      <c r="D64" s="97">
        <v>3</v>
      </c>
      <c r="E64" s="1626"/>
      <c r="F64" s="1626"/>
      <c r="G64" s="1626"/>
      <c r="H64" s="1626"/>
      <c r="I64" s="1626"/>
      <c r="J64" s="1626"/>
      <c r="K64" s="2178"/>
      <c r="L64" s="2112"/>
      <c r="M64" s="2180"/>
      <c r="N64" s="1626"/>
      <c r="O64" s="1626"/>
      <c r="P64" s="1626"/>
      <c r="Q64" s="1626"/>
      <c r="R64" s="1626"/>
      <c r="S64" s="2178"/>
      <c r="T64" s="2109"/>
      <c r="U64" s="2111" t="s">
        <v>14108</v>
      </c>
      <c r="V64" s="1626"/>
      <c r="W64" s="1626"/>
      <c r="X64" s="1626"/>
      <c r="Y64" s="2334"/>
      <c r="Z64" s="2466"/>
      <c r="AA64" s="2466"/>
      <c r="AB64" s="2466"/>
      <c r="AC64" s="2466"/>
      <c r="AD64" s="2467"/>
      <c r="AE64" s="88"/>
      <c r="AF64" s="98" t="s">
        <v>14184</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14185</v>
      </c>
      <c r="C65" s="97" t="s">
        <v>4215</v>
      </c>
      <c r="D65" s="97">
        <v>3</v>
      </c>
      <c r="E65" s="1626"/>
      <c r="F65" s="1626"/>
      <c r="G65" s="1626"/>
      <c r="H65" s="1626"/>
      <c r="I65" s="1626"/>
      <c r="J65" s="1626"/>
      <c r="K65" s="2178"/>
      <c r="L65" s="2112"/>
      <c r="M65" s="2180"/>
      <c r="N65" s="1626"/>
      <c r="O65" s="1626"/>
      <c r="P65" s="1626"/>
      <c r="Q65" s="1626"/>
      <c r="R65" s="1626"/>
      <c r="S65" s="2178"/>
      <c r="T65" s="2109"/>
      <c r="U65" s="2111" t="s">
        <v>14108</v>
      </c>
      <c r="V65" s="1626"/>
      <c r="W65" s="1626"/>
      <c r="X65" s="1626"/>
      <c r="Y65" s="2334"/>
      <c r="Z65" s="2466"/>
      <c r="AA65" s="2466"/>
      <c r="AB65" s="2466"/>
      <c r="AC65" s="2466"/>
      <c r="AD65" s="2467"/>
      <c r="AE65" s="88"/>
      <c r="AF65" s="98" t="s">
        <v>14186</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14187</v>
      </c>
      <c r="C66" s="97" t="s">
        <v>4215</v>
      </c>
      <c r="D66" s="97">
        <v>3</v>
      </c>
      <c r="E66" s="1626"/>
      <c r="F66" s="1626"/>
      <c r="G66" s="1626"/>
      <c r="H66" s="1626"/>
      <c r="I66" s="1626"/>
      <c r="J66" s="1626"/>
      <c r="K66" s="2178"/>
      <c r="L66" s="2112"/>
      <c r="M66" s="2180"/>
      <c r="N66" s="1626"/>
      <c r="O66" s="1626"/>
      <c r="P66" s="1626"/>
      <c r="Q66" s="1626"/>
      <c r="R66" s="1626"/>
      <c r="S66" s="2178"/>
      <c r="T66" s="2109"/>
      <c r="U66" s="2111" t="s">
        <v>14108</v>
      </c>
      <c r="V66" s="1626"/>
      <c r="W66" s="1626"/>
      <c r="X66" s="1626"/>
      <c r="Y66" s="2334"/>
      <c r="Z66" s="2466"/>
      <c r="AA66" s="2466"/>
      <c r="AB66" s="2466"/>
      <c r="AC66" s="2466"/>
      <c r="AD66" s="2467"/>
      <c r="AE66" s="88"/>
      <c r="AF66" s="98" t="s">
        <v>14188</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14189</v>
      </c>
      <c r="C67" s="97" t="s">
        <v>4215</v>
      </c>
      <c r="D67" s="97">
        <v>3</v>
      </c>
      <c r="E67" s="1626"/>
      <c r="F67" s="1626"/>
      <c r="G67" s="1626"/>
      <c r="H67" s="1626"/>
      <c r="I67" s="1626"/>
      <c r="J67" s="1626"/>
      <c r="K67" s="2178"/>
      <c r="L67" s="2112"/>
      <c r="M67" s="2180"/>
      <c r="N67" s="1626"/>
      <c r="O67" s="1626"/>
      <c r="P67" s="1626"/>
      <c r="Q67" s="1626"/>
      <c r="R67" s="1626"/>
      <c r="S67" s="2178"/>
      <c r="T67" s="2109"/>
      <c r="U67" s="2111" t="s">
        <v>14108</v>
      </c>
      <c r="V67" s="1626"/>
      <c r="W67" s="1626"/>
      <c r="X67" s="1626"/>
      <c r="Y67" s="2334"/>
      <c r="Z67" s="2466"/>
      <c r="AA67" s="2466"/>
      <c r="AB67" s="2466"/>
      <c r="AC67" s="2466"/>
      <c r="AD67" s="2467"/>
      <c r="AE67" s="88"/>
      <c r="AF67" s="98" t="s">
        <v>14190</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14191</v>
      </c>
      <c r="C68" s="97" t="s">
        <v>4215</v>
      </c>
      <c r="D68" s="97">
        <v>3</v>
      </c>
      <c r="E68" s="1626"/>
      <c r="F68" s="1626"/>
      <c r="G68" s="1626"/>
      <c r="H68" s="1626"/>
      <c r="I68" s="1626"/>
      <c r="J68" s="1626"/>
      <c r="K68" s="2178"/>
      <c r="L68" s="2112"/>
      <c r="M68" s="2180"/>
      <c r="N68" s="1626"/>
      <c r="O68" s="1626"/>
      <c r="P68" s="1626"/>
      <c r="Q68" s="1626"/>
      <c r="R68" s="1626"/>
      <c r="S68" s="2178"/>
      <c r="T68" s="2109"/>
      <c r="U68" s="2111" t="s">
        <v>14108</v>
      </c>
      <c r="V68" s="1626"/>
      <c r="W68" s="1626"/>
      <c r="X68" s="1626"/>
      <c r="Y68" s="2334"/>
      <c r="Z68" s="2466"/>
      <c r="AA68" s="2466"/>
      <c r="AB68" s="2466"/>
      <c r="AC68" s="2466"/>
      <c r="AD68" s="2467"/>
      <c r="AE68" s="88"/>
      <c r="AF68" s="98" t="s">
        <v>14192</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14193</v>
      </c>
      <c r="C69" s="97" t="s">
        <v>4215</v>
      </c>
      <c r="D69" s="97">
        <v>3</v>
      </c>
      <c r="E69" s="1626"/>
      <c r="F69" s="1626"/>
      <c r="G69" s="1626"/>
      <c r="H69" s="1626"/>
      <c r="I69" s="1626"/>
      <c r="J69" s="1626"/>
      <c r="K69" s="2178"/>
      <c r="L69" s="2112"/>
      <c r="M69" s="2180"/>
      <c r="N69" s="1626"/>
      <c r="O69" s="1626"/>
      <c r="P69" s="1626"/>
      <c r="Q69" s="1626"/>
      <c r="R69" s="1626"/>
      <c r="S69" s="2178"/>
      <c r="T69" s="2109"/>
      <c r="U69" s="2111" t="s">
        <v>14108</v>
      </c>
      <c r="V69" s="1626"/>
      <c r="W69" s="1626"/>
      <c r="X69" s="1626"/>
      <c r="Y69" s="2334"/>
      <c r="Z69" s="2466"/>
      <c r="AA69" s="2466"/>
      <c r="AB69" s="2466"/>
      <c r="AC69" s="2466"/>
      <c r="AD69" s="2467"/>
      <c r="AE69" s="88"/>
      <c r="AF69" s="98" t="s">
        <v>14194</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14195</v>
      </c>
      <c r="C70" s="97" t="s">
        <v>4215</v>
      </c>
      <c r="D70" s="97">
        <v>3</v>
      </c>
      <c r="E70" s="1626"/>
      <c r="F70" s="1626"/>
      <c r="G70" s="1626"/>
      <c r="H70" s="1626"/>
      <c r="I70" s="1626"/>
      <c r="J70" s="1626"/>
      <c r="K70" s="2178"/>
      <c r="L70" s="2112"/>
      <c r="M70" s="2180"/>
      <c r="N70" s="1626"/>
      <c r="O70" s="1626"/>
      <c r="P70" s="1626"/>
      <c r="Q70" s="1626"/>
      <c r="R70" s="1626"/>
      <c r="S70" s="2178"/>
      <c r="T70" s="2109"/>
      <c r="U70" s="2111" t="s">
        <v>14108</v>
      </c>
      <c r="V70" s="1626"/>
      <c r="W70" s="1626"/>
      <c r="X70" s="1626"/>
      <c r="Y70" s="2334"/>
      <c r="Z70" s="2466"/>
      <c r="AA70" s="2466"/>
      <c r="AB70" s="2466"/>
      <c r="AC70" s="2466"/>
      <c r="AD70" s="2467"/>
      <c r="AE70" s="88"/>
      <c r="AF70" s="98" t="s">
        <v>14196</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14197</v>
      </c>
      <c r="C71" s="97" t="s">
        <v>4215</v>
      </c>
      <c r="D71" s="97">
        <v>3</v>
      </c>
      <c r="E71" s="1626"/>
      <c r="F71" s="1626"/>
      <c r="G71" s="1626"/>
      <c r="H71" s="1626"/>
      <c r="I71" s="1626"/>
      <c r="J71" s="1626"/>
      <c r="K71" s="2178"/>
      <c r="L71" s="2112"/>
      <c r="M71" s="2180"/>
      <c r="N71" s="1626"/>
      <c r="O71" s="1626"/>
      <c r="P71" s="1626"/>
      <c r="Q71" s="1626"/>
      <c r="R71" s="1626"/>
      <c r="S71" s="2178"/>
      <c r="T71" s="2109"/>
      <c r="U71" s="2111" t="s">
        <v>14108</v>
      </c>
      <c r="V71" s="1626"/>
      <c r="W71" s="1626"/>
      <c r="X71" s="1626"/>
      <c r="Y71" s="2334"/>
      <c r="Z71" s="2466"/>
      <c r="AA71" s="2466"/>
      <c r="AB71" s="2466"/>
      <c r="AC71" s="2466"/>
      <c r="AD71" s="2467"/>
      <c r="AE71" s="88"/>
      <c r="AF71" s="98" t="s">
        <v>14198</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14199</v>
      </c>
      <c r="C72" s="97" t="s">
        <v>4215</v>
      </c>
      <c r="D72" s="97">
        <v>3</v>
      </c>
      <c r="E72" s="1626"/>
      <c r="F72" s="1626"/>
      <c r="G72" s="1626"/>
      <c r="H72" s="1626"/>
      <c r="I72" s="1626"/>
      <c r="J72" s="1626"/>
      <c r="K72" s="2178"/>
      <c r="L72" s="2112"/>
      <c r="M72" s="2180"/>
      <c r="N72" s="1626"/>
      <c r="O72" s="1626"/>
      <c r="P72" s="1626"/>
      <c r="Q72" s="1626"/>
      <c r="R72" s="1626"/>
      <c r="S72" s="2178"/>
      <c r="T72" s="2109"/>
      <c r="U72" s="2111" t="s">
        <v>14108</v>
      </c>
      <c r="V72" s="1626"/>
      <c r="W72" s="1626"/>
      <c r="X72" s="1626"/>
      <c r="Y72" s="2334"/>
      <c r="Z72" s="2466"/>
      <c r="AA72" s="2466"/>
      <c r="AB72" s="2466"/>
      <c r="AC72" s="2466"/>
      <c r="AD72" s="2467"/>
      <c r="AE72" s="88"/>
      <c r="AF72" s="98" t="s">
        <v>14200</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14201</v>
      </c>
      <c r="C73" s="97" t="s">
        <v>4215</v>
      </c>
      <c r="D73" s="97">
        <v>3</v>
      </c>
      <c r="E73" s="1626"/>
      <c r="F73" s="1626"/>
      <c r="G73" s="1626"/>
      <c r="H73" s="1626"/>
      <c r="I73" s="1626"/>
      <c r="J73" s="1626"/>
      <c r="K73" s="2178"/>
      <c r="L73" s="2112"/>
      <c r="M73" s="2180"/>
      <c r="N73" s="1626"/>
      <c r="O73" s="1626"/>
      <c r="P73" s="1626"/>
      <c r="Q73" s="1626"/>
      <c r="R73" s="1626"/>
      <c r="S73" s="2178"/>
      <c r="T73" s="2109"/>
      <c r="U73" s="2111" t="s">
        <v>14108</v>
      </c>
      <c r="V73" s="1626"/>
      <c r="W73" s="1626"/>
      <c r="X73" s="1626"/>
      <c r="Y73" s="2334"/>
      <c r="Z73" s="2466"/>
      <c r="AA73" s="2466"/>
      <c r="AB73" s="2466"/>
      <c r="AC73" s="2466"/>
      <c r="AD73" s="2467"/>
      <c r="AE73" s="88"/>
      <c r="AF73" s="98" t="s">
        <v>14202</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14203</v>
      </c>
      <c r="C74" s="97" t="s">
        <v>4215</v>
      </c>
      <c r="D74" s="97">
        <v>3</v>
      </c>
      <c r="E74" s="1626"/>
      <c r="F74" s="1626"/>
      <c r="G74" s="1626"/>
      <c r="H74" s="1626"/>
      <c r="I74" s="1626"/>
      <c r="J74" s="1626"/>
      <c r="K74" s="2178"/>
      <c r="L74" s="2112"/>
      <c r="M74" s="2180"/>
      <c r="N74" s="1626"/>
      <c r="O74" s="1626"/>
      <c r="P74" s="1626"/>
      <c r="Q74" s="1626"/>
      <c r="R74" s="1626"/>
      <c r="S74" s="2178"/>
      <c r="T74" s="2109"/>
      <c r="U74" s="2111" t="s">
        <v>14108</v>
      </c>
      <c r="V74" s="1626"/>
      <c r="W74" s="1626"/>
      <c r="X74" s="1626"/>
      <c r="Y74" s="2334"/>
      <c r="Z74" s="2466"/>
      <c r="AA74" s="2466"/>
      <c r="AB74" s="2466"/>
      <c r="AC74" s="2466"/>
      <c r="AD74" s="2467"/>
      <c r="AE74" s="88"/>
      <c r="AF74" s="98" t="s">
        <v>14204</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14205</v>
      </c>
      <c r="C75" s="97" t="s">
        <v>4215</v>
      </c>
      <c r="D75" s="97">
        <v>3</v>
      </c>
      <c r="E75" s="1626"/>
      <c r="F75" s="1626"/>
      <c r="G75" s="1626"/>
      <c r="H75" s="1626"/>
      <c r="I75" s="1626"/>
      <c r="J75" s="1626"/>
      <c r="K75" s="2178"/>
      <c r="L75" s="2112"/>
      <c r="M75" s="2180"/>
      <c r="N75" s="1626"/>
      <c r="O75" s="1626"/>
      <c r="P75" s="1626"/>
      <c r="Q75" s="1626"/>
      <c r="R75" s="1626"/>
      <c r="S75" s="2178"/>
      <c r="T75" s="2109"/>
      <c r="U75" s="2111" t="s">
        <v>14108</v>
      </c>
      <c r="V75" s="1626"/>
      <c r="W75" s="1626"/>
      <c r="X75" s="1626"/>
      <c r="Y75" s="2334"/>
      <c r="Z75" s="2466"/>
      <c r="AA75" s="2466"/>
      <c r="AB75" s="2466"/>
      <c r="AC75" s="2466"/>
      <c r="AD75" s="2467"/>
      <c r="AE75" s="88"/>
      <c r="AF75" s="98" t="s">
        <v>14206</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14207</v>
      </c>
      <c r="C76" s="97" t="s">
        <v>4215</v>
      </c>
      <c r="D76" s="97">
        <v>3</v>
      </c>
      <c r="E76" s="1626"/>
      <c r="F76" s="1626"/>
      <c r="G76" s="1626"/>
      <c r="H76" s="1626"/>
      <c r="I76" s="1626"/>
      <c r="J76" s="1626"/>
      <c r="K76" s="2178"/>
      <c r="L76" s="2112"/>
      <c r="M76" s="2180"/>
      <c r="N76" s="1626"/>
      <c r="O76" s="1626"/>
      <c r="P76" s="1626"/>
      <c r="Q76" s="1626"/>
      <c r="R76" s="1626"/>
      <c r="S76" s="2178"/>
      <c r="T76" s="2109"/>
      <c r="U76" s="2111" t="s">
        <v>14108</v>
      </c>
      <c r="V76" s="1626"/>
      <c r="W76" s="1626"/>
      <c r="X76" s="1626"/>
      <c r="Y76" s="2334"/>
      <c r="Z76" s="2466"/>
      <c r="AA76" s="2466"/>
      <c r="AB76" s="2466"/>
      <c r="AC76" s="2466"/>
      <c r="AD76" s="2467"/>
      <c r="AE76" s="88"/>
      <c r="AF76" s="98" t="s">
        <v>14208</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14209</v>
      </c>
      <c r="C77" s="97" t="s">
        <v>4215</v>
      </c>
      <c r="D77" s="97">
        <v>3</v>
      </c>
      <c r="E77" s="1626"/>
      <c r="F77" s="1626"/>
      <c r="G77" s="1626"/>
      <c r="H77" s="1626"/>
      <c r="I77" s="1626"/>
      <c r="J77" s="1626"/>
      <c r="K77" s="2178"/>
      <c r="L77" s="2112"/>
      <c r="M77" s="2180"/>
      <c r="N77" s="1626"/>
      <c r="O77" s="1626"/>
      <c r="P77" s="1626"/>
      <c r="Q77" s="1626"/>
      <c r="R77" s="1626"/>
      <c r="S77" s="2178"/>
      <c r="T77" s="2109"/>
      <c r="U77" s="2111" t="s">
        <v>14108</v>
      </c>
      <c r="V77" s="1626"/>
      <c r="W77" s="1626"/>
      <c r="X77" s="1626"/>
      <c r="Y77" s="2334"/>
      <c r="Z77" s="2466"/>
      <c r="AA77" s="2466"/>
      <c r="AB77" s="2466"/>
      <c r="AC77" s="2466"/>
      <c r="AD77" s="2467"/>
      <c r="AE77" s="88"/>
      <c r="AF77" s="98" t="s">
        <v>14210</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14211</v>
      </c>
      <c r="C78" s="97" t="s">
        <v>4215</v>
      </c>
      <c r="D78" s="97">
        <v>3</v>
      </c>
      <c r="E78" s="1626"/>
      <c r="F78" s="1626"/>
      <c r="G78" s="1626"/>
      <c r="H78" s="1626"/>
      <c r="I78" s="1626"/>
      <c r="J78" s="1626"/>
      <c r="K78" s="2178"/>
      <c r="L78" s="2112"/>
      <c r="M78" s="2180"/>
      <c r="N78" s="1626"/>
      <c r="O78" s="1626"/>
      <c r="P78" s="1626"/>
      <c r="Q78" s="1626"/>
      <c r="R78" s="1626"/>
      <c r="S78" s="2178"/>
      <c r="T78" s="2109"/>
      <c r="U78" s="2111" t="s">
        <v>14108</v>
      </c>
      <c r="V78" s="1626"/>
      <c r="W78" s="1626"/>
      <c r="X78" s="1626"/>
      <c r="Y78" s="2334"/>
      <c r="Z78" s="2466"/>
      <c r="AA78" s="2466"/>
      <c r="AB78" s="2466"/>
      <c r="AC78" s="2466"/>
      <c r="AD78" s="2467"/>
      <c r="AE78" s="88"/>
      <c r="AF78" s="98" t="s">
        <v>14212</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14213</v>
      </c>
      <c r="C79" s="97" t="s">
        <v>4215</v>
      </c>
      <c r="D79" s="97">
        <v>3</v>
      </c>
      <c r="E79" s="1626"/>
      <c r="F79" s="1626"/>
      <c r="G79" s="1626"/>
      <c r="H79" s="1626"/>
      <c r="I79" s="1626"/>
      <c r="J79" s="1626"/>
      <c r="K79" s="2178"/>
      <c r="L79" s="2112"/>
      <c r="M79" s="2180"/>
      <c r="N79" s="1626"/>
      <c r="O79" s="1626"/>
      <c r="P79" s="1626"/>
      <c r="Q79" s="1626"/>
      <c r="R79" s="1626"/>
      <c r="S79" s="2178"/>
      <c r="T79" s="2109"/>
      <c r="U79" s="2111" t="s">
        <v>14108</v>
      </c>
      <c r="V79" s="1626"/>
      <c r="W79" s="1626"/>
      <c r="X79" s="1626"/>
      <c r="Y79" s="2334"/>
      <c r="Z79" s="2466"/>
      <c r="AA79" s="2466"/>
      <c r="AB79" s="2466"/>
      <c r="AC79" s="2466"/>
      <c r="AD79" s="2467"/>
      <c r="AE79" s="88"/>
      <c r="AF79" s="98" t="s">
        <v>14214</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14215</v>
      </c>
      <c r="C80" s="97" t="s">
        <v>4215</v>
      </c>
      <c r="D80" s="97">
        <v>3</v>
      </c>
      <c r="E80" s="1626"/>
      <c r="F80" s="1626"/>
      <c r="G80" s="1626"/>
      <c r="H80" s="1626"/>
      <c r="I80" s="1626"/>
      <c r="J80" s="1626"/>
      <c r="K80" s="2178"/>
      <c r="L80" s="2112"/>
      <c r="M80" s="2180"/>
      <c r="N80" s="1626"/>
      <c r="O80" s="1626"/>
      <c r="P80" s="1626"/>
      <c r="Q80" s="1626"/>
      <c r="R80" s="1626"/>
      <c r="S80" s="2178"/>
      <c r="T80" s="2109"/>
      <c r="U80" s="2111" t="s">
        <v>14108</v>
      </c>
      <c r="V80" s="1626"/>
      <c r="W80" s="1626"/>
      <c r="X80" s="1626"/>
      <c r="Y80" s="2334"/>
      <c r="Z80" s="2466"/>
      <c r="AA80" s="2466"/>
      <c r="AB80" s="2466"/>
      <c r="AC80" s="2466"/>
      <c r="AD80" s="2467"/>
      <c r="AE80" s="88"/>
      <c r="AF80" s="98" t="s">
        <v>14216</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14217</v>
      </c>
      <c r="C81" s="97" t="s">
        <v>4215</v>
      </c>
      <c r="D81" s="97">
        <v>3</v>
      </c>
      <c r="E81" s="1626"/>
      <c r="F81" s="1626"/>
      <c r="G81" s="1626"/>
      <c r="H81" s="1626"/>
      <c r="I81" s="1626"/>
      <c r="J81" s="1626"/>
      <c r="K81" s="2178"/>
      <c r="L81" s="2112"/>
      <c r="M81" s="2180"/>
      <c r="N81" s="1626"/>
      <c r="O81" s="1626"/>
      <c r="P81" s="1626"/>
      <c r="Q81" s="1626"/>
      <c r="R81" s="1626"/>
      <c r="S81" s="2178"/>
      <c r="T81" s="2109"/>
      <c r="U81" s="2111" t="s">
        <v>14108</v>
      </c>
      <c r="V81" s="1626"/>
      <c r="W81" s="1626"/>
      <c r="X81" s="1626"/>
      <c r="Y81" s="2334"/>
      <c r="Z81" s="2466"/>
      <c r="AA81" s="2466"/>
      <c r="AB81" s="2466"/>
      <c r="AC81" s="2466"/>
      <c r="AD81" s="2467"/>
      <c r="AE81" s="88"/>
      <c r="AF81" s="98" t="s">
        <v>14218</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14219</v>
      </c>
      <c r="C82" s="97" t="s">
        <v>4215</v>
      </c>
      <c r="D82" s="97">
        <v>3</v>
      </c>
      <c r="E82" s="1626"/>
      <c r="F82" s="1626"/>
      <c r="G82" s="1626"/>
      <c r="H82" s="1626"/>
      <c r="I82" s="1626"/>
      <c r="J82" s="1626"/>
      <c r="K82" s="2178"/>
      <c r="L82" s="2112"/>
      <c r="M82" s="2180"/>
      <c r="N82" s="1626"/>
      <c r="O82" s="1626"/>
      <c r="P82" s="1626"/>
      <c r="Q82" s="1626"/>
      <c r="R82" s="1626"/>
      <c r="S82" s="2178"/>
      <c r="T82" s="2109"/>
      <c r="U82" s="2111" t="s">
        <v>14108</v>
      </c>
      <c r="V82" s="1626"/>
      <c r="W82" s="1626"/>
      <c r="X82" s="1626"/>
      <c r="Y82" s="2334"/>
      <c r="Z82" s="2466"/>
      <c r="AA82" s="2466"/>
      <c r="AB82" s="2466"/>
      <c r="AC82" s="2466"/>
      <c r="AD82" s="2467"/>
      <c r="AE82" s="88"/>
      <c r="AF82" s="98" t="s">
        <v>14220</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14221</v>
      </c>
      <c r="C83" s="97" t="s">
        <v>4215</v>
      </c>
      <c r="D83" s="97">
        <v>3</v>
      </c>
      <c r="E83" s="1626"/>
      <c r="F83" s="1626"/>
      <c r="G83" s="1626"/>
      <c r="H83" s="1626"/>
      <c r="I83" s="1626"/>
      <c r="J83" s="1626"/>
      <c r="K83" s="2178"/>
      <c r="L83" s="2112"/>
      <c r="M83" s="2180"/>
      <c r="N83" s="1626"/>
      <c r="O83" s="1626"/>
      <c r="P83" s="1626"/>
      <c r="Q83" s="1626"/>
      <c r="R83" s="1626"/>
      <c r="S83" s="2178"/>
      <c r="T83" s="2109"/>
      <c r="U83" s="2111" t="s">
        <v>14108</v>
      </c>
      <c r="V83" s="1626"/>
      <c r="W83" s="1626"/>
      <c r="X83" s="1626"/>
      <c r="Y83" s="2334"/>
      <c r="Z83" s="2466"/>
      <c r="AA83" s="2466"/>
      <c r="AB83" s="2466"/>
      <c r="AC83" s="2466"/>
      <c r="AD83" s="2467"/>
      <c r="AE83" s="88"/>
      <c r="AF83" s="98" t="s">
        <v>14222</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14223</v>
      </c>
      <c r="C84" s="97" t="s">
        <v>4215</v>
      </c>
      <c r="D84" s="97">
        <v>3</v>
      </c>
      <c r="E84" s="1626"/>
      <c r="F84" s="1626"/>
      <c r="G84" s="1626"/>
      <c r="H84" s="1626"/>
      <c r="I84" s="1626"/>
      <c r="J84" s="1626"/>
      <c r="K84" s="2178"/>
      <c r="L84" s="2112"/>
      <c r="M84" s="2180"/>
      <c r="N84" s="1626"/>
      <c r="O84" s="1626"/>
      <c r="P84" s="1626"/>
      <c r="Q84" s="1626"/>
      <c r="R84" s="1626"/>
      <c r="S84" s="2178"/>
      <c r="T84" s="2109"/>
      <c r="U84" s="2111" t="s">
        <v>14108</v>
      </c>
      <c r="V84" s="1626"/>
      <c r="W84" s="1626"/>
      <c r="X84" s="1626"/>
      <c r="Y84" s="2334"/>
      <c r="Z84" s="2466"/>
      <c r="AA84" s="2466"/>
      <c r="AB84" s="2466"/>
      <c r="AC84" s="2466"/>
      <c r="AD84" s="2467"/>
      <c r="AE84" s="88"/>
      <c r="AF84" s="98" t="s">
        <v>14224</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14225</v>
      </c>
      <c r="C85" s="97" t="s">
        <v>4215</v>
      </c>
      <c r="D85" s="97">
        <v>3</v>
      </c>
      <c r="E85" s="1626"/>
      <c r="F85" s="1626"/>
      <c r="G85" s="1626"/>
      <c r="H85" s="1626"/>
      <c r="I85" s="1626"/>
      <c r="J85" s="1626"/>
      <c r="K85" s="2178"/>
      <c r="L85" s="2112"/>
      <c r="M85" s="2180"/>
      <c r="N85" s="1626"/>
      <c r="O85" s="1626"/>
      <c r="P85" s="1626"/>
      <c r="Q85" s="1626"/>
      <c r="R85" s="1626"/>
      <c r="S85" s="2178"/>
      <c r="T85" s="2109"/>
      <c r="U85" s="2111" t="s">
        <v>14108</v>
      </c>
      <c r="V85" s="1626"/>
      <c r="W85" s="1626"/>
      <c r="X85" s="1626"/>
      <c r="Y85" s="2334"/>
      <c r="Z85" s="2466"/>
      <c r="AA85" s="2466"/>
      <c r="AB85" s="2466"/>
      <c r="AC85" s="2466"/>
      <c r="AD85" s="2467"/>
      <c r="AE85" s="88"/>
      <c r="AF85" s="98" t="s">
        <v>14226</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14227</v>
      </c>
      <c r="C86" s="97" t="s">
        <v>4215</v>
      </c>
      <c r="D86" s="97">
        <v>3</v>
      </c>
      <c r="E86" s="1626"/>
      <c r="F86" s="1626"/>
      <c r="G86" s="1626"/>
      <c r="H86" s="1626"/>
      <c r="I86" s="1626"/>
      <c r="J86" s="1626"/>
      <c r="K86" s="2178"/>
      <c r="L86" s="2112"/>
      <c r="M86" s="2180"/>
      <c r="N86" s="1626"/>
      <c r="O86" s="1626"/>
      <c r="P86" s="1626"/>
      <c r="Q86" s="1626"/>
      <c r="R86" s="1626"/>
      <c r="S86" s="2178"/>
      <c r="T86" s="2109"/>
      <c r="U86" s="2111" t="s">
        <v>14108</v>
      </c>
      <c r="V86" s="1626"/>
      <c r="W86" s="1626"/>
      <c r="X86" s="1626"/>
      <c r="Y86" s="2334"/>
      <c r="Z86" s="2466"/>
      <c r="AA86" s="2466"/>
      <c r="AB86" s="2466"/>
      <c r="AC86" s="2466"/>
      <c r="AD86" s="2467"/>
      <c r="AE86" s="88"/>
      <c r="AF86" s="98" t="s">
        <v>14228</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14229</v>
      </c>
      <c r="C87" s="97" t="s">
        <v>4215</v>
      </c>
      <c r="D87" s="97">
        <v>3</v>
      </c>
      <c r="E87" s="1626"/>
      <c r="F87" s="1626"/>
      <c r="G87" s="1626"/>
      <c r="H87" s="1626"/>
      <c r="I87" s="1626"/>
      <c r="J87" s="1626"/>
      <c r="K87" s="2178"/>
      <c r="L87" s="2112"/>
      <c r="M87" s="2180"/>
      <c r="N87" s="1626"/>
      <c r="O87" s="1626"/>
      <c r="P87" s="1626"/>
      <c r="Q87" s="1626"/>
      <c r="R87" s="1626"/>
      <c r="S87" s="2178"/>
      <c r="T87" s="2109"/>
      <c r="U87" s="2111" t="s">
        <v>14108</v>
      </c>
      <c r="V87" s="1626"/>
      <c r="W87" s="1626"/>
      <c r="X87" s="1626"/>
      <c r="Y87" s="2334"/>
      <c r="Z87" s="2466"/>
      <c r="AA87" s="2466"/>
      <c r="AB87" s="2466"/>
      <c r="AC87" s="2466"/>
      <c r="AD87" s="2467"/>
      <c r="AE87" s="88"/>
      <c r="AF87" s="98" t="s">
        <v>14230</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14231</v>
      </c>
      <c r="C88" s="97" t="s">
        <v>4215</v>
      </c>
      <c r="D88" s="97">
        <v>3</v>
      </c>
      <c r="E88" s="1626"/>
      <c r="F88" s="1626"/>
      <c r="G88" s="1626"/>
      <c r="H88" s="1626"/>
      <c r="I88" s="1626"/>
      <c r="J88" s="1626"/>
      <c r="K88" s="2178"/>
      <c r="L88" s="2112"/>
      <c r="M88" s="2180"/>
      <c r="N88" s="1626"/>
      <c r="O88" s="1626"/>
      <c r="P88" s="1626"/>
      <c r="Q88" s="1626"/>
      <c r="R88" s="1626"/>
      <c r="S88" s="2178"/>
      <c r="T88" s="2109"/>
      <c r="U88" s="2111" t="s">
        <v>14108</v>
      </c>
      <c r="V88" s="1626"/>
      <c r="W88" s="1626"/>
      <c r="X88" s="1626"/>
      <c r="Y88" s="2334"/>
      <c r="Z88" s="2466"/>
      <c r="AA88" s="2466"/>
      <c r="AB88" s="2466"/>
      <c r="AC88" s="2466"/>
      <c r="AD88" s="2467"/>
      <c r="AE88" s="88"/>
      <c r="AF88" s="98" t="s">
        <v>14232</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14233</v>
      </c>
      <c r="C89" s="97" t="s">
        <v>4215</v>
      </c>
      <c r="D89" s="97">
        <v>3</v>
      </c>
      <c r="E89" s="1626"/>
      <c r="F89" s="1626"/>
      <c r="G89" s="1626"/>
      <c r="H89" s="1626"/>
      <c r="I89" s="1626"/>
      <c r="J89" s="1626"/>
      <c r="K89" s="2178"/>
      <c r="L89" s="2112"/>
      <c r="M89" s="2180"/>
      <c r="N89" s="1626"/>
      <c r="O89" s="1626"/>
      <c r="P89" s="1626"/>
      <c r="Q89" s="1626"/>
      <c r="R89" s="1626"/>
      <c r="S89" s="2178"/>
      <c r="T89" s="2109"/>
      <c r="U89" s="2111" t="s">
        <v>14108</v>
      </c>
      <c r="V89" s="1626"/>
      <c r="W89" s="1626"/>
      <c r="X89" s="1626"/>
      <c r="Y89" s="2334"/>
      <c r="Z89" s="2466"/>
      <c r="AA89" s="2466"/>
      <c r="AB89" s="2466"/>
      <c r="AC89" s="2466"/>
      <c r="AD89" s="2467"/>
      <c r="AE89" s="88"/>
      <c r="AF89" s="98" t="s">
        <v>14234</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14235</v>
      </c>
      <c r="C90" s="97" t="s">
        <v>4215</v>
      </c>
      <c r="D90" s="97">
        <v>3</v>
      </c>
      <c r="E90" s="1626"/>
      <c r="F90" s="1626"/>
      <c r="G90" s="1626"/>
      <c r="H90" s="1626"/>
      <c r="I90" s="1626"/>
      <c r="J90" s="1626"/>
      <c r="K90" s="2178"/>
      <c r="L90" s="2112"/>
      <c r="M90" s="2180"/>
      <c r="N90" s="1626"/>
      <c r="O90" s="1626"/>
      <c r="P90" s="1626"/>
      <c r="Q90" s="1626"/>
      <c r="R90" s="1626"/>
      <c r="S90" s="2178"/>
      <c r="T90" s="2109"/>
      <c r="U90" s="2111" t="s">
        <v>14108</v>
      </c>
      <c r="V90" s="1626"/>
      <c r="W90" s="1626"/>
      <c r="X90" s="1626"/>
      <c r="Y90" s="2334"/>
      <c r="Z90" s="2466"/>
      <c r="AA90" s="2466"/>
      <c r="AB90" s="2466"/>
      <c r="AC90" s="2466"/>
      <c r="AD90" s="2467"/>
      <c r="AE90" s="88"/>
      <c r="AF90" s="98" t="s">
        <v>14236</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14237</v>
      </c>
      <c r="C91" s="97" t="s">
        <v>4215</v>
      </c>
      <c r="D91" s="97">
        <v>3</v>
      </c>
      <c r="E91" s="1626"/>
      <c r="F91" s="1626"/>
      <c r="G91" s="1626"/>
      <c r="H91" s="1626"/>
      <c r="I91" s="1626"/>
      <c r="J91" s="1626"/>
      <c r="K91" s="2178"/>
      <c r="L91" s="2112"/>
      <c r="M91" s="2180"/>
      <c r="N91" s="1626"/>
      <c r="O91" s="1626"/>
      <c r="P91" s="1626"/>
      <c r="Q91" s="1626"/>
      <c r="R91" s="1626"/>
      <c r="S91" s="2178"/>
      <c r="T91" s="2109"/>
      <c r="U91" s="2111" t="s">
        <v>14108</v>
      </c>
      <c r="V91" s="1626"/>
      <c r="W91" s="1626"/>
      <c r="X91" s="1626"/>
      <c r="Y91" s="2334"/>
      <c r="Z91" s="2466"/>
      <c r="AA91" s="2466"/>
      <c r="AB91" s="2466"/>
      <c r="AC91" s="2466"/>
      <c r="AD91" s="2467"/>
      <c r="AE91" s="88"/>
      <c r="AF91" s="98" t="s">
        <v>14238</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14239</v>
      </c>
      <c r="C92" s="97" t="s">
        <v>4215</v>
      </c>
      <c r="D92" s="97">
        <v>3</v>
      </c>
      <c r="E92" s="1626"/>
      <c r="F92" s="1626"/>
      <c r="G92" s="1626"/>
      <c r="H92" s="1626"/>
      <c r="I92" s="1626"/>
      <c r="J92" s="1626"/>
      <c r="K92" s="2178"/>
      <c r="L92" s="2112"/>
      <c r="M92" s="2180"/>
      <c r="N92" s="1626"/>
      <c r="O92" s="1626"/>
      <c r="P92" s="1626"/>
      <c r="Q92" s="1626"/>
      <c r="R92" s="1626"/>
      <c r="S92" s="2178"/>
      <c r="T92" s="2109"/>
      <c r="U92" s="2111" t="s">
        <v>14108</v>
      </c>
      <c r="V92" s="1626"/>
      <c r="W92" s="1626"/>
      <c r="X92" s="1626"/>
      <c r="Y92" s="2334"/>
      <c r="Z92" s="2466"/>
      <c r="AA92" s="2466"/>
      <c r="AB92" s="2466"/>
      <c r="AC92" s="2466"/>
      <c r="AD92" s="2467"/>
      <c r="AE92" s="88"/>
      <c r="AF92" s="98" t="s">
        <v>14240</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14241</v>
      </c>
      <c r="C93" s="97" t="s">
        <v>4215</v>
      </c>
      <c r="D93" s="97">
        <v>3</v>
      </c>
      <c r="E93" s="1626"/>
      <c r="F93" s="1626"/>
      <c r="G93" s="1626"/>
      <c r="H93" s="1626"/>
      <c r="I93" s="1626"/>
      <c r="J93" s="1626"/>
      <c r="K93" s="2178"/>
      <c r="L93" s="2112"/>
      <c r="M93" s="2180"/>
      <c r="N93" s="1626"/>
      <c r="O93" s="1626"/>
      <c r="P93" s="1626"/>
      <c r="Q93" s="1626"/>
      <c r="R93" s="1626"/>
      <c r="S93" s="2178"/>
      <c r="T93" s="2109"/>
      <c r="U93" s="2111" t="s">
        <v>14108</v>
      </c>
      <c r="V93" s="1626"/>
      <c r="W93" s="1626"/>
      <c r="X93" s="1626"/>
      <c r="Y93" s="2334"/>
      <c r="Z93" s="2466"/>
      <c r="AA93" s="2466"/>
      <c r="AB93" s="2466"/>
      <c r="AC93" s="2466"/>
      <c r="AD93" s="2467"/>
      <c r="AE93" s="88"/>
      <c r="AF93" s="98" t="s">
        <v>14242</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14243</v>
      </c>
      <c r="C94" s="97" t="s">
        <v>4215</v>
      </c>
      <c r="D94" s="97">
        <v>3</v>
      </c>
      <c r="E94" s="1626"/>
      <c r="F94" s="1626"/>
      <c r="G94" s="1626"/>
      <c r="H94" s="1626"/>
      <c r="I94" s="1626"/>
      <c r="J94" s="1626"/>
      <c r="K94" s="2178"/>
      <c r="L94" s="2112"/>
      <c r="M94" s="2180"/>
      <c r="N94" s="1626"/>
      <c r="O94" s="1626"/>
      <c r="P94" s="1626"/>
      <c r="Q94" s="1626"/>
      <c r="R94" s="1626"/>
      <c r="S94" s="2178"/>
      <c r="T94" s="2109"/>
      <c r="U94" s="2111" t="s">
        <v>14108</v>
      </c>
      <c r="V94" s="1626"/>
      <c r="W94" s="1626"/>
      <c r="X94" s="1626"/>
      <c r="Y94" s="2334"/>
      <c r="Z94" s="2466"/>
      <c r="AA94" s="2466"/>
      <c r="AB94" s="2466"/>
      <c r="AC94" s="2466"/>
      <c r="AD94" s="2467"/>
      <c r="AE94" s="88"/>
      <c r="AF94" s="98" t="s">
        <v>14244</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14245</v>
      </c>
      <c r="C95" s="97" t="s">
        <v>4215</v>
      </c>
      <c r="D95" s="97">
        <v>3</v>
      </c>
      <c r="E95" s="1626"/>
      <c r="F95" s="1626"/>
      <c r="G95" s="1626"/>
      <c r="H95" s="1626"/>
      <c r="I95" s="1626"/>
      <c r="J95" s="1626"/>
      <c r="K95" s="2178"/>
      <c r="L95" s="2112"/>
      <c r="M95" s="2180"/>
      <c r="N95" s="1626"/>
      <c r="O95" s="1626"/>
      <c r="P95" s="1626"/>
      <c r="Q95" s="1626"/>
      <c r="R95" s="1626"/>
      <c r="S95" s="2178"/>
      <c r="T95" s="2109"/>
      <c r="U95" s="2111" t="s">
        <v>14108</v>
      </c>
      <c r="V95" s="1626"/>
      <c r="W95" s="1626"/>
      <c r="X95" s="1626"/>
      <c r="Y95" s="2334"/>
      <c r="Z95" s="2466"/>
      <c r="AA95" s="2466"/>
      <c r="AB95" s="2466"/>
      <c r="AC95" s="2466"/>
      <c r="AD95" s="2467"/>
      <c r="AE95" s="88"/>
      <c r="AF95" s="98" t="s">
        <v>14246</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14247</v>
      </c>
      <c r="C96" s="97" t="s">
        <v>4215</v>
      </c>
      <c r="D96" s="97">
        <v>3</v>
      </c>
      <c r="E96" s="1626"/>
      <c r="F96" s="1626"/>
      <c r="G96" s="1626"/>
      <c r="H96" s="1626"/>
      <c r="I96" s="1626"/>
      <c r="J96" s="1626"/>
      <c r="K96" s="2178"/>
      <c r="L96" s="2112"/>
      <c r="M96" s="2180"/>
      <c r="N96" s="1626"/>
      <c r="O96" s="1626"/>
      <c r="P96" s="1626"/>
      <c r="Q96" s="1626"/>
      <c r="R96" s="1626"/>
      <c r="S96" s="2178"/>
      <c r="T96" s="2109"/>
      <c r="U96" s="2111" t="s">
        <v>14108</v>
      </c>
      <c r="V96" s="1626"/>
      <c r="W96" s="1626"/>
      <c r="X96" s="1626"/>
      <c r="Y96" s="2334"/>
      <c r="Z96" s="2466"/>
      <c r="AA96" s="2466"/>
      <c r="AB96" s="2466"/>
      <c r="AC96" s="2466"/>
      <c r="AD96" s="2467"/>
      <c r="AE96" s="88"/>
      <c r="AF96" s="98" t="s">
        <v>14248</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14249</v>
      </c>
      <c r="C97" s="97" t="s">
        <v>4215</v>
      </c>
      <c r="D97" s="97">
        <v>3</v>
      </c>
      <c r="E97" s="1626"/>
      <c r="F97" s="1626"/>
      <c r="G97" s="1626"/>
      <c r="H97" s="1626"/>
      <c r="I97" s="1626"/>
      <c r="J97" s="1626"/>
      <c r="K97" s="2178"/>
      <c r="L97" s="2112"/>
      <c r="M97" s="2180"/>
      <c r="N97" s="1626"/>
      <c r="O97" s="1626"/>
      <c r="P97" s="1626"/>
      <c r="Q97" s="1626"/>
      <c r="R97" s="1626"/>
      <c r="S97" s="2178"/>
      <c r="T97" s="2109"/>
      <c r="U97" s="2111" t="s">
        <v>14108</v>
      </c>
      <c r="V97" s="1626"/>
      <c r="W97" s="1626"/>
      <c r="X97" s="1626"/>
      <c r="Y97" s="2334"/>
      <c r="Z97" s="2466"/>
      <c r="AA97" s="2466"/>
      <c r="AB97" s="2466"/>
      <c r="AC97" s="2466"/>
      <c r="AD97" s="2467"/>
      <c r="AE97" s="88"/>
      <c r="AF97" s="98" t="s">
        <v>14250</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14251</v>
      </c>
      <c r="C98" s="97" t="s">
        <v>4215</v>
      </c>
      <c r="D98" s="97">
        <v>3</v>
      </c>
      <c r="E98" s="1626"/>
      <c r="F98" s="1626"/>
      <c r="G98" s="1626"/>
      <c r="H98" s="1626"/>
      <c r="I98" s="1626"/>
      <c r="J98" s="1626"/>
      <c r="K98" s="2178"/>
      <c r="L98" s="2112"/>
      <c r="M98" s="2180"/>
      <c r="N98" s="1626"/>
      <c r="O98" s="1626"/>
      <c r="P98" s="1626"/>
      <c r="Q98" s="1626"/>
      <c r="R98" s="1626"/>
      <c r="S98" s="2178"/>
      <c r="T98" s="2109"/>
      <c r="U98" s="2111" t="s">
        <v>14108</v>
      </c>
      <c r="V98" s="1626"/>
      <c r="W98" s="1626"/>
      <c r="X98" s="1626"/>
      <c r="Y98" s="2334"/>
      <c r="Z98" s="2466"/>
      <c r="AA98" s="2466"/>
      <c r="AB98" s="2466"/>
      <c r="AC98" s="2466"/>
      <c r="AD98" s="2467"/>
      <c r="AE98" s="88"/>
      <c r="AF98" s="98" t="s">
        <v>14252</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14253</v>
      </c>
      <c r="C99" s="97" t="s">
        <v>4215</v>
      </c>
      <c r="D99" s="97">
        <v>3</v>
      </c>
      <c r="E99" s="1626"/>
      <c r="F99" s="1626"/>
      <c r="G99" s="1626"/>
      <c r="H99" s="1626"/>
      <c r="I99" s="1626"/>
      <c r="J99" s="1626"/>
      <c r="K99" s="2178"/>
      <c r="L99" s="2112"/>
      <c r="M99" s="2180"/>
      <c r="N99" s="1626"/>
      <c r="O99" s="1626"/>
      <c r="P99" s="1626"/>
      <c r="Q99" s="1626"/>
      <c r="R99" s="1626"/>
      <c r="S99" s="2178"/>
      <c r="T99" s="2109"/>
      <c r="U99" s="2111" t="s">
        <v>14108</v>
      </c>
      <c r="V99" s="1626"/>
      <c r="W99" s="1626"/>
      <c r="X99" s="1626"/>
      <c r="Y99" s="2334"/>
      <c r="Z99" s="2466"/>
      <c r="AA99" s="2466"/>
      <c r="AB99" s="2466"/>
      <c r="AC99" s="2466"/>
      <c r="AD99" s="2467"/>
      <c r="AE99" s="88"/>
      <c r="AF99" s="98" t="s">
        <v>14254</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14255</v>
      </c>
      <c r="C100" s="97" t="s">
        <v>4215</v>
      </c>
      <c r="D100" s="97">
        <v>3</v>
      </c>
      <c r="E100" s="1626"/>
      <c r="F100" s="1626"/>
      <c r="G100" s="1626"/>
      <c r="H100" s="1626"/>
      <c r="I100" s="1626"/>
      <c r="J100" s="1626"/>
      <c r="K100" s="2178"/>
      <c r="L100" s="2112"/>
      <c r="M100" s="2180"/>
      <c r="N100" s="1626"/>
      <c r="O100" s="1626"/>
      <c r="P100" s="1626"/>
      <c r="Q100" s="1626"/>
      <c r="R100" s="1626"/>
      <c r="S100" s="2178"/>
      <c r="T100" s="2109"/>
      <c r="U100" s="2111" t="s">
        <v>14108</v>
      </c>
      <c r="V100" s="1626"/>
      <c r="W100" s="1626"/>
      <c r="X100" s="1626"/>
      <c r="Y100" s="2334"/>
      <c r="Z100" s="2466"/>
      <c r="AA100" s="2466"/>
      <c r="AB100" s="2466"/>
      <c r="AC100" s="2466"/>
      <c r="AD100" s="2467"/>
      <c r="AE100" s="88"/>
      <c r="AF100" s="98" t="s">
        <v>14256</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14257</v>
      </c>
      <c r="C101" s="97" t="s">
        <v>4215</v>
      </c>
      <c r="D101" s="97">
        <v>3</v>
      </c>
      <c r="E101" s="1626"/>
      <c r="F101" s="1626"/>
      <c r="G101" s="1626"/>
      <c r="H101" s="1626"/>
      <c r="I101" s="1626"/>
      <c r="J101" s="1626"/>
      <c r="K101" s="2178"/>
      <c r="L101" s="2112"/>
      <c r="M101" s="2180"/>
      <c r="N101" s="1626"/>
      <c r="O101" s="1626"/>
      <c r="P101" s="1626"/>
      <c r="Q101" s="1626"/>
      <c r="R101" s="1626"/>
      <c r="S101" s="2178"/>
      <c r="T101" s="2109"/>
      <c r="U101" s="2111" t="s">
        <v>14108</v>
      </c>
      <c r="V101" s="1626"/>
      <c r="W101" s="1626"/>
      <c r="X101" s="1626"/>
      <c r="Y101" s="2334"/>
      <c r="Z101" s="2466"/>
      <c r="AA101" s="2466"/>
      <c r="AB101" s="2466"/>
      <c r="AC101" s="2466"/>
      <c r="AD101" s="2467"/>
      <c r="AE101" s="88"/>
      <c r="AF101" s="98" t="s">
        <v>14258</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14259</v>
      </c>
      <c r="C102" s="97" t="s">
        <v>4215</v>
      </c>
      <c r="D102" s="97">
        <v>3</v>
      </c>
      <c r="E102" s="1626"/>
      <c r="F102" s="1626"/>
      <c r="G102" s="1626"/>
      <c r="H102" s="1626"/>
      <c r="I102" s="1626"/>
      <c r="J102" s="1626"/>
      <c r="K102" s="2178"/>
      <c r="L102" s="2112"/>
      <c r="M102" s="2180"/>
      <c r="N102" s="1626"/>
      <c r="O102" s="1626"/>
      <c r="P102" s="1626"/>
      <c r="Q102" s="1626"/>
      <c r="R102" s="1626"/>
      <c r="S102" s="2178"/>
      <c r="T102" s="2109"/>
      <c r="U102" s="2111" t="s">
        <v>14108</v>
      </c>
      <c r="V102" s="1626"/>
      <c r="W102" s="1626"/>
      <c r="X102" s="1626"/>
      <c r="Y102" s="2334"/>
      <c r="Z102" s="2466"/>
      <c r="AA102" s="2466"/>
      <c r="AB102" s="2466"/>
      <c r="AC102" s="2466"/>
      <c r="AD102" s="2467"/>
      <c r="AE102" s="88"/>
      <c r="AF102" s="98" t="s">
        <v>14260</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14261</v>
      </c>
      <c r="C103" s="97" t="s">
        <v>4215</v>
      </c>
      <c r="D103" s="97">
        <v>3</v>
      </c>
      <c r="E103" s="1626"/>
      <c r="F103" s="1626"/>
      <c r="G103" s="1626"/>
      <c r="H103" s="1626"/>
      <c r="I103" s="1626"/>
      <c r="J103" s="1626"/>
      <c r="K103" s="2178"/>
      <c r="L103" s="2112"/>
      <c r="M103" s="2180"/>
      <c r="N103" s="1626"/>
      <c r="O103" s="1626"/>
      <c r="P103" s="1626"/>
      <c r="Q103" s="1626"/>
      <c r="R103" s="1626"/>
      <c r="S103" s="2178"/>
      <c r="T103" s="2109"/>
      <c r="U103" s="2111" t="s">
        <v>14108</v>
      </c>
      <c r="V103" s="1626"/>
      <c r="W103" s="1626"/>
      <c r="X103" s="1626"/>
      <c r="Y103" s="2334"/>
      <c r="Z103" s="2466"/>
      <c r="AA103" s="2466"/>
      <c r="AB103" s="2466"/>
      <c r="AC103" s="2466"/>
      <c r="AD103" s="2467"/>
      <c r="AE103" s="88"/>
      <c r="AF103" s="98" t="s">
        <v>14262</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14263</v>
      </c>
      <c r="C104" s="97" t="s">
        <v>4215</v>
      </c>
      <c r="D104" s="97">
        <v>3</v>
      </c>
      <c r="E104" s="1626"/>
      <c r="F104" s="1626"/>
      <c r="G104" s="1626"/>
      <c r="H104" s="1626"/>
      <c r="I104" s="1626"/>
      <c r="J104" s="1626"/>
      <c r="K104" s="2178"/>
      <c r="L104" s="2112"/>
      <c r="M104" s="2180"/>
      <c r="N104" s="1626"/>
      <c r="O104" s="1626"/>
      <c r="P104" s="1626"/>
      <c r="Q104" s="1626"/>
      <c r="R104" s="1626"/>
      <c r="S104" s="2178"/>
      <c r="T104" s="2109"/>
      <c r="U104" s="2111" t="s">
        <v>14108</v>
      </c>
      <c r="V104" s="1626"/>
      <c r="W104" s="1626"/>
      <c r="X104" s="1626"/>
      <c r="Y104" s="2334"/>
      <c r="Z104" s="2466"/>
      <c r="AA104" s="2466"/>
      <c r="AB104" s="2466"/>
      <c r="AC104" s="2466"/>
      <c r="AD104" s="2467"/>
      <c r="AE104" s="88"/>
      <c r="AF104" s="98" t="s">
        <v>14264</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14265</v>
      </c>
      <c r="C105" s="97" t="s">
        <v>4215</v>
      </c>
      <c r="D105" s="97">
        <v>3</v>
      </c>
      <c r="E105" s="1626"/>
      <c r="F105" s="1626"/>
      <c r="G105" s="1626"/>
      <c r="H105" s="1626"/>
      <c r="I105" s="1626"/>
      <c r="J105" s="1626"/>
      <c r="K105" s="2178"/>
      <c r="L105" s="2112"/>
      <c r="M105" s="2180"/>
      <c r="N105" s="1626"/>
      <c r="O105" s="1626"/>
      <c r="P105" s="1626"/>
      <c r="Q105" s="1626"/>
      <c r="R105" s="1626"/>
      <c r="S105" s="2178"/>
      <c r="T105" s="2109"/>
      <c r="U105" s="2111" t="s">
        <v>14108</v>
      </c>
      <c r="V105" s="1626"/>
      <c r="W105" s="1626"/>
      <c r="X105" s="1626"/>
      <c r="Y105" s="2334"/>
      <c r="Z105" s="2466"/>
      <c r="AA105" s="2466"/>
      <c r="AB105" s="2466"/>
      <c r="AC105" s="2466"/>
      <c r="AD105" s="2467"/>
      <c r="AE105" s="88"/>
      <c r="AF105" s="98" t="s">
        <v>14266</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14267</v>
      </c>
      <c r="C106" s="97" t="s">
        <v>4215</v>
      </c>
      <c r="D106" s="97">
        <v>3</v>
      </c>
      <c r="E106" s="1626"/>
      <c r="F106" s="1626"/>
      <c r="G106" s="1626"/>
      <c r="H106" s="1626"/>
      <c r="I106" s="1626"/>
      <c r="J106" s="1626"/>
      <c r="K106" s="2178"/>
      <c r="L106" s="2112"/>
      <c r="M106" s="2180"/>
      <c r="N106" s="1626"/>
      <c r="O106" s="1626"/>
      <c r="P106" s="1626"/>
      <c r="Q106" s="1626"/>
      <c r="R106" s="1626"/>
      <c r="S106" s="2178"/>
      <c r="T106" s="2109"/>
      <c r="U106" s="2111" t="s">
        <v>14108</v>
      </c>
      <c r="V106" s="1626"/>
      <c r="W106" s="1626"/>
      <c r="X106" s="1626"/>
      <c r="Y106" s="2334"/>
      <c r="Z106" s="2466"/>
      <c r="AA106" s="2466"/>
      <c r="AB106" s="2466"/>
      <c r="AC106" s="2466"/>
      <c r="AD106" s="2467"/>
      <c r="AE106" s="88"/>
      <c r="AF106" s="98" t="s">
        <v>14268</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14269</v>
      </c>
      <c r="C107" s="97" t="s">
        <v>4215</v>
      </c>
      <c r="D107" s="97">
        <v>3</v>
      </c>
      <c r="E107" s="1626"/>
      <c r="F107" s="1626"/>
      <c r="G107" s="1626"/>
      <c r="H107" s="1626"/>
      <c r="I107" s="1626"/>
      <c r="J107" s="1626"/>
      <c r="K107" s="2178"/>
      <c r="L107" s="2112"/>
      <c r="M107" s="2180"/>
      <c r="N107" s="1626"/>
      <c r="O107" s="1626"/>
      <c r="P107" s="1626"/>
      <c r="Q107" s="1626"/>
      <c r="R107" s="1626"/>
      <c r="S107" s="2178"/>
      <c r="T107" s="2109"/>
      <c r="U107" s="2111" t="s">
        <v>14108</v>
      </c>
      <c r="V107" s="1626"/>
      <c r="W107" s="1626"/>
      <c r="X107" s="1626"/>
      <c r="Y107" s="2334"/>
      <c r="Z107" s="2466"/>
      <c r="AA107" s="2466"/>
      <c r="AB107" s="2466"/>
      <c r="AC107" s="2466"/>
      <c r="AD107" s="2467"/>
      <c r="AE107" s="88"/>
      <c r="AF107" s="98" t="s">
        <v>14270</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14271</v>
      </c>
      <c r="C108" s="97" t="s">
        <v>4215</v>
      </c>
      <c r="D108" s="97">
        <v>3</v>
      </c>
      <c r="E108" s="1626"/>
      <c r="F108" s="1626"/>
      <c r="G108" s="1626"/>
      <c r="H108" s="1626"/>
      <c r="I108" s="1626"/>
      <c r="J108" s="1626"/>
      <c r="K108" s="2178"/>
      <c r="L108" s="2112"/>
      <c r="M108" s="2180"/>
      <c r="N108" s="1626"/>
      <c r="O108" s="1626"/>
      <c r="P108" s="1626"/>
      <c r="Q108" s="1626"/>
      <c r="R108" s="1626"/>
      <c r="S108" s="2178"/>
      <c r="T108" s="2109"/>
      <c r="U108" s="2111" t="s">
        <v>14108</v>
      </c>
      <c r="V108" s="1626"/>
      <c r="W108" s="1626"/>
      <c r="X108" s="1626"/>
      <c r="Y108" s="2334"/>
      <c r="Z108" s="2466"/>
      <c r="AA108" s="2466"/>
      <c r="AB108" s="2466"/>
      <c r="AC108" s="2466"/>
      <c r="AD108" s="2467"/>
      <c r="AE108" s="88"/>
      <c r="AF108" s="98" t="s">
        <v>14272</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14273</v>
      </c>
      <c r="C109" s="97" t="s">
        <v>4215</v>
      </c>
      <c r="D109" s="97">
        <v>3</v>
      </c>
      <c r="E109" s="1626"/>
      <c r="F109" s="1626"/>
      <c r="G109" s="1626"/>
      <c r="H109" s="1626"/>
      <c r="I109" s="1626"/>
      <c r="J109" s="1626"/>
      <c r="K109" s="2178"/>
      <c r="L109" s="2112"/>
      <c r="M109" s="2180"/>
      <c r="N109" s="1626"/>
      <c r="O109" s="1626"/>
      <c r="P109" s="1626"/>
      <c r="Q109" s="1626"/>
      <c r="R109" s="1626"/>
      <c r="S109" s="2178"/>
      <c r="T109" s="2109"/>
      <c r="U109" s="2111" t="s">
        <v>14108</v>
      </c>
      <c r="V109" s="1626"/>
      <c r="W109" s="1626"/>
      <c r="X109" s="1626"/>
      <c r="Y109" s="2334"/>
      <c r="Z109" s="2466"/>
      <c r="AA109" s="2466"/>
      <c r="AB109" s="2466"/>
      <c r="AC109" s="2466"/>
      <c r="AD109" s="2467"/>
      <c r="AE109" s="88"/>
      <c r="AF109" s="98" t="s">
        <v>14274</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14275</v>
      </c>
      <c r="C110" s="97" t="s">
        <v>4215</v>
      </c>
      <c r="D110" s="97">
        <v>3</v>
      </c>
      <c r="E110" s="1626"/>
      <c r="F110" s="1626"/>
      <c r="G110" s="1626"/>
      <c r="H110" s="1626"/>
      <c r="I110" s="1626"/>
      <c r="J110" s="1626"/>
      <c r="K110" s="2178"/>
      <c r="L110" s="2112"/>
      <c r="M110" s="2180"/>
      <c r="N110" s="1626"/>
      <c r="O110" s="1626"/>
      <c r="P110" s="1626"/>
      <c r="Q110" s="1626"/>
      <c r="R110" s="1626"/>
      <c r="S110" s="2178"/>
      <c r="T110" s="2109"/>
      <c r="U110" s="2111" t="s">
        <v>14108</v>
      </c>
      <c r="V110" s="1626"/>
      <c r="W110" s="1626"/>
      <c r="X110" s="1626"/>
      <c r="Y110" s="2334"/>
      <c r="Z110" s="2466"/>
      <c r="AA110" s="2466"/>
      <c r="AB110" s="2466"/>
      <c r="AC110" s="2466"/>
      <c r="AD110" s="2467"/>
      <c r="AE110" s="88"/>
      <c r="AF110" s="98" t="s">
        <v>14276</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14277</v>
      </c>
      <c r="C111" s="97" t="s">
        <v>4215</v>
      </c>
      <c r="D111" s="97">
        <v>3</v>
      </c>
      <c r="E111" s="1626"/>
      <c r="F111" s="1626"/>
      <c r="G111" s="1626"/>
      <c r="H111" s="1626"/>
      <c r="I111" s="1626"/>
      <c r="J111" s="1626"/>
      <c r="K111" s="2178"/>
      <c r="L111" s="2112"/>
      <c r="M111" s="2180"/>
      <c r="N111" s="1626"/>
      <c r="O111" s="1626"/>
      <c r="P111" s="1626"/>
      <c r="Q111" s="1626"/>
      <c r="R111" s="1626"/>
      <c r="S111" s="2178"/>
      <c r="T111" s="2109"/>
      <c r="U111" s="2111" t="s">
        <v>14108</v>
      </c>
      <c r="V111" s="1626"/>
      <c r="W111" s="1626"/>
      <c r="X111" s="1626"/>
      <c r="Y111" s="2334"/>
      <c r="Z111" s="2466"/>
      <c r="AA111" s="2466"/>
      <c r="AB111" s="2466"/>
      <c r="AC111" s="2466"/>
      <c r="AD111" s="2467"/>
      <c r="AE111" s="88"/>
      <c r="AF111" s="98" t="s">
        <v>14278</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14279</v>
      </c>
      <c r="C112" s="97" t="s">
        <v>4215</v>
      </c>
      <c r="D112" s="97">
        <v>3</v>
      </c>
      <c r="E112" s="1626"/>
      <c r="F112" s="1626"/>
      <c r="G112" s="1626"/>
      <c r="H112" s="1626"/>
      <c r="I112" s="1626"/>
      <c r="J112" s="1626"/>
      <c r="K112" s="2178"/>
      <c r="L112" s="2112"/>
      <c r="M112" s="2180"/>
      <c r="N112" s="1626"/>
      <c r="O112" s="1626"/>
      <c r="P112" s="1626"/>
      <c r="Q112" s="1626"/>
      <c r="R112" s="1626"/>
      <c r="S112" s="2178"/>
      <c r="T112" s="2109"/>
      <c r="U112" s="2111" t="s">
        <v>14108</v>
      </c>
      <c r="V112" s="1626"/>
      <c r="W112" s="1626"/>
      <c r="X112" s="1626"/>
      <c r="Y112" s="2334"/>
      <c r="Z112" s="2466"/>
      <c r="AA112" s="2466"/>
      <c r="AB112" s="2466"/>
      <c r="AC112" s="2466"/>
      <c r="AD112" s="2467"/>
      <c r="AE112" s="88"/>
      <c r="AF112" s="98" t="s">
        <v>14280</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14281</v>
      </c>
      <c r="C113" s="97" t="s">
        <v>4215</v>
      </c>
      <c r="D113" s="97">
        <v>3</v>
      </c>
      <c r="E113" s="1626"/>
      <c r="F113" s="1626"/>
      <c r="G113" s="1626"/>
      <c r="H113" s="1626"/>
      <c r="I113" s="1626"/>
      <c r="J113" s="1626"/>
      <c r="K113" s="2178"/>
      <c r="L113" s="2112"/>
      <c r="M113" s="2180"/>
      <c r="N113" s="1626"/>
      <c r="O113" s="1626"/>
      <c r="P113" s="1626"/>
      <c r="Q113" s="1626"/>
      <c r="R113" s="1626"/>
      <c r="S113" s="2178"/>
      <c r="T113" s="2109"/>
      <c r="U113" s="2111" t="s">
        <v>14108</v>
      </c>
      <c r="V113" s="1626"/>
      <c r="W113" s="1626"/>
      <c r="X113" s="1626"/>
      <c r="Y113" s="2334"/>
      <c r="Z113" s="2466"/>
      <c r="AA113" s="2466"/>
      <c r="AB113" s="2466"/>
      <c r="AC113" s="2466"/>
      <c r="AD113" s="2467"/>
      <c r="AE113" s="88"/>
      <c r="AF113" s="98" t="s">
        <v>14282</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14283</v>
      </c>
      <c r="C114" s="97" t="s">
        <v>4215</v>
      </c>
      <c r="D114" s="97">
        <v>3</v>
      </c>
      <c r="E114" s="1626"/>
      <c r="F114" s="1626"/>
      <c r="G114" s="1626"/>
      <c r="H114" s="1626"/>
      <c r="I114" s="1626"/>
      <c r="J114" s="1626"/>
      <c r="K114" s="2178"/>
      <c r="L114" s="2112"/>
      <c r="M114" s="2180"/>
      <c r="N114" s="1626"/>
      <c r="O114" s="1626"/>
      <c r="P114" s="1626"/>
      <c r="Q114" s="1626"/>
      <c r="R114" s="1626"/>
      <c r="S114" s="2178"/>
      <c r="T114" s="2109"/>
      <c r="U114" s="2111" t="s">
        <v>14108</v>
      </c>
      <c r="V114" s="1626"/>
      <c r="W114" s="1626"/>
      <c r="X114" s="1626"/>
      <c r="Y114" s="2334"/>
      <c r="Z114" s="2466"/>
      <c r="AA114" s="2466"/>
      <c r="AB114" s="2466"/>
      <c r="AC114" s="2466"/>
      <c r="AD114" s="2467"/>
      <c r="AE114" s="88"/>
      <c r="AF114" s="98" t="s">
        <v>14284</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14285</v>
      </c>
      <c r="C115" s="97" t="s">
        <v>4215</v>
      </c>
      <c r="D115" s="97">
        <v>3</v>
      </c>
      <c r="E115" s="1626"/>
      <c r="F115" s="1626"/>
      <c r="G115" s="1626"/>
      <c r="H115" s="1626"/>
      <c r="I115" s="1626"/>
      <c r="J115" s="1626"/>
      <c r="K115" s="2178"/>
      <c r="L115" s="2112"/>
      <c r="M115" s="2180"/>
      <c r="N115" s="1626"/>
      <c r="O115" s="1626"/>
      <c r="P115" s="1626"/>
      <c r="Q115" s="1626"/>
      <c r="R115" s="1626"/>
      <c r="S115" s="2178"/>
      <c r="T115" s="2109"/>
      <c r="U115" s="2111" t="s">
        <v>14108</v>
      </c>
      <c r="V115" s="1626"/>
      <c r="W115" s="1626"/>
      <c r="X115" s="1626"/>
      <c r="Y115" s="2334"/>
      <c r="Z115" s="2466"/>
      <c r="AA115" s="2466"/>
      <c r="AB115" s="2466"/>
      <c r="AC115" s="2466"/>
      <c r="AD115" s="2467"/>
      <c r="AE115" s="88"/>
      <c r="AF115" s="98" t="s">
        <v>14286</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14287</v>
      </c>
      <c r="C116" s="97" t="s">
        <v>4215</v>
      </c>
      <c r="D116" s="97">
        <v>3</v>
      </c>
      <c r="E116" s="1626"/>
      <c r="F116" s="1626"/>
      <c r="G116" s="1626"/>
      <c r="H116" s="1626"/>
      <c r="I116" s="1626"/>
      <c r="J116" s="1626"/>
      <c r="K116" s="2178"/>
      <c r="L116" s="2112"/>
      <c r="M116" s="2180"/>
      <c r="N116" s="1626"/>
      <c r="O116" s="1626"/>
      <c r="P116" s="1626"/>
      <c r="Q116" s="1626"/>
      <c r="R116" s="1626"/>
      <c r="S116" s="2178"/>
      <c r="T116" s="2109"/>
      <c r="U116" s="2111" t="s">
        <v>14108</v>
      </c>
      <c r="V116" s="1626"/>
      <c r="W116" s="1626"/>
      <c r="X116" s="1626"/>
      <c r="Y116" s="2334"/>
      <c r="Z116" s="2466"/>
      <c r="AA116" s="2466"/>
      <c r="AB116" s="2466"/>
      <c r="AC116" s="2466"/>
      <c r="AD116" s="2467"/>
      <c r="AE116" s="88"/>
      <c r="AF116" s="98" t="s">
        <v>14288</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14289</v>
      </c>
      <c r="C117" s="97" t="s">
        <v>4215</v>
      </c>
      <c r="D117" s="97">
        <v>3</v>
      </c>
      <c r="E117" s="1626"/>
      <c r="F117" s="1626"/>
      <c r="G117" s="1626"/>
      <c r="H117" s="1626"/>
      <c r="I117" s="1626"/>
      <c r="J117" s="1626"/>
      <c r="K117" s="2178"/>
      <c r="L117" s="2112"/>
      <c r="M117" s="2180"/>
      <c r="N117" s="1626"/>
      <c r="O117" s="1626"/>
      <c r="P117" s="1626"/>
      <c r="Q117" s="1626"/>
      <c r="R117" s="1626"/>
      <c r="S117" s="2178"/>
      <c r="T117" s="2109"/>
      <c r="U117" s="2111" t="s">
        <v>14108</v>
      </c>
      <c r="V117" s="1626"/>
      <c r="W117" s="1626"/>
      <c r="X117" s="1626"/>
      <c r="Y117" s="2334"/>
      <c r="Z117" s="2466"/>
      <c r="AA117" s="2466"/>
      <c r="AB117" s="2466"/>
      <c r="AC117" s="2466"/>
      <c r="AD117" s="2467"/>
      <c r="AE117" s="88"/>
      <c r="AF117" s="98" t="s">
        <v>14290</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14291</v>
      </c>
      <c r="C118" s="97" t="s">
        <v>4215</v>
      </c>
      <c r="D118" s="97">
        <v>3</v>
      </c>
      <c r="E118" s="1626"/>
      <c r="F118" s="1626"/>
      <c r="G118" s="1626"/>
      <c r="H118" s="1626"/>
      <c r="I118" s="1626"/>
      <c r="J118" s="1626"/>
      <c r="K118" s="2178"/>
      <c r="L118" s="2112"/>
      <c r="M118" s="2180"/>
      <c r="N118" s="1626"/>
      <c r="O118" s="1626"/>
      <c r="P118" s="1626"/>
      <c r="Q118" s="1626"/>
      <c r="R118" s="1626"/>
      <c r="S118" s="2178"/>
      <c r="T118" s="2109"/>
      <c r="U118" s="2111" t="s">
        <v>14108</v>
      </c>
      <c r="V118" s="1626"/>
      <c r="W118" s="1626"/>
      <c r="X118" s="1626"/>
      <c r="Y118" s="2334"/>
      <c r="Z118" s="2466"/>
      <c r="AA118" s="2466"/>
      <c r="AB118" s="2466"/>
      <c r="AC118" s="2466"/>
      <c r="AD118" s="2467"/>
      <c r="AE118" s="88"/>
      <c r="AF118" s="98" t="s">
        <v>14292</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14293</v>
      </c>
      <c r="C119" s="97" t="s">
        <v>4215</v>
      </c>
      <c r="D119" s="97">
        <v>3</v>
      </c>
      <c r="E119" s="1626"/>
      <c r="F119" s="1626"/>
      <c r="G119" s="1626"/>
      <c r="H119" s="1626"/>
      <c r="I119" s="1626"/>
      <c r="J119" s="1626"/>
      <c r="K119" s="2178"/>
      <c r="L119" s="2112"/>
      <c r="M119" s="2180"/>
      <c r="N119" s="1626"/>
      <c r="O119" s="1626"/>
      <c r="P119" s="1626"/>
      <c r="Q119" s="1626"/>
      <c r="R119" s="1626"/>
      <c r="S119" s="2178"/>
      <c r="T119" s="2109"/>
      <c r="U119" s="2111" t="s">
        <v>14108</v>
      </c>
      <c r="V119" s="1626"/>
      <c r="W119" s="1626"/>
      <c r="X119" s="1626"/>
      <c r="Y119" s="2334"/>
      <c r="Z119" s="2466"/>
      <c r="AA119" s="2466"/>
      <c r="AB119" s="2466"/>
      <c r="AC119" s="2466"/>
      <c r="AD119" s="2467"/>
      <c r="AE119" s="88"/>
      <c r="AF119" s="98" t="s">
        <v>14294</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14295</v>
      </c>
      <c r="C120" s="97" t="s">
        <v>4215</v>
      </c>
      <c r="D120" s="97">
        <v>3</v>
      </c>
      <c r="E120" s="1626"/>
      <c r="F120" s="1626"/>
      <c r="G120" s="1626"/>
      <c r="H120" s="1626"/>
      <c r="I120" s="1626"/>
      <c r="J120" s="1626"/>
      <c r="K120" s="2178"/>
      <c r="L120" s="2112"/>
      <c r="M120" s="2180"/>
      <c r="N120" s="1626"/>
      <c r="O120" s="1626"/>
      <c r="P120" s="1626"/>
      <c r="Q120" s="1626"/>
      <c r="R120" s="1626"/>
      <c r="S120" s="2178"/>
      <c r="T120" s="2109"/>
      <c r="U120" s="2111" t="s">
        <v>14108</v>
      </c>
      <c r="V120" s="1626"/>
      <c r="W120" s="1626"/>
      <c r="X120" s="1626"/>
      <c r="Y120" s="2334"/>
      <c r="Z120" s="2466"/>
      <c r="AA120" s="2466"/>
      <c r="AB120" s="2466"/>
      <c r="AC120" s="2466"/>
      <c r="AD120" s="2467"/>
      <c r="AE120" s="88"/>
      <c r="AF120" s="98" t="s">
        <v>14296</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14297</v>
      </c>
      <c r="C121" s="97" t="s">
        <v>4215</v>
      </c>
      <c r="D121" s="97">
        <v>3</v>
      </c>
      <c r="E121" s="1626"/>
      <c r="F121" s="1626"/>
      <c r="G121" s="1626"/>
      <c r="H121" s="1626"/>
      <c r="I121" s="1626"/>
      <c r="J121" s="1626"/>
      <c r="K121" s="2178"/>
      <c r="L121" s="2112"/>
      <c r="M121" s="2180"/>
      <c r="N121" s="1626"/>
      <c r="O121" s="1626"/>
      <c r="P121" s="1626"/>
      <c r="Q121" s="1626"/>
      <c r="R121" s="1626"/>
      <c r="S121" s="2178"/>
      <c r="T121" s="2109"/>
      <c r="U121" s="2111" t="s">
        <v>14108</v>
      </c>
      <c r="V121" s="1626"/>
      <c r="W121" s="1626"/>
      <c r="X121" s="1626"/>
      <c r="Y121" s="2334"/>
      <c r="Z121" s="2466"/>
      <c r="AA121" s="2466"/>
      <c r="AB121" s="2466"/>
      <c r="AC121" s="2466"/>
      <c r="AD121" s="2467"/>
      <c r="AE121" s="88"/>
      <c r="AF121" s="98" t="s">
        <v>14298</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14299</v>
      </c>
      <c r="C122" s="97" t="s">
        <v>4215</v>
      </c>
      <c r="D122" s="97">
        <v>3</v>
      </c>
      <c r="E122" s="1626"/>
      <c r="F122" s="1626"/>
      <c r="G122" s="1626"/>
      <c r="H122" s="1626"/>
      <c r="I122" s="1626"/>
      <c r="J122" s="1626"/>
      <c r="K122" s="2178"/>
      <c r="L122" s="2112"/>
      <c r="M122" s="2180"/>
      <c r="N122" s="1626"/>
      <c r="O122" s="1626"/>
      <c r="P122" s="1626"/>
      <c r="Q122" s="1626"/>
      <c r="R122" s="1626"/>
      <c r="S122" s="2178"/>
      <c r="T122" s="2109"/>
      <c r="U122" s="2111" t="s">
        <v>14108</v>
      </c>
      <c r="V122" s="1626"/>
      <c r="W122" s="1626"/>
      <c r="X122" s="1626"/>
      <c r="Y122" s="2334"/>
      <c r="Z122" s="2466"/>
      <c r="AA122" s="2466"/>
      <c r="AB122" s="2466"/>
      <c r="AC122" s="2466"/>
      <c r="AD122" s="2467"/>
      <c r="AE122" s="88"/>
      <c r="AF122" s="98" t="s">
        <v>14300</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14301</v>
      </c>
      <c r="C123" s="97" t="s">
        <v>4215</v>
      </c>
      <c r="D123" s="97">
        <v>3</v>
      </c>
      <c r="E123" s="1626"/>
      <c r="F123" s="1626"/>
      <c r="G123" s="1626"/>
      <c r="H123" s="1626"/>
      <c r="I123" s="1626"/>
      <c r="J123" s="1626"/>
      <c r="K123" s="2178"/>
      <c r="L123" s="2112"/>
      <c r="M123" s="2180"/>
      <c r="N123" s="1626"/>
      <c r="O123" s="1626"/>
      <c r="P123" s="1626"/>
      <c r="Q123" s="1626"/>
      <c r="R123" s="1626"/>
      <c r="S123" s="2178"/>
      <c r="T123" s="2109"/>
      <c r="U123" s="2111" t="s">
        <v>14108</v>
      </c>
      <c r="V123" s="1626"/>
      <c r="W123" s="1626"/>
      <c r="X123" s="1626"/>
      <c r="Y123" s="2334"/>
      <c r="Z123" s="2466"/>
      <c r="AA123" s="2466"/>
      <c r="AB123" s="2466"/>
      <c r="AC123" s="2466"/>
      <c r="AD123" s="2467"/>
      <c r="AE123" s="88"/>
      <c r="AF123" s="98" t="s">
        <v>14302</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14303</v>
      </c>
      <c r="C124" s="97" t="s">
        <v>4215</v>
      </c>
      <c r="D124" s="97">
        <v>3</v>
      </c>
      <c r="E124" s="1626"/>
      <c r="F124" s="1626"/>
      <c r="G124" s="1626"/>
      <c r="H124" s="1626"/>
      <c r="I124" s="1626"/>
      <c r="J124" s="1626"/>
      <c r="K124" s="2178"/>
      <c r="L124" s="2112"/>
      <c r="M124" s="2180"/>
      <c r="N124" s="1626"/>
      <c r="O124" s="1626"/>
      <c r="P124" s="1626"/>
      <c r="Q124" s="1626"/>
      <c r="R124" s="1626"/>
      <c r="S124" s="2178"/>
      <c r="T124" s="2109"/>
      <c r="U124" s="2111" t="s">
        <v>14108</v>
      </c>
      <c r="V124" s="1626"/>
      <c r="W124" s="1626"/>
      <c r="X124" s="1626"/>
      <c r="Y124" s="2334"/>
      <c r="Z124" s="2466"/>
      <c r="AA124" s="2466"/>
      <c r="AB124" s="2466"/>
      <c r="AC124" s="2466"/>
      <c r="AD124" s="2467"/>
      <c r="AE124" s="88"/>
      <c r="AF124" s="98" t="s">
        <v>14304</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14305</v>
      </c>
      <c r="C125" s="97" t="s">
        <v>4215</v>
      </c>
      <c r="D125" s="97">
        <v>3</v>
      </c>
      <c r="E125" s="1626"/>
      <c r="F125" s="1626"/>
      <c r="G125" s="1626"/>
      <c r="H125" s="1626"/>
      <c r="I125" s="1626"/>
      <c r="J125" s="1626"/>
      <c r="K125" s="2178"/>
      <c r="L125" s="2112"/>
      <c r="M125" s="2180"/>
      <c r="N125" s="1626"/>
      <c r="O125" s="1626"/>
      <c r="P125" s="1626"/>
      <c r="Q125" s="1626"/>
      <c r="R125" s="1626"/>
      <c r="S125" s="2178"/>
      <c r="T125" s="2109"/>
      <c r="U125" s="2111" t="s">
        <v>14108</v>
      </c>
      <c r="V125" s="1626"/>
      <c r="W125" s="1626"/>
      <c r="X125" s="1626"/>
      <c r="Y125" s="2334"/>
      <c r="Z125" s="2466"/>
      <c r="AA125" s="2466"/>
      <c r="AB125" s="2466"/>
      <c r="AC125" s="2466"/>
      <c r="AD125" s="2467"/>
      <c r="AE125" s="88"/>
      <c r="AF125" s="98" t="s">
        <v>14306</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14307</v>
      </c>
      <c r="C126" s="97" t="s">
        <v>4215</v>
      </c>
      <c r="D126" s="97">
        <v>3</v>
      </c>
      <c r="E126" s="1626"/>
      <c r="F126" s="1626"/>
      <c r="G126" s="1626"/>
      <c r="H126" s="1626"/>
      <c r="I126" s="1626"/>
      <c r="J126" s="1626"/>
      <c r="K126" s="2178"/>
      <c r="L126" s="2112"/>
      <c r="M126" s="2180"/>
      <c r="N126" s="1626"/>
      <c r="O126" s="1626"/>
      <c r="P126" s="1626"/>
      <c r="Q126" s="1626"/>
      <c r="R126" s="1626"/>
      <c r="S126" s="2178"/>
      <c r="T126" s="2109"/>
      <c r="U126" s="2111" t="s">
        <v>14108</v>
      </c>
      <c r="V126" s="1626"/>
      <c r="W126" s="1626"/>
      <c r="X126" s="1626"/>
      <c r="Y126" s="2334"/>
      <c r="Z126" s="2466"/>
      <c r="AA126" s="2466"/>
      <c r="AB126" s="2466"/>
      <c r="AC126" s="2466"/>
      <c r="AD126" s="2467"/>
      <c r="AE126" s="88"/>
      <c r="AF126" s="98" t="s">
        <v>14308</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14309</v>
      </c>
      <c r="C127" s="97" t="s">
        <v>4215</v>
      </c>
      <c r="D127" s="97">
        <v>3</v>
      </c>
      <c r="E127" s="1626"/>
      <c r="F127" s="1626"/>
      <c r="G127" s="1626"/>
      <c r="H127" s="1626"/>
      <c r="I127" s="1626"/>
      <c r="J127" s="1626"/>
      <c r="K127" s="2178"/>
      <c r="L127" s="2112"/>
      <c r="M127" s="2180"/>
      <c r="N127" s="1626"/>
      <c r="O127" s="1626"/>
      <c r="P127" s="1626"/>
      <c r="Q127" s="1626"/>
      <c r="R127" s="1626"/>
      <c r="S127" s="2178"/>
      <c r="T127" s="2109"/>
      <c r="U127" s="2111" t="s">
        <v>14108</v>
      </c>
      <c r="V127" s="1626"/>
      <c r="W127" s="1626"/>
      <c r="X127" s="1626"/>
      <c r="Y127" s="2334"/>
      <c r="Z127" s="2466"/>
      <c r="AA127" s="2466"/>
      <c r="AB127" s="2466"/>
      <c r="AC127" s="2466"/>
      <c r="AD127" s="2467"/>
      <c r="AE127" s="88"/>
      <c r="AF127" s="98" t="s">
        <v>14310</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14311</v>
      </c>
      <c r="C128" s="97" t="s">
        <v>4215</v>
      </c>
      <c r="D128" s="97">
        <v>3</v>
      </c>
      <c r="E128" s="1626"/>
      <c r="F128" s="1626"/>
      <c r="G128" s="1626"/>
      <c r="H128" s="1626"/>
      <c r="I128" s="1626"/>
      <c r="J128" s="1626"/>
      <c r="K128" s="2178"/>
      <c r="L128" s="2112"/>
      <c r="M128" s="2180"/>
      <c r="N128" s="1626"/>
      <c r="O128" s="1626"/>
      <c r="P128" s="1626"/>
      <c r="Q128" s="1626"/>
      <c r="R128" s="1626"/>
      <c r="S128" s="2178"/>
      <c r="T128" s="2109"/>
      <c r="U128" s="2111" t="s">
        <v>14108</v>
      </c>
      <c r="V128" s="1626"/>
      <c r="W128" s="1626"/>
      <c r="X128" s="1626"/>
      <c r="Y128" s="2334"/>
      <c r="Z128" s="2466"/>
      <c r="AA128" s="2466"/>
      <c r="AB128" s="2466"/>
      <c r="AC128" s="2466"/>
      <c r="AD128" s="2467"/>
      <c r="AE128" s="88"/>
      <c r="AF128" s="98" t="s">
        <v>14312</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14313</v>
      </c>
      <c r="C129" s="97" t="s">
        <v>4215</v>
      </c>
      <c r="D129" s="97">
        <v>3</v>
      </c>
      <c r="E129" s="1626"/>
      <c r="F129" s="1626"/>
      <c r="G129" s="1626"/>
      <c r="H129" s="1626"/>
      <c r="I129" s="1626"/>
      <c r="J129" s="1626"/>
      <c r="K129" s="2178"/>
      <c r="L129" s="2112"/>
      <c r="M129" s="2180"/>
      <c r="N129" s="1626"/>
      <c r="O129" s="1626"/>
      <c r="P129" s="1626"/>
      <c r="Q129" s="1626"/>
      <c r="R129" s="1626"/>
      <c r="S129" s="2178"/>
      <c r="T129" s="2109"/>
      <c r="U129" s="2111" t="s">
        <v>14108</v>
      </c>
      <c r="V129" s="1626"/>
      <c r="W129" s="1626"/>
      <c r="X129" s="1626"/>
      <c r="Y129" s="2334"/>
      <c r="Z129" s="2466"/>
      <c r="AA129" s="2466"/>
      <c r="AB129" s="2466"/>
      <c r="AC129" s="2466"/>
      <c r="AD129" s="2467"/>
      <c r="AE129" s="88"/>
      <c r="AF129" s="98" t="s">
        <v>14314</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14315</v>
      </c>
      <c r="C130" s="97" t="s">
        <v>4215</v>
      </c>
      <c r="D130" s="97">
        <v>3</v>
      </c>
      <c r="E130" s="1626"/>
      <c r="F130" s="1626"/>
      <c r="G130" s="1626"/>
      <c r="H130" s="1626"/>
      <c r="I130" s="1626"/>
      <c r="J130" s="1626"/>
      <c r="K130" s="2178"/>
      <c r="L130" s="2112"/>
      <c r="M130" s="2180"/>
      <c r="N130" s="1626"/>
      <c r="O130" s="1626"/>
      <c r="P130" s="1626"/>
      <c r="Q130" s="1626"/>
      <c r="R130" s="1626"/>
      <c r="S130" s="2178"/>
      <c r="T130" s="2109"/>
      <c r="U130" s="2111" t="s">
        <v>14108</v>
      </c>
      <c r="V130" s="1626"/>
      <c r="W130" s="1626"/>
      <c r="X130" s="1626"/>
      <c r="Y130" s="2334"/>
      <c r="Z130" s="2466"/>
      <c r="AA130" s="2466"/>
      <c r="AB130" s="2466"/>
      <c r="AC130" s="2466"/>
      <c r="AD130" s="2467"/>
      <c r="AE130" s="88"/>
      <c r="AF130" s="98" t="s">
        <v>14316</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14317</v>
      </c>
      <c r="C131" s="97" t="s">
        <v>4215</v>
      </c>
      <c r="D131" s="97">
        <v>3</v>
      </c>
      <c r="E131" s="1626"/>
      <c r="F131" s="1626"/>
      <c r="G131" s="1626"/>
      <c r="H131" s="1626"/>
      <c r="I131" s="1626"/>
      <c r="J131" s="1626"/>
      <c r="K131" s="2178"/>
      <c r="L131" s="2112"/>
      <c r="M131" s="2180"/>
      <c r="N131" s="1626"/>
      <c r="O131" s="1626"/>
      <c r="P131" s="1626"/>
      <c r="Q131" s="1626"/>
      <c r="R131" s="1626"/>
      <c r="S131" s="2178"/>
      <c r="T131" s="2109"/>
      <c r="U131" s="2111" t="s">
        <v>14108</v>
      </c>
      <c r="V131" s="1626"/>
      <c r="W131" s="1626"/>
      <c r="X131" s="1626"/>
      <c r="Y131" s="2334"/>
      <c r="Z131" s="2466"/>
      <c r="AA131" s="2466"/>
      <c r="AB131" s="2466"/>
      <c r="AC131" s="2466"/>
      <c r="AD131" s="2467"/>
      <c r="AE131" s="88"/>
      <c r="AF131" s="98" t="s">
        <v>14318</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14319</v>
      </c>
      <c r="C132" s="97" t="s">
        <v>4215</v>
      </c>
      <c r="D132" s="97">
        <v>3</v>
      </c>
      <c r="E132" s="1626"/>
      <c r="F132" s="1626"/>
      <c r="G132" s="1626"/>
      <c r="H132" s="1626"/>
      <c r="I132" s="1626"/>
      <c r="J132" s="1626"/>
      <c r="K132" s="2178"/>
      <c r="L132" s="2112"/>
      <c r="M132" s="2180"/>
      <c r="N132" s="1626"/>
      <c r="O132" s="1626"/>
      <c r="P132" s="1626"/>
      <c r="Q132" s="1626"/>
      <c r="R132" s="1626"/>
      <c r="S132" s="2178"/>
      <c r="T132" s="2109"/>
      <c r="U132" s="2111" t="s">
        <v>14108</v>
      </c>
      <c r="V132" s="1626"/>
      <c r="W132" s="1626"/>
      <c r="X132" s="1626"/>
      <c r="Y132" s="2334"/>
      <c r="Z132" s="2466"/>
      <c r="AA132" s="2466"/>
      <c r="AB132" s="2466"/>
      <c r="AC132" s="2466"/>
      <c r="AD132" s="2467"/>
      <c r="AE132" s="88"/>
      <c r="AF132" s="98" t="s">
        <v>14320</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14321</v>
      </c>
      <c r="C133" s="97" t="s">
        <v>4215</v>
      </c>
      <c r="D133" s="97">
        <v>3</v>
      </c>
      <c r="E133" s="1626"/>
      <c r="F133" s="1626"/>
      <c r="G133" s="1626"/>
      <c r="H133" s="1626"/>
      <c r="I133" s="1626"/>
      <c r="J133" s="1626"/>
      <c r="K133" s="2178"/>
      <c r="L133" s="2112"/>
      <c r="M133" s="2180"/>
      <c r="N133" s="1626"/>
      <c r="O133" s="1626"/>
      <c r="P133" s="1626"/>
      <c r="Q133" s="1626"/>
      <c r="R133" s="1626"/>
      <c r="S133" s="2178"/>
      <c r="T133" s="2109"/>
      <c r="U133" s="2111" t="s">
        <v>14108</v>
      </c>
      <c r="V133" s="1626"/>
      <c r="W133" s="1626"/>
      <c r="X133" s="1626"/>
      <c r="Y133" s="2334"/>
      <c r="Z133" s="2466"/>
      <c r="AA133" s="2466"/>
      <c r="AB133" s="2466"/>
      <c r="AC133" s="2466"/>
      <c r="AD133" s="2467"/>
      <c r="AE133" s="88"/>
      <c r="AF133" s="98" t="s">
        <v>14322</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14323</v>
      </c>
      <c r="C134" s="97" t="s">
        <v>4215</v>
      </c>
      <c r="D134" s="97">
        <v>3</v>
      </c>
      <c r="E134" s="1626"/>
      <c r="F134" s="1626"/>
      <c r="G134" s="1626"/>
      <c r="H134" s="1626"/>
      <c r="I134" s="1626"/>
      <c r="J134" s="1626"/>
      <c r="K134" s="2178"/>
      <c r="L134" s="2112"/>
      <c r="M134" s="2180"/>
      <c r="N134" s="1626"/>
      <c r="O134" s="1626"/>
      <c r="P134" s="1626"/>
      <c r="Q134" s="1626"/>
      <c r="R134" s="1626"/>
      <c r="S134" s="2178"/>
      <c r="T134" s="2109"/>
      <c r="U134" s="2111" t="s">
        <v>14108</v>
      </c>
      <c r="V134" s="1626"/>
      <c r="W134" s="1626"/>
      <c r="X134" s="1626"/>
      <c r="Y134" s="2334"/>
      <c r="Z134" s="2466"/>
      <c r="AA134" s="2466"/>
      <c r="AB134" s="2466"/>
      <c r="AC134" s="2466"/>
      <c r="AD134" s="2467"/>
      <c r="AE134" s="88"/>
      <c r="AF134" s="98" t="s">
        <v>14324</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14325</v>
      </c>
      <c r="C135" s="97" t="s">
        <v>4215</v>
      </c>
      <c r="D135" s="97">
        <v>3</v>
      </c>
      <c r="E135" s="1626"/>
      <c r="F135" s="1626"/>
      <c r="G135" s="1626"/>
      <c r="H135" s="1626"/>
      <c r="I135" s="1626"/>
      <c r="J135" s="1626"/>
      <c r="K135" s="2178"/>
      <c r="L135" s="2112"/>
      <c r="M135" s="2180"/>
      <c r="N135" s="1626"/>
      <c r="O135" s="1626"/>
      <c r="P135" s="1626"/>
      <c r="Q135" s="1626"/>
      <c r="R135" s="1626"/>
      <c r="S135" s="2178"/>
      <c r="T135" s="2109"/>
      <c r="U135" s="2111" t="s">
        <v>14108</v>
      </c>
      <c r="V135" s="1626"/>
      <c r="W135" s="1626"/>
      <c r="X135" s="1626"/>
      <c r="Y135" s="2334"/>
      <c r="Z135" s="2466"/>
      <c r="AA135" s="2466"/>
      <c r="AB135" s="2466"/>
      <c r="AC135" s="2466"/>
      <c r="AD135" s="2467"/>
      <c r="AE135" s="88"/>
      <c r="AF135" s="98" t="s">
        <v>14326</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14327</v>
      </c>
      <c r="C136" s="97" t="s">
        <v>4215</v>
      </c>
      <c r="D136" s="97">
        <v>3</v>
      </c>
      <c r="E136" s="1626"/>
      <c r="F136" s="1626"/>
      <c r="G136" s="1626"/>
      <c r="H136" s="1626"/>
      <c r="I136" s="1626"/>
      <c r="J136" s="1626"/>
      <c r="K136" s="2178"/>
      <c r="L136" s="2112"/>
      <c r="M136" s="2180"/>
      <c r="N136" s="1626"/>
      <c r="O136" s="1626"/>
      <c r="P136" s="1626"/>
      <c r="Q136" s="1626"/>
      <c r="R136" s="1626"/>
      <c r="S136" s="2178"/>
      <c r="T136" s="2109"/>
      <c r="U136" s="2111" t="s">
        <v>14108</v>
      </c>
      <c r="V136" s="1626"/>
      <c r="W136" s="1626"/>
      <c r="X136" s="1626"/>
      <c r="Y136" s="2334"/>
      <c r="Z136" s="2466"/>
      <c r="AA136" s="2466"/>
      <c r="AB136" s="2466"/>
      <c r="AC136" s="2466"/>
      <c r="AD136" s="2467"/>
      <c r="AE136" s="88"/>
      <c r="AF136" s="98" t="s">
        <v>14328</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14329</v>
      </c>
      <c r="C137" s="97" t="s">
        <v>4215</v>
      </c>
      <c r="D137" s="97">
        <v>3</v>
      </c>
      <c r="E137" s="1626"/>
      <c r="F137" s="1626"/>
      <c r="G137" s="1626"/>
      <c r="H137" s="1626"/>
      <c r="I137" s="1626"/>
      <c r="J137" s="1626"/>
      <c r="K137" s="2178"/>
      <c r="L137" s="2112"/>
      <c r="M137" s="2180"/>
      <c r="N137" s="1626"/>
      <c r="O137" s="1626"/>
      <c r="P137" s="1626"/>
      <c r="Q137" s="1626"/>
      <c r="R137" s="1626"/>
      <c r="S137" s="2178"/>
      <c r="T137" s="2109"/>
      <c r="U137" s="2111" t="s">
        <v>14108</v>
      </c>
      <c r="V137" s="1626"/>
      <c r="W137" s="1626"/>
      <c r="X137" s="1626"/>
      <c r="Y137" s="2334"/>
      <c r="Z137" s="2466"/>
      <c r="AA137" s="2466"/>
      <c r="AB137" s="2466"/>
      <c r="AC137" s="2466"/>
      <c r="AD137" s="2467"/>
      <c r="AE137" s="88"/>
      <c r="AF137" s="98" t="s">
        <v>14330</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14331</v>
      </c>
      <c r="C138" s="97" t="s">
        <v>4215</v>
      </c>
      <c r="D138" s="97">
        <v>3</v>
      </c>
      <c r="E138" s="1626"/>
      <c r="F138" s="1626"/>
      <c r="G138" s="1626"/>
      <c r="H138" s="1626"/>
      <c r="I138" s="1626"/>
      <c r="J138" s="1626"/>
      <c r="K138" s="2178"/>
      <c r="L138" s="2112"/>
      <c r="M138" s="2180"/>
      <c r="N138" s="1626"/>
      <c r="O138" s="1626"/>
      <c r="P138" s="1626"/>
      <c r="Q138" s="1626"/>
      <c r="R138" s="1626"/>
      <c r="S138" s="2178"/>
      <c r="T138" s="2109"/>
      <c r="U138" s="2111" t="s">
        <v>14108</v>
      </c>
      <c r="V138" s="1626"/>
      <c r="W138" s="1626"/>
      <c r="X138" s="1626"/>
      <c r="Y138" s="2334"/>
      <c r="Z138" s="2466"/>
      <c r="AA138" s="2466"/>
      <c r="AB138" s="2466"/>
      <c r="AC138" s="2466"/>
      <c r="AD138" s="2467"/>
      <c r="AE138" s="88"/>
      <c r="AF138" s="98" t="s">
        <v>14332</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14333</v>
      </c>
      <c r="C139" s="97" t="s">
        <v>4215</v>
      </c>
      <c r="D139" s="97">
        <v>3</v>
      </c>
      <c r="E139" s="1626"/>
      <c r="F139" s="1626"/>
      <c r="G139" s="1626"/>
      <c r="H139" s="1626"/>
      <c r="I139" s="1626"/>
      <c r="J139" s="1626"/>
      <c r="K139" s="2178"/>
      <c r="L139" s="2112"/>
      <c r="M139" s="2180"/>
      <c r="N139" s="1626"/>
      <c r="O139" s="1626"/>
      <c r="P139" s="1626"/>
      <c r="Q139" s="1626"/>
      <c r="R139" s="1626"/>
      <c r="S139" s="2178"/>
      <c r="T139" s="2109"/>
      <c r="U139" s="2111" t="s">
        <v>14108</v>
      </c>
      <c r="V139" s="1626"/>
      <c r="W139" s="1626"/>
      <c r="X139" s="1626"/>
      <c r="Y139" s="2334"/>
      <c r="Z139" s="2466"/>
      <c r="AA139" s="2466"/>
      <c r="AB139" s="2466"/>
      <c r="AC139" s="2466"/>
      <c r="AD139" s="2467"/>
      <c r="AE139" s="88"/>
      <c r="AF139" s="98" t="s">
        <v>14334</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14335</v>
      </c>
      <c r="C140" s="97" t="s">
        <v>4215</v>
      </c>
      <c r="D140" s="97">
        <v>3</v>
      </c>
      <c r="E140" s="1626"/>
      <c r="F140" s="1626"/>
      <c r="G140" s="1626"/>
      <c r="H140" s="1626"/>
      <c r="I140" s="1626"/>
      <c r="J140" s="1626"/>
      <c r="K140" s="2178"/>
      <c r="L140" s="2112"/>
      <c r="M140" s="2180"/>
      <c r="N140" s="1626"/>
      <c r="O140" s="1626"/>
      <c r="P140" s="1626"/>
      <c r="Q140" s="1626"/>
      <c r="R140" s="1626"/>
      <c r="S140" s="2178"/>
      <c r="T140" s="2109"/>
      <c r="U140" s="2111" t="s">
        <v>14108</v>
      </c>
      <c r="V140" s="1626"/>
      <c r="W140" s="1626"/>
      <c r="X140" s="1626"/>
      <c r="Y140" s="2334"/>
      <c r="Z140" s="2466"/>
      <c r="AA140" s="2466"/>
      <c r="AB140" s="2466"/>
      <c r="AC140" s="2466"/>
      <c r="AD140" s="2467"/>
      <c r="AE140" s="88"/>
      <c r="AF140" s="98" t="s">
        <v>14336</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14337</v>
      </c>
      <c r="C141" s="97" t="s">
        <v>4215</v>
      </c>
      <c r="D141" s="97">
        <v>3</v>
      </c>
      <c r="E141" s="1626"/>
      <c r="F141" s="1626"/>
      <c r="G141" s="1626"/>
      <c r="H141" s="1626"/>
      <c r="I141" s="1626"/>
      <c r="J141" s="1626"/>
      <c r="K141" s="2178"/>
      <c r="L141" s="2112"/>
      <c r="M141" s="2180"/>
      <c r="N141" s="1626"/>
      <c r="O141" s="1626"/>
      <c r="P141" s="1626"/>
      <c r="Q141" s="1626"/>
      <c r="R141" s="1626"/>
      <c r="S141" s="2178"/>
      <c r="T141" s="2109"/>
      <c r="U141" s="2111" t="s">
        <v>14108</v>
      </c>
      <c r="V141" s="1626"/>
      <c r="W141" s="1626"/>
      <c r="X141" s="1626"/>
      <c r="Y141" s="2334"/>
      <c r="Z141" s="2466"/>
      <c r="AA141" s="2466"/>
      <c r="AB141" s="2466"/>
      <c r="AC141" s="2466"/>
      <c r="AD141" s="2467"/>
      <c r="AE141" s="88"/>
      <c r="AF141" s="98" t="s">
        <v>14338</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14339</v>
      </c>
      <c r="C142" s="97" t="s">
        <v>4215</v>
      </c>
      <c r="D142" s="97">
        <v>3</v>
      </c>
      <c r="E142" s="1626"/>
      <c r="F142" s="1626"/>
      <c r="G142" s="1626"/>
      <c r="H142" s="1626"/>
      <c r="I142" s="1626"/>
      <c r="J142" s="1626"/>
      <c r="K142" s="2178"/>
      <c r="L142" s="2112"/>
      <c r="M142" s="2180"/>
      <c r="N142" s="1626"/>
      <c r="O142" s="1626"/>
      <c r="P142" s="1626"/>
      <c r="Q142" s="1626"/>
      <c r="R142" s="1626"/>
      <c r="S142" s="2178"/>
      <c r="T142" s="2109"/>
      <c r="U142" s="2111" t="s">
        <v>14108</v>
      </c>
      <c r="V142" s="1626"/>
      <c r="W142" s="1626"/>
      <c r="X142" s="1626"/>
      <c r="Y142" s="2334"/>
      <c r="Z142" s="2466"/>
      <c r="AA142" s="2466"/>
      <c r="AB142" s="2466"/>
      <c r="AC142" s="2466"/>
      <c r="AD142" s="2467"/>
      <c r="AE142" s="88"/>
      <c r="AF142" s="98" t="s">
        <v>14340</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14341</v>
      </c>
      <c r="C143" s="97" t="s">
        <v>4215</v>
      </c>
      <c r="D143" s="97">
        <v>3</v>
      </c>
      <c r="E143" s="1626"/>
      <c r="F143" s="1626"/>
      <c r="G143" s="1626"/>
      <c r="H143" s="1626"/>
      <c r="I143" s="1626"/>
      <c r="J143" s="1626"/>
      <c r="K143" s="2178"/>
      <c r="L143" s="2112"/>
      <c r="M143" s="2180"/>
      <c r="N143" s="1626"/>
      <c r="O143" s="1626"/>
      <c r="P143" s="1626"/>
      <c r="Q143" s="1626"/>
      <c r="R143" s="1626"/>
      <c r="S143" s="2178"/>
      <c r="T143" s="2109"/>
      <c r="U143" s="2111" t="s">
        <v>14108</v>
      </c>
      <c r="V143" s="1626"/>
      <c r="W143" s="1626"/>
      <c r="X143" s="1626"/>
      <c r="Y143" s="2334"/>
      <c r="Z143" s="2466"/>
      <c r="AA143" s="2466"/>
      <c r="AB143" s="2466"/>
      <c r="AC143" s="2466"/>
      <c r="AD143" s="2467"/>
      <c r="AE143" s="88"/>
      <c r="AF143" s="98" t="s">
        <v>14342</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14343</v>
      </c>
      <c r="C144" s="97" t="s">
        <v>4215</v>
      </c>
      <c r="D144" s="97">
        <v>3</v>
      </c>
      <c r="E144" s="1626"/>
      <c r="F144" s="1626"/>
      <c r="G144" s="1626"/>
      <c r="H144" s="1626"/>
      <c r="I144" s="1626"/>
      <c r="J144" s="1626"/>
      <c r="K144" s="2178"/>
      <c r="L144" s="2112"/>
      <c r="M144" s="2180"/>
      <c r="N144" s="1626"/>
      <c r="O144" s="1626"/>
      <c r="P144" s="1626"/>
      <c r="Q144" s="1626"/>
      <c r="R144" s="1626"/>
      <c r="S144" s="2178"/>
      <c r="T144" s="2109"/>
      <c r="U144" s="2111" t="s">
        <v>14108</v>
      </c>
      <c r="V144" s="1626"/>
      <c r="W144" s="1626"/>
      <c r="X144" s="1626"/>
      <c r="Y144" s="2334"/>
      <c r="Z144" s="2466"/>
      <c r="AA144" s="2466"/>
      <c r="AB144" s="2466"/>
      <c r="AC144" s="2466"/>
      <c r="AD144" s="2467"/>
      <c r="AE144" s="88"/>
      <c r="AF144" s="98" t="s">
        <v>14344</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14345</v>
      </c>
      <c r="C145" s="97" t="s">
        <v>4215</v>
      </c>
      <c r="D145" s="97">
        <v>3</v>
      </c>
      <c r="E145" s="1626"/>
      <c r="F145" s="1626"/>
      <c r="G145" s="1626"/>
      <c r="H145" s="1626"/>
      <c r="I145" s="1626"/>
      <c r="J145" s="1626"/>
      <c r="K145" s="2178"/>
      <c r="L145" s="2112"/>
      <c r="M145" s="2180"/>
      <c r="N145" s="1626"/>
      <c r="O145" s="1626"/>
      <c r="P145" s="1626"/>
      <c r="Q145" s="1626"/>
      <c r="R145" s="1626"/>
      <c r="S145" s="2178"/>
      <c r="T145" s="2109"/>
      <c r="U145" s="2111" t="s">
        <v>14108</v>
      </c>
      <c r="V145" s="1626"/>
      <c r="W145" s="1626"/>
      <c r="X145" s="1626"/>
      <c r="Y145" s="2334"/>
      <c r="Z145" s="2466"/>
      <c r="AA145" s="2466"/>
      <c r="AB145" s="2466"/>
      <c r="AC145" s="2466"/>
      <c r="AD145" s="2467"/>
      <c r="AE145" s="88"/>
      <c r="AF145" s="98" t="s">
        <v>14346</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14347</v>
      </c>
      <c r="C146" s="97" t="s">
        <v>4215</v>
      </c>
      <c r="D146" s="97">
        <v>3</v>
      </c>
      <c r="E146" s="1626"/>
      <c r="F146" s="1626"/>
      <c r="G146" s="1626"/>
      <c r="H146" s="1626"/>
      <c r="I146" s="1626"/>
      <c r="J146" s="1626"/>
      <c r="K146" s="2178"/>
      <c r="L146" s="2112"/>
      <c r="M146" s="2180"/>
      <c r="N146" s="1626"/>
      <c r="O146" s="1626"/>
      <c r="P146" s="1626"/>
      <c r="Q146" s="1626"/>
      <c r="R146" s="1626"/>
      <c r="S146" s="2178"/>
      <c r="T146" s="2109"/>
      <c r="U146" s="2111" t="s">
        <v>14108</v>
      </c>
      <c r="V146" s="1626"/>
      <c r="W146" s="1626"/>
      <c r="X146" s="1626"/>
      <c r="Y146" s="2334"/>
      <c r="Z146" s="2466"/>
      <c r="AA146" s="2466"/>
      <c r="AB146" s="2466"/>
      <c r="AC146" s="2466"/>
      <c r="AD146" s="2467"/>
      <c r="AE146" s="88"/>
      <c r="AF146" s="98" t="s">
        <v>14348</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14349</v>
      </c>
      <c r="C147" s="97" t="s">
        <v>4215</v>
      </c>
      <c r="D147" s="97">
        <v>3</v>
      </c>
      <c r="E147" s="1626"/>
      <c r="F147" s="1626"/>
      <c r="G147" s="1626"/>
      <c r="H147" s="1626"/>
      <c r="I147" s="1626"/>
      <c r="J147" s="1626"/>
      <c r="K147" s="2178"/>
      <c r="L147" s="2112"/>
      <c r="M147" s="2180"/>
      <c r="N147" s="1626"/>
      <c r="O147" s="1626"/>
      <c r="P147" s="1626"/>
      <c r="Q147" s="1626"/>
      <c r="R147" s="1626"/>
      <c r="S147" s="2178"/>
      <c r="T147" s="2109"/>
      <c r="U147" s="2111" t="s">
        <v>14108</v>
      </c>
      <c r="V147" s="1626"/>
      <c r="W147" s="1626"/>
      <c r="X147" s="1626"/>
      <c r="Y147" s="2334"/>
      <c r="Z147" s="2466"/>
      <c r="AA147" s="2466"/>
      <c r="AB147" s="2466"/>
      <c r="AC147" s="2466"/>
      <c r="AD147" s="2467"/>
      <c r="AE147" s="88"/>
      <c r="AF147" s="98" t="s">
        <v>14350</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14351</v>
      </c>
      <c r="C148" s="97" t="s">
        <v>4215</v>
      </c>
      <c r="D148" s="97">
        <v>3</v>
      </c>
      <c r="E148" s="1626"/>
      <c r="F148" s="1626"/>
      <c r="G148" s="1626"/>
      <c r="H148" s="1626"/>
      <c r="I148" s="1626"/>
      <c r="J148" s="1626"/>
      <c r="K148" s="2178"/>
      <c r="L148" s="2112"/>
      <c r="M148" s="2180"/>
      <c r="N148" s="1626"/>
      <c r="O148" s="1626"/>
      <c r="P148" s="1626"/>
      <c r="Q148" s="1626"/>
      <c r="R148" s="1626"/>
      <c r="S148" s="2178"/>
      <c r="T148" s="2109"/>
      <c r="U148" s="2111" t="s">
        <v>14108</v>
      </c>
      <c r="V148" s="1626"/>
      <c r="W148" s="1626"/>
      <c r="X148" s="1626"/>
      <c r="Y148" s="2334"/>
      <c r="Z148" s="2466"/>
      <c r="AA148" s="2466"/>
      <c r="AB148" s="2466"/>
      <c r="AC148" s="2466"/>
      <c r="AD148" s="2467"/>
      <c r="AE148" s="88"/>
      <c r="AF148" s="98" t="s">
        <v>14352</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14353</v>
      </c>
      <c r="C149" s="97" t="s">
        <v>4215</v>
      </c>
      <c r="D149" s="97">
        <v>3</v>
      </c>
      <c r="E149" s="1626"/>
      <c r="F149" s="1626"/>
      <c r="G149" s="1626"/>
      <c r="H149" s="1626"/>
      <c r="I149" s="1626"/>
      <c r="J149" s="1626"/>
      <c r="K149" s="2178"/>
      <c r="L149" s="2112"/>
      <c r="M149" s="2180"/>
      <c r="N149" s="1626"/>
      <c r="O149" s="1626"/>
      <c r="P149" s="1626"/>
      <c r="Q149" s="1626"/>
      <c r="R149" s="1626"/>
      <c r="S149" s="2178"/>
      <c r="T149" s="2109"/>
      <c r="U149" s="2111" t="s">
        <v>14108</v>
      </c>
      <c r="V149" s="1626"/>
      <c r="W149" s="1626"/>
      <c r="X149" s="1626"/>
      <c r="Y149" s="2334"/>
      <c r="Z149" s="2466"/>
      <c r="AA149" s="2466"/>
      <c r="AB149" s="2466"/>
      <c r="AC149" s="2466"/>
      <c r="AD149" s="2467"/>
      <c r="AE149" s="88"/>
      <c r="AF149" s="98" t="s">
        <v>14354</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14355</v>
      </c>
      <c r="C150" s="97" t="s">
        <v>4215</v>
      </c>
      <c r="D150" s="97">
        <v>3</v>
      </c>
      <c r="E150" s="1626"/>
      <c r="F150" s="1626"/>
      <c r="G150" s="1626"/>
      <c r="H150" s="1626"/>
      <c r="I150" s="1626"/>
      <c r="J150" s="1626"/>
      <c r="K150" s="2178"/>
      <c r="L150" s="2112"/>
      <c r="M150" s="2180"/>
      <c r="N150" s="1626"/>
      <c r="O150" s="1626"/>
      <c r="P150" s="1626"/>
      <c r="Q150" s="1626"/>
      <c r="R150" s="1626"/>
      <c r="S150" s="2178"/>
      <c r="T150" s="2109"/>
      <c r="U150" s="2111" t="s">
        <v>14108</v>
      </c>
      <c r="V150" s="1626"/>
      <c r="W150" s="1626"/>
      <c r="X150" s="1626"/>
      <c r="Y150" s="2334"/>
      <c r="Z150" s="2466"/>
      <c r="AA150" s="2466"/>
      <c r="AB150" s="2466"/>
      <c r="AC150" s="2466"/>
      <c r="AD150" s="2467"/>
      <c r="AE150" s="88"/>
      <c r="AF150" s="98" t="s">
        <v>14356</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14357</v>
      </c>
      <c r="C151" s="97" t="s">
        <v>4215</v>
      </c>
      <c r="D151" s="97">
        <v>3</v>
      </c>
      <c r="E151" s="1626"/>
      <c r="F151" s="1626"/>
      <c r="G151" s="1626"/>
      <c r="H151" s="1626"/>
      <c r="I151" s="1626"/>
      <c r="J151" s="1626"/>
      <c r="K151" s="2178"/>
      <c r="L151" s="2112"/>
      <c r="M151" s="2180"/>
      <c r="N151" s="1626"/>
      <c r="O151" s="1626"/>
      <c r="P151" s="1626"/>
      <c r="Q151" s="1626"/>
      <c r="R151" s="1626"/>
      <c r="S151" s="2178"/>
      <c r="T151" s="2109"/>
      <c r="U151" s="2111" t="s">
        <v>14108</v>
      </c>
      <c r="V151" s="1626"/>
      <c r="W151" s="1626"/>
      <c r="X151" s="1626"/>
      <c r="Y151" s="2334"/>
      <c r="Z151" s="2466"/>
      <c r="AA151" s="2466"/>
      <c r="AB151" s="2466"/>
      <c r="AC151" s="2466"/>
      <c r="AD151" s="2467"/>
      <c r="AE151" s="88"/>
      <c r="AF151" s="98" t="s">
        <v>14358</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14359</v>
      </c>
      <c r="C152" s="97" t="s">
        <v>4215</v>
      </c>
      <c r="D152" s="97">
        <v>3</v>
      </c>
      <c r="E152" s="1626"/>
      <c r="F152" s="1626"/>
      <c r="G152" s="1626"/>
      <c r="H152" s="1626"/>
      <c r="I152" s="1626"/>
      <c r="J152" s="1626"/>
      <c r="K152" s="2178"/>
      <c r="L152" s="2112"/>
      <c r="M152" s="2180"/>
      <c r="N152" s="1626"/>
      <c r="O152" s="1626"/>
      <c r="P152" s="1626"/>
      <c r="Q152" s="1626"/>
      <c r="R152" s="1626"/>
      <c r="S152" s="2178"/>
      <c r="T152" s="2109"/>
      <c r="U152" s="2111" t="s">
        <v>14108</v>
      </c>
      <c r="V152" s="1626"/>
      <c r="W152" s="1626"/>
      <c r="X152" s="1626"/>
      <c r="Y152" s="2334"/>
      <c r="Z152" s="2466"/>
      <c r="AA152" s="2466"/>
      <c r="AB152" s="2466"/>
      <c r="AC152" s="2466"/>
      <c r="AD152" s="2467"/>
      <c r="AE152" s="88"/>
      <c r="AF152" s="98" t="s">
        <v>14360</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14361</v>
      </c>
      <c r="C153" s="97" t="s">
        <v>4215</v>
      </c>
      <c r="D153" s="97">
        <v>3</v>
      </c>
      <c r="E153" s="1626"/>
      <c r="F153" s="1626"/>
      <c r="G153" s="1626"/>
      <c r="H153" s="1626"/>
      <c r="I153" s="1626"/>
      <c r="J153" s="1626"/>
      <c r="K153" s="2178"/>
      <c r="L153" s="2112"/>
      <c r="M153" s="2180"/>
      <c r="N153" s="1626"/>
      <c r="O153" s="1626"/>
      <c r="P153" s="1626"/>
      <c r="Q153" s="1626"/>
      <c r="R153" s="1626"/>
      <c r="S153" s="2178"/>
      <c r="T153" s="2109"/>
      <c r="U153" s="2111" t="s">
        <v>14108</v>
      </c>
      <c r="V153" s="1626"/>
      <c r="W153" s="1626"/>
      <c r="X153" s="1626"/>
      <c r="Y153" s="2334"/>
      <c r="Z153" s="2466"/>
      <c r="AA153" s="2466"/>
      <c r="AB153" s="2466"/>
      <c r="AC153" s="2466"/>
      <c r="AD153" s="2467"/>
      <c r="AE153" s="88"/>
      <c r="AF153" s="98" t="s">
        <v>14362</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14363</v>
      </c>
      <c r="C154" s="97" t="s">
        <v>4215</v>
      </c>
      <c r="D154" s="97">
        <v>3</v>
      </c>
      <c r="E154" s="1626"/>
      <c r="F154" s="1626"/>
      <c r="G154" s="1626"/>
      <c r="H154" s="1626"/>
      <c r="I154" s="1626"/>
      <c r="J154" s="1626"/>
      <c r="K154" s="2178"/>
      <c r="L154" s="2112"/>
      <c r="M154" s="2180"/>
      <c r="N154" s="1626"/>
      <c r="O154" s="1626"/>
      <c r="P154" s="1626"/>
      <c r="Q154" s="1626"/>
      <c r="R154" s="1626"/>
      <c r="S154" s="2178"/>
      <c r="T154" s="2109"/>
      <c r="U154" s="2111" t="s">
        <v>14108</v>
      </c>
      <c r="V154" s="1626"/>
      <c r="W154" s="1626"/>
      <c r="X154" s="1626"/>
      <c r="Y154" s="2334"/>
      <c r="Z154" s="2466"/>
      <c r="AA154" s="2466"/>
      <c r="AB154" s="2466"/>
      <c r="AC154" s="2466"/>
      <c r="AD154" s="2467"/>
      <c r="AE154" s="88"/>
      <c r="AF154" s="98" t="s">
        <v>14364</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14365</v>
      </c>
      <c r="C155" s="97" t="s">
        <v>4215</v>
      </c>
      <c r="D155" s="97">
        <v>3</v>
      </c>
      <c r="E155" s="1626"/>
      <c r="F155" s="1626"/>
      <c r="G155" s="1626"/>
      <c r="H155" s="1626"/>
      <c r="I155" s="1626"/>
      <c r="J155" s="1626"/>
      <c r="K155" s="2178"/>
      <c r="L155" s="2112"/>
      <c r="M155" s="2180"/>
      <c r="N155" s="1626"/>
      <c r="O155" s="1626"/>
      <c r="P155" s="1626"/>
      <c r="Q155" s="1626"/>
      <c r="R155" s="1626"/>
      <c r="S155" s="2178"/>
      <c r="T155" s="2109"/>
      <c r="U155" s="2111" t="s">
        <v>14108</v>
      </c>
      <c r="V155" s="1626"/>
      <c r="W155" s="1626"/>
      <c r="X155" s="1626"/>
      <c r="Y155" s="2334"/>
      <c r="Z155" s="2466"/>
      <c r="AA155" s="2466"/>
      <c r="AB155" s="2466"/>
      <c r="AC155" s="2466"/>
      <c r="AD155" s="2467"/>
      <c r="AE155" s="88"/>
      <c r="AF155" s="98" t="s">
        <v>14366</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14367</v>
      </c>
      <c r="C156" s="97" t="s">
        <v>4215</v>
      </c>
      <c r="D156" s="97">
        <v>3</v>
      </c>
      <c r="E156" s="1626"/>
      <c r="F156" s="1626"/>
      <c r="G156" s="1626"/>
      <c r="H156" s="1626"/>
      <c r="I156" s="1626"/>
      <c r="J156" s="1626"/>
      <c r="K156" s="2178"/>
      <c r="L156" s="2112"/>
      <c r="M156" s="2180"/>
      <c r="N156" s="1626"/>
      <c r="O156" s="1626"/>
      <c r="P156" s="1626"/>
      <c r="Q156" s="1626"/>
      <c r="R156" s="1626"/>
      <c r="S156" s="2178"/>
      <c r="T156" s="2109"/>
      <c r="U156" s="2111" t="s">
        <v>14108</v>
      </c>
      <c r="V156" s="1626"/>
      <c r="W156" s="1626"/>
      <c r="X156" s="1626"/>
      <c r="Y156" s="2334"/>
      <c r="Z156" s="2466"/>
      <c r="AA156" s="2466"/>
      <c r="AB156" s="2466"/>
      <c r="AC156" s="2466"/>
      <c r="AD156" s="2467"/>
      <c r="AE156" s="88"/>
      <c r="AF156" s="98" t="s">
        <v>14368</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14369</v>
      </c>
      <c r="C157" s="97" t="s">
        <v>4215</v>
      </c>
      <c r="D157" s="97">
        <v>3</v>
      </c>
      <c r="E157" s="1626"/>
      <c r="F157" s="1626"/>
      <c r="G157" s="1626"/>
      <c r="H157" s="1626"/>
      <c r="I157" s="1626"/>
      <c r="J157" s="1626"/>
      <c r="K157" s="2178"/>
      <c r="L157" s="2112"/>
      <c r="M157" s="2180"/>
      <c r="N157" s="1626"/>
      <c r="O157" s="1626"/>
      <c r="P157" s="1626"/>
      <c r="Q157" s="1626"/>
      <c r="R157" s="1626"/>
      <c r="S157" s="2178"/>
      <c r="T157" s="2109"/>
      <c r="U157" s="2111" t="s">
        <v>14108</v>
      </c>
      <c r="V157" s="1626"/>
      <c r="W157" s="1626"/>
      <c r="X157" s="1626"/>
      <c r="Y157" s="2334"/>
      <c r="Z157" s="2466"/>
      <c r="AA157" s="2466"/>
      <c r="AB157" s="2466"/>
      <c r="AC157" s="2466"/>
      <c r="AD157" s="2467"/>
      <c r="AE157" s="88"/>
      <c r="AF157" s="98" t="s">
        <v>14370</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14371</v>
      </c>
      <c r="C158" s="97" t="s">
        <v>4215</v>
      </c>
      <c r="D158" s="97">
        <v>3</v>
      </c>
      <c r="E158" s="1626"/>
      <c r="F158" s="1626"/>
      <c r="G158" s="1626"/>
      <c r="H158" s="1626"/>
      <c r="I158" s="1626"/>
      <c r="J158" s="1626"/>
      <c r="K158" s="2178"/>
      <c r="L158" s="2112"/>
      <c r="M158" s="2180"/>
      <c r="N158" s="1626"/>
      <c r="O158" s="1626"/>
      <c r="P158" s="1626"/>
      <c r="Q158" s="1626"/>
      <c r="R158" s="1626"/>
      <c r="S158" s="2178"/>
      <c r="T158" s="2109"/>
      <c r="U158" s="2111" t="s">
        <v>14108</v>
      </c>
      <c r="V158" s="1626"/>
      <c r="W158" s="1626"/>
      <c r="X158" s="1626"/>
      <c r="Y158" s="2334"/>
      <c r="Z158" s="2466"/>
      <c r="AA158" s="2466"/>
      <c r="AB158" s="2466"/>
      <c r="AC158" s="2466"/>
      <c r="AD158" s="2467"/>
      <c r="AE158" s="88"/>
      <c r="AF158" s="98" t="s">
        <v>14372</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14373</v>
      </c>
      <c r="C159" s="97" t="s">
        <v>4215</v>
      </c>
      <c r="D159" s="97">
        <v>3</v>
      </c>
      <c r="E159" s="1626"/>
      <c r="F159" s="1626"/>
      <c r="G159" s="1626"/>
      <c r="H159" s="1626"/>
      <c r="I159" s="1626"/>
      <c r="J159" s="1626"/>
      <c r="K159" s="2178"/>
      <c r="L159" s="2112"/>
      <c r="M159" s="2180"/>
      <c r="N159" s="1626"/>
      <c r="O159" s="1626"/>
      <c r="P159" s="1626"/>
      <c r="Q159" s="1626"/>
      <c r="R159" s="1626"/>
      <c r="S159" s="2178"/>
      <c r="T159" s="2109"/>
      <c r="U159" s="2111" t="s">
        <v>14108</v>
      </c>
      <c r="V159" s="1626"/>
      <c r="W159" s="1626"/>
      <c r="X159" s="1626"/>
      <c r="Y159" s="2334"/>
      <c r="Z159" s="2466"/>
      <c r="AA159" s="2466"/>
      <c r="AB159" s="2466"/>
      <c r="AC159" s="2466"/>
      <c r="AD159" s="2467"/>
      <c r="AE159" s="88"/>
      <c r="AF159" s="98" t="s">
        <v>14374</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14375</v>
      </c>
      <c r="C160" s="97" t="s">
        <v>4215</v>
      </c>
      <c r="D160" s="97">
        <v>3</v>
      </c>
      <c r="E160" s="1626"/>
      <c r="F160" s="1626"/>
      <c r="G160" s="1626"/>
      <c r="H160" s="1626"/>
      <c r="I160" s="1626"/>
      <c r="J160" s="1626"/>
      <c r="K160" s="2178"/>
      <c r="L160" s="2112"/>
      <c r="M160" s="2180"/>
      <c r="N160" s="1626"/>
      <c r="O160" s="1626"/>
      <c r="P160" s="1626"/>
      <c r="Q160" s="1626"/>
      <c r="R160" s="1626"/>
      <c r="S160" s="2178"/>
      <c r="T160" s="2109"/>
      <c r="U160" s="2111" t="s">
        <v>14108</v>
      </c>
      <c r="V160" s="1626"/>
      <c r="W160" s="1626"/>
      <c r="X160" s="1626"/>
      <c r="Y160" s="2334"/>
      <c r="Z160" s="2466"/>
      <c r="AA160" s="2466"/>
      <c r="AB160" s="2466"/>
      <c r="AC160" s="2466"/>
      <c r="AD160" s="2467"/>
      <c r="AE160" s="88"/>
      <c r="AF160" s="98" t="s">
        <v>14376</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14377</v>
      </c>
      <c r="C161" s="97" t="s">
        <v>4215</v>
      </c>
      <c r="D161" s="97">
        <v>3</v>
      </c>
      <c r="E161" s="1626"/>
      <c r="F161" s="1626"/>
      <c r="G161" s="1626"/>
      <c r="H161" s="1626"/>
      <c r="I161" s="1626"/>
      <c r="J161" s="1626"/>
      <c r="K161" s="2178"/>
      <c r="L161" s="2112"/>
      <c r="M161" s="2180"/>
      <c r="N161" s="1626"/>
      <c r="O161" s="1626"/>
      <c r="P161" s="1626"/>
      <c r="Q161" s="1626"/>
      <c r="R161" s="1626"/>
      <c r="S161" s="2178"/>
      <c r="T161" s="2109"/>
      <c r="U161" s="2111" t="s">
        <v>14108</v>
      </c>
      <c r="V161" s="1626"/>
      <c r="W161" s="1626"/>
      <c r="X161" s="1626"/>
      <c r="Y161" s="2334"/>
      <c r="Z161" s="2466"/>
      <c r="AA161" s="2466"/>
      <c r="AB161" s="2466"/>
      <c r="AC161" s="2466"/>
      <c r="AD161" s="2467"/>
      <c r="AE161" s="88"/>
      <c r="AF161" s="98" t="s">
        <v>14378</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14379</v>
      </c>
      <c r="C162" s="97" t="s">
        <v>4215</v>
      </c>
      <c r="D162" s="97">
        <v>3</v>
      </c>
      <c r="E162" s="1626"/>
      <c r="F162" s="1626"/>
      <c r="G162" s="1626"/>
      <c r="H162" s="1626"/>
      <c r="I162" s="1626"/>
      <c r="J162" s="1626"/>
      <c r="K162" s="2178"/>
      <c r="L162" s="2112"/>
      <c r="M162" s="2180"/>
      <c r="N162" s="1626"/>
      <c r="O162" s="1626"/>
      <c r="P162" s="1626"/>
      <c r="Q162" s="1626"/>
      <c r="R162" s="1626"/>
      <c r="S162" s="2178"/>
      <c r="T162" s="2109"/>
      <c r="U162" s="2111" t="s">
        <v>14108</v>
      </c>
      <c r="V162" s="1626"/>
      <c r="W162" s="1626"/>
      <c r="X162" s="1626"/>
      <c r="Y162" s="2334"/>
      <c r="Z162" s="2466"/>
      <c r="AA162" s="2466"/>
      <c r="AB162" s="2466"/>
      <c r="AC162" s="2466"/>
      <c r="AD162" s="2467"/>
      <c r="AE162" s="88"/>
      <c r="AF162" s="98" t="s">
        <v>14380</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14381</v>
      </c>
      <c r="C163" s="97" t="s">
        <v>4215</v>
      </c>
      <c r="D163" s="97">
        <v>3</v>
      </c>
      <c r="E163" s="1626"/>
      <c r="F163" s="1626"/>
      <c r="G163" s="1626"/>
      <c r="H163" s="1626"/>
      <c r="I163" s="1626"/>
      <c r="J163" s="1626"/>
      <c r="K163" s="2178"/>
      <c r="L163" s="2112"/>
      <c r="M163" s="2180"/>
      <c r="N163" s="1626"/>
      <c r="O163" s="1626"/>
      <c r="P163" s="1626"/>
      <c r="Q163" s="1626"/>
      <c r="R163" s="1626"/>
      <c r="S163" s="2178"/>
      <c r="T163" s="2109"/>
      <c r="U163" s="2111" t="s">
        <v>14108</v>
      </c>
      <c r="V163" s="1626"/>
      <c r="W163" s="1626"/>
      <c r="X163" s="1626"/>
      <c r="Y163" s="2334"/>
      <c r="Z163" s="2466"/>
      <c r="AA163" s="2466"/>
      <c r="AB163" s="2466"/>
      <c r="AC163" s="2466"/>
      <c r="AD163" s="2467"/>
      <c r="AE163" s="88"/>
      <c r="AF163" s="98" t="s">
        <v>14382</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14383</v>
      </c>
      <c r="C164" s="97" t="s">
        <v>4215</v>
      </c>
      <c r="D164" s="97">
        <v>3</v>
      </c>
      <c r="E164" s="1626"/>
      <c r="F164" s="1626"/>
      <c r="G164" s="1626"/>
      <c r="H164" s="1626"/>
      <c r="I164" s="1626"/>
      <c r="J164" s="1626"/>
      <c r="K164" s="2178"/>
      <c r="L164" s="2112"/>
      <c r="M164" s="2180"/>
      <c r="N164" s="1626"/>
      <c r="O164" s="1626"/>
      <c r="P164" s="1626"/>
      <c r="Q164" s="1626"/>
      <c r="R164" s="1626"/>
      <c r="S164" s="2178"/>
      <c r="T164" s="2109"/>
      <c r="U164" s="2111" t="s">
        <v>14108</v>
      </c>
      <c r="V164" s="1626"/>
      <c r="W164" s="1626"/>
      <c r="X164" s="1626"/>
      <c r="Y164" s="2334"/>
      <c r="Z164" s="2466"/>
      <c r="AA164" s="2466"/>
      <c r="AB164" s="2466"/>
      <c r="AC164" s="2466"/>
      <c r="AD164" s="2467"/>
      <c r="AE164" s="88"/>
      <c r="AF164" s="98" t="s">
        <v>14384</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14385</v>
      </c>
      <c r="C165" s="97" t="s">
        <v>4215</v>
      </c>
      <c r="D165" s="97">
        <v>3</v>
      </c>
      <c r="E165" s="1626"/>
      <c r="F165" s="1626"/>
      <c r="G165" s="1626"/>
      <c r="H165" s="1626"/>
      <c r="I165" s="1626"/>
      <c r="J165" s="1626"/>
      <c r="K165" s="2178"/>
      <c r="L165" s="2112"/>
      <c r="M165" s="2180"/>
      <c r="N165" s="1626"/>
      <c r="O165" s="1626"/>
      <c r="P165" s="1626"/>
      <c r="Q165" s="1626"/>
      <c r="R165" s="1626"/>
      <c r="S165" s="2178"/>
      <c r="T165" s="2109"/>
      <c r="U165" s="2111" t="s">
        <v>14108</v>
      </c>
      <c r="V165" s="1626"/>
      <c r="W165" s="1626"/>
      <c r="X165" s="1626"/>
      <c r="Y165" s="2334"/>
      <c r="Z165" s="2466"/>
      <c r="AA165" s="2466"/>
      <c r="AB165" s="2466"/>
      <c r="AC165" s="2466"/>
      <c r="AD165" s="2467"/>
      <c r="AE165" s="88"/>
      <c r="AF165" s="98" t="s">
        <v>14386</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14387</v>
      </c>
      <c r="C166" s="97" t="s">
        <v>4215</v>
      </c>
      <c r="D166" s="97">
        <v>3</v>
      </c>
      <c r="E166" s="1626"/>
      <c r="F166" s="1626"/>
      <c r="G166" s="1626"/>
      <c r="H166" s="1626"/>
      <c r="I166" s="1626"/>
      <c r="J166" s="1626"/>
      <c r="K166" s="2178"/>
      <c r="L166" s="2112"/>
      <c r="M166" s="2180"/>
      <c r="N166" s="1626"/>
      <c r="O166" s="1626"/>
      <c r="P166" s="1626"/>
      <c r="Q166" s="1626"/>
      <c r="R166" s="1626"/>
      <c r="S166" s="2178"/>
      <c r="T166" s="2109"/>
      <c r="U166" s="2111" t="s">
        <v>14108</v>
      </c>
      <c r="V166" s="1626"/>
      <c r="W166" s="1626"/>
      <c r="X166" s="1626"/>
      <c r="Y166" s="2334"/>
      <c r="Z166" s="2466"/>
      <c r="AA166" s="2466"/>
      <c r="AB166" s="2466"/>
      <c r="AC166" s="2466"/>
      <c r="AD166" s="2467"/>
      <c r="AE166" s="88"/>
      <c r="AF166" s="98" t="s">
        <v>14388</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14389</v>
      </c>
      <c r="C167" s="97" t="s">
        <v>4215</v>
      </c>
      <c r="D167" s="97">
        <v>3</v>
      </c>
      <c r="E167" s="1626"/>
      <c r="F167" s="1626"/>
      <c r="G167" s="1626"/>
      <c r="H167" s="1626"/>
      <c r="I167" s="1626"/>
      <c r="J167" s="1626"/>
      <c r="K167" s="2178"/>
      <c r="L167" s="2112"/>
      <c r="M167" s="2180"/>
      <c r="N167" s="1626"/>
      <c r="O167" s="1626"/>
      <c r="P167" s="1626"/>
      <c r="Q167" s="1626"/>
      <c r="R167" s="1626"/>
      <c r="S167" s="2178"/>
      <c r="T167" s="2109"/>
      <c r="U167" s="2111" t="s">
        <v>14108</v>
      </c>
      <c r="V167" s="1626"/>
      <c r="W167" s="1626"/>
      <c r="X167" s="1626"/>
      <c r="Y167" s="2334"/>
      <c r="Z167" s="2466"/>
      <c r="AA167" s="2466"/>
      <c r="AB167" s="2466"/>
      <c r="AC167" s="2466"/>
      <c r="AD167" s="2467"/>
      <c r="AE167" s="88"/>
      <c r="AF167" s="98" t="s">
        <v>14390</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14391</v>
      </c>
      <c r="C168" s="97" t="s">
        <v>4215</v>
      </c>
      <c r="D168" s="97">
        <v>3</v>
      </c>
      <c r="E168" s="1626"/>
      <c r="F168" s="1626"/>
      <c r="G168" s="1626"/>
      <c r="H168" s="1626"/>
      <c r="I168" s="1626"/>
      <c r="J168" s="1626"/>
      <c r="K168" s="2178"/>
      <c r="L168" s="2112"/>
      <c r="M168" s="2180"/>
      <c r="N168" s="1626"/>
      <c r="O168" s="1626"/>
      <c r="P168" s="1626"/>
      <c r="Q168" s="1626"/>
      <c r="R168" s="1626"/>
      <c r="S168" s="2178"/>
      <c r="T168" s="2109"/>
      <c r="U168" s="2111" t="s">
        <v>14108</v>
      </c>
      <c r="V168" s="1626"/>
      <c r="W168" s="1626"/>
      <c r="X168" s="1626"/>
      <c r="Y168" s="2334"/>
      <c r="Z168" s="2466"/>
      <c r="AA168" s="2466"/>
      <c r="AB168" s="2466"/>
      <c r="AC168" s="2466"/>
      <c r="AD168" s="2467"/>
      <c r="AE168" s="88"/>
      <c r="AF168" s="98" t="s">
        <v>14392</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14393</v>
      </c>
      <c r="C169" s="97" t="s">
        <v>4215</v>
      </c>
      <c r="D169" s="97">
        <v>3</v>
      </c>
      <c r="E169" s="1626"/>
      <c r="F169" s="1626"/>
      <c r="G169" s="1626"/>
      <c r="H169" s="1626"/>
      <c r="I169" s="1626"/>
      <c r="J169" s="1626"/>
      <c r="K169" s="2178"/>
      <c r="L169" s="2112"/>
      <c r="M169" s="2180"/>
      <c r="N169" s="1626"/>
      <c r="O169" s="1626"/>
      <c r="P169" s="1626"/>
      <c r="Q169" s="1626"/>
      <c r="R169" s="1626"/>
      <c r="S169" s="2178"/>
      <c r="T169" s="2109"/>
      <c r="U169" s="2111" t="s">
        <v>14108</v>
      </c>
      <c r="V169" s="1626"/>
      <c r="W169" s="1626"/>
      <c r="X169" s="1626"/>
      <c r="Y169" s="2334"/>
      <c r="Z169" s="2466"/>
      <c r="AA169" s="2466"/>
      <c r="AB169" s="2466"/>
      <c r="AC169" s="2466"/>
      <c r="AD169" s="2467"/>
      <c r="AE169" s="88"/>
      <c r="AF169" s="98" t="s">
        <v>14394</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14395</v>
      </c>
      <c r="C170" s="97" t="s">
        <v>4215</v>
      </c>
      <c r="D170" s="97">
        <v>3</v>
      </c>
      <c r="E170" s="1626"/>
      <c r="F170" s="1626"/>
      <c r="G170" s="1626"/>
      <c r="H170" s="1626"/>
      <c r="I170" s="1626"/>
      <c r="J170" s="1626"/>
      <c r="K170" s="2178"/>
      <c r="L170" s="2112"/>
      <c r="M170" s="2180"/>
      <c r="N170" s="1626"/>
      <c r="O170" s="1626"/>
      <c r="P170" s="1626"/>
      <c r="Q170" s="1626"/>
      <c r="R170" s="1626"/>
      <c r="S170" s="2178"/>
      <c r="T170" s="2109"/>
      <c r="U170" s="2111" t="s">
        <v>14108</v>
      </c>
      <c r="V170" s="1626"/>
      <c r="W170" s="1626"/>
      <c r="X170" s="1626"/>
      <c r="Y170" s="2334"/>
      <c r="Z170" s="2466"/>
      <c r="AA170" s="2466"/>
      <c r="AB170" s="2466"/>
      <c r="AC170" s="2466"/>
      <c r="AD170" s="2467"/>
      <c r="AE170" s="88"/>
      <c r="AF170" s="98" t="s">
        <v>14396</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14397</v>
      </c>
      <c r="C171" s="97" t="s">
        <v>4215</v>
      </c>
      <c r="D171" s="97">
        <v>3</v>
      </c>
      <c r="E171" s="1626"/>
      <c r="F171" s="1626"/>
      <c r="G171" s="1626"/>
      <c r="H171" s="1626"/>
      <c r="I171" s="1626"/>
      <c r="J171" s="1626"/>
      <c r="K171" s="2178"/>
      <c r="L171" s="2112"/>
      <c r="M171" s="2180"/>
      <c r="N171" s="1626"/>
      <c r="O171" s="1626"/>
      <c r="P171" s="1626"/>
      <c r="Q171" s="1626"/>
      <c r="R171" s="1626"/>
      <c r="S171" s="2178"/>
      <c r="T171" s="2109"/>
      <c r="U171" s="2111" t="s">
        <v>14108</v>
      </c>
      <c r="V171" s="1626"/>
      <c r="W171" s="1626"/>
      <c r="X171" s="1626"/>
      <c r="Y171" s="2334"/>
      <c r="Z171" s="2466"/>
      <c r="AA171" s="2466"/>
      <c r="AB171" s="2466"/>
      <c r="AC171" s="2466"/>
      <c r="AD171" s="2467"/>
      <c r="AE171" s="88"/>
      <c r="AF171" s="98" t="s">
        <v>14398</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14399</v>
      </c>
      <c r="C172" s="97" t="s">
        <v>4215</v>
      </c>
      <c r="D172" s="97">
        <v>3</v>
      </c>
      <c r="E172" s="1626"/>
      <c r="F172" s="1626"/>
      <c r="G172" s="1626"/>
      <c r="H172" s="1626"/>
      <c r="I172" s="1626"/>
      <c r="J172" s="1626"/>
      <c r="K172" s="2178"/>
      <c r="L172" s="2112"/>
      <c r="M172" s="2180"/>
      <c r="N172" s="1626"/>
      <c r="O172" s="1626"/>
      <c r="P172" s="1626"/>
      <c r="Q172" s="1626"/>
      <c r="R172" s="1626"/>
      <c r="S172" s="2178"/>
      <c r="T172" s="2109"/>
      <c r="U172" s="2111" t="s">
        <v>14108</v>
      </c>
      <c r="V172" s="1626"/>
      <c r="W172" s="1626"/>
      <c r="X172" s="1626"/>
      <c r="Y172" s="2334"/>
      <c r="Z172" s="2466"/>
      <c r="AA172" s="2466"/>
      <c r="AB172" s="2466"/>
      <c r="AC172" s="2466"/>
      <c r="AD172" s="2467"/>
      <c r="AE172" s="88"/>
      <c r="AF172" s="98" t="s">
        <v>14400</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14401</v>
      </c>
      <c r="C173" s="97" t="s">
        <v>4215</v>
      </c>
      <c r="D173" s="97">
        <v>3</v>
      </c>
      <c r="E173" s="1626"/>
      <c r="F173" s="1626"/>
      <c r="G173" s="1626"/>
      <c r="H173" s="1626"/>
      <c r="I173" s="1626"/>
      <c r="J173" s="1626"/>
      <c r="K173" s="2178"/>
      <c r="L173" s="2112"/>
      <c r="M173" s="2180"/>
      <c r="N173" s="1626"/>
      <c r="O173" s="1626"/>
      <c r="P173" s="1626"/>
      <c r="Q173" s="1626"/>
      <c r="R173" s="1626"/>
      <c r="S173" s="2178"/>
      <c r="T173" s="2109"/>
      <c r="U173" s="2111" t="s">
        <v>14108</v>
      </c>
      <c r="V173" s="1626"/>
      <c r="W173" s="1626"/>
      <c r="X173" s="1626"/>
      <c r="Y173" s="2334"/>
      <c r="Z173" s="2466"/>
      <c r="AA173" s="2466"/>
      <c r="AB173" s="2466"/>
      <c r="AC173" s="2466"/>
      <c r="AD173" s="2467"/>
      <c r="AE173" s="88"/>
      <c r="AF173" s="98" t="s">
        <v>14402</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14403</v>
      </c>
      <c r="C174" s="97" t="s">
        <v>4215</v>
      </c>
      <c r="D174" s="97">
        <v>3</v>
      </c>
      <c r="E174" s="1626"/>
      <c r="F174" s="1626"/>
      <c r="G174" s="1626"/>
      <c r="H174" s="1626"/>
      <c r="I174" s="1626"/>
      <c r="J174" s="1626"/>
      <c r="K174" s="2178"/>
      <c r="L174" s="2112"/>
      <c r="M174" s="2180"/>
      <c r="N174" s="1626"/>
      <c r="O174" s="1626"/>
      <c r="P174" s="1626"/>
      <c r="Q174" s="1626"/>
      <c r="R174" s="1626"/>
      <c r="S174" s="2178"/>
      <c r="T174" s="2109"/>
      <c r="U174" s="2111" t="s">
        <v>14108</v>
      </c>
      <c r="V174" s="1626"/>
      <c r="W174" s="1626"/>
      <c r="X174" s="1626"/>
      <c r="Y174" s="2334"/>
      <c r="Z174" s="2466"/>
      <c r="AA174" s="2466"/>
      <c r="AB174" s="2466"/>
      <c r="AC174" s="2466"/>
      <c r="AD174" s="2467"/>
      <c r="AE174" s="88"/>
      <c r="AF174" s="98" t="s">
        <v>14404</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14405</v>
      </c>
      <c r="C175" s="97" t="s">
        <v>4215</v>
      </c>
      <c r="D175" s="97">
        <v>3</v>
      </c>
      <c r="E175" s="1626"/>
      <c r="F175" s="1626"/>
      <c r="G175" s="1626"/>
      <c r="H175" s="1626"/>
      <c r="I175" s="1626"/>
      <c r="J175" s="1626"/>
      <c r="K175" s="2178"/>
      <c r="L175" s="2112"/>
      <c r="M175" s="2180"/>
      <c r="N175" s="1626"/>
      <c r="O175" s="1626"/>
      <c r="P175" s="1626"/>
      <c r="Q175" s="1626"/>
      <c r="R175" s="1626"/>
      <c r="S175" s="2178"/>
      <c r="T175" s="2109"/>
      <c r="U175" s="2111" t="s">
        <v>14108</v>
      </c>
      <c r="V175" s="1626"/>
      <c r="W175" s="1626"/>
      <c r="X175" s="1626"/>
      <c r="Y175" s="2334"/>
      <c r="Z175" s="2466"/>
      <c r="AA175" s="2466"/>
      <c r="AB175" s="2466"/>
      <c r="AC175" s="2466"/>
      <c r="AD175" s="2467"/>
      <c r="AE175" s="88"/>
      <c r="AF175" s="98" t="s">
        <v>14406</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14407</v>
      </c>
      <c r="C176" s="97" t="s">
        <v>4215</v>
      </c>
      <c r="D176" s="97">
        <v>3</v>
      </c>
      <c r="E176" s="1626"/>
      <c r="F176" s="1626"/>
      <c r="G176" s="1626"/>
      <c r="H176" s="1626"/>
      <c r="I176" s="1626"/>
      <c r="J176" s="1626"/>
      <c r="K176" s="2178"/>
      <c r="L176" s="2112"/>
      <c r="M176" s="2180"/>
      <c r="N176" s="1626"/>
      <c r="O176" s="1626"/>
      <c r="P176" s="1626"/>
      <c r="Q176" s="1626"/>
      <c r="R176" s="1626"/>
      <c r="S176" s="2178"/>
      <c r="T176" s="2109"/>
      <c r="U176" s="2111" t="s">
        <v>14108</v>
      </c>
      <c r="V176" s="1626"/>
      <c r="W176" s="1626"/>
      <c r="X176" s="1626"/>
      <c r="Y176" s="2334"/>
      <c r="Z176" s="2466"/>
      <c r="AA176" s="2466"/>
      <c r="AB176" s="2466"/>
      <c r="AC176" s="2466"/>
      <c r="AD176" s="2467"/>
      <c r="AE176" s="88"/>
      <c r="AF176" s="98" t="s">
        <v>14408</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14409</v>
      </c>
      <c r="C177" s="97" t="s">
        <v>4215</v>
      </c>
      <c r="D177" s="97">
        <v>3</v>
      </c>
      <c r="E177" s="1626"/>
      <c r="F177" s="1626"/>
      <c r="G177" s="1626"/>
      <c r="H177" s="1626"/>
      <c r="I177" s="1626"/>
      <c r="J177" s="1626"/>
      <c r="K177" s="2178"/>
      <c r="L177" s="2112"/>
      <c r="M177" s="2180"/>
      <c r="N177" s="1626"/>
      <c r="O177" s="1626"/>
      <c r="P177" s="1626"/>
      <c r="Q177" s="1626"/>
      <c r="R177" s="1626"/>
      <c r="S177" s="2178"/>
      <c r="T177" s="2109"/>
      <c r="U177" s="2111" t="s">
        <v>14108</v>
      </c>
      <c r="V177" s="1626"/>
      <c r="W177" s="1626"/>
      <c r="X177" s="1626"/>
      <c r="Y177" s="2334"/>
      <c r="Z177" s="2466"/>
      <c r="AA177" s="2466"/>
      <c r="AB177" s="2466"/>
      <c r="AC177" s="2466"/>
      <c r="AD177" s="2467"/>
      <c r="AE177" s="88"/>
      <c r="AF177" s="98" t="s">
        <v>14410</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14411</v>
      </c>
      <c r="C178" s="97" t="s">
        <v>4215</v>
      </c>
      <c r="D178" s="97">
        <v>3</v>
      </c>
      <c r="E178" s="1626"/>
      <c r="F178" s="1626"/>
      <c r="G178" s="1626"/>
      <c r="H178" s="1626"/>
      <c r="I178" s="1626"/>
      <c r="J178" s="1626"/>
      <c r="K178" s="2178"/>
      <c r="L178" s="2112"/>
      <c r="M178" s="2180"/>
      <c r="N178" s="1626"/>
      <c r="O178" s="1626"/>
      <c r="P178" s="1626"/>
      <c r="Q178" s="1626"/>
      <c r="R178" s="1626"/>
      <c r="S178" s="2178"/>
      <c r="T178" s="2109"/>
      <c r="U178" s="2111" t="s">
        <v>14108</v>
      </c>
      <c r="V178" s="1626"/>
      <c r="W178" s="1626"/>
      <c r="X178" s="1626"/>
      <c r="Y178" s="2334"/>
      <c r="Z178" s="2466"/>
      <c r="AA178" s="2466"/>
      <c r="AB178" s="2466"/>
      <c r="AC178" s="2466"/>
      <c r="AD178" s="2467"/>
      <c r="AE178" s="88"/>
      <c r="AF178" s="98" t="s">
        <v>14412</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14413</v>
      </c>
      <c r="C179" s="97" t="s">
        <v>4215</v>
      </c>
      <c r="D179" s="97">
        <v>3</v>
      </c>
      <c r="E179" s="1626"/>
      <c r="F179" s="1626"/>
      <c r="G179" s="1626"/>
      <c r="H179" s="1626"/>
      <c r="I179" s="1626"/>
      <c r="J179" s="1626"/>
      <c r="K179" s="2178"/>
      <c r="L179" s="2112"/>
      <c r="M179" s="2180"/>
      <c r="N179" s="1626"/>
      <c r="O179" s="1626"/>
      <c r="P179" s="1626"/>
      <c r="Q179" s="1626"/>
      <c r="R179" s="1626"/>
      <c r="S179" s="2178"/>
      <c r="T179" s="2109"/>
      <c r="U179" s="2111" t="s">
        <v>14108</v>
      </c>
      <c r="V179" s="1626"/>
      <c r="W179" s="1626"/>
      <c r="X179" s="1626"/>
      <c r="Y179" s="2334"/>
      <c r="Z179" s="2466"/>
      <c r="AA179" s="2466"/>
      <c r="AB179" s="2466"/>
      <c r="AC179" s="2466"/>
      <c r="AD179" s="2467"/>
      <c r="AE179" s="88"/>
      <c r="AF179" s="98" t="s">
        <v>14414</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14415</v>
      </c>
      <c r="C180" s="97" t="s">
        <v>4215</v>
      </c>
      <c r="D180" s="97">
        <v>3</v>
      </c>
      <c r="E180" s="1626"/>
      <c r="F180" s="1626"/>
      <c r="G180" s="1626"/>
      <c r="H180" s="1626"/>
      <c r="I180" s="1626"/>
      <c r="J180" s="1626"/>
      <c r="K180" s="2178"/>
      <c r="L180" s="2112"/>
      <c r="M180" s="2180"/>
      <c r="N180" s="1626"/>
      <c r="O180" s="1626"/>
      <c r="P180" s="1626"/>
      <c r="Q180" s="1626"/>
      <c r="R180" s="1626"/>
      <c r="S180" s="2178"/>
      <c r="T180" s="2109"/>
      <c r="U180" s="2111" t="s">
        <v>14108</v>
      </c>
      <c r="V180" s="1626"/>
      <c r="W180" s="1626"/>
      <c r="X180" s="1626"/>
      <c r="Y180" s="2334"/>
      <c r="Z180" s="2466"/>
      <c r="AA180" s="2466"/>
      <c r="AB180" s="2466"/>
      <c r="AC180" s="2466"/>
      <c r="AD180" s="2467"/>
      <c r="AE180" s="88"/>
      <c r="AF180" s="98" t="s">
        <v>14416</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14417</v>
      </c>
      <c r="C181" s="97" t="s">
        <v>4215</v>
      </c>
      <c r="D181" s="97">
        <v>3</v>
      </c>
      <c r="E181" s="1626"/>
      <c r="F181" s="1626"/>
      <c r="G181" s="1626"/>
      <c r="H181" s="1626"/>
      <c r="I181" s="1626"/>
      <c r="J181" s="1626"/>
      <c r="K181" s="2178"/>
      <c r="L181" s="2112"/>
      <c r="M181" s="2180"/>
      <c r="N181" s="1626"/>
      <c r="O181" s="1626"/>
      <c r="P181" s="1626"/>
      <c r="Q181" s="1626"/>
      <c r="R181" s="1626"/>
      <c r="S181" s="2178"/>
      <c r="T181" s="2109"/>
      <c r="U181" s="2111" t="s">
        <v>14108</v>
      </c>
      <c r="V181" s="1626"/>
      <c r="W181" s="1626"/>
      <c r="X181" s="1626"/>
      <c r="Y181" s="2334"/>
      <c r="Z181" s="2466"/>
      <c r="AA181" s="2466"/>
      <c r="AB181" s="2466"/>
      <c r="AC181" s="2466"/>
      <c r="AD181" s="2467"/>
      <c r="AE181" s="88"/>
      <c r="AF181" s="98" t="s">
        <v>14418</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14419</v>
      </c>
      <c r="C182" s="97" t="s">
        <v>4215</v>
      </c>
      <c r="D182" s="97">
        <v>3</v>
      </c>
      <c r="E182" s="1626"/>
      <c r="F182" s="1626"/>
      <c r="G182" s="1626"/>
      <c r="H182" s="1626"/>
      <c r="I182" s="1626"/>
      <c r="J182" s="1626"/>
      <c r="K182" s="2178"/>
      <c r="L182" s="2112"/>
      <c r="M182" s="2180"/>
      <c r="N182" s="1626"/>
      <c r="O182" s="1626"/>
      <c r="P182" s="1626"/>
      <c r="Q182" s="1626"/>
      <c r="R182" s="1626"/>
      <c r="S182" s="2178"/>
      <c r="T182" s="2109"/>
      <c r="U182" s="2111" t="s">
        <v>14108</v>
      </c>
      <c r="V182" s="1626"/>
      <c r="W182" s="1626"/>
      <c r="X182" s="1626"/>
      <c r="Y182" s="2334"/>
      <c r="Z182" s="2466"/>
      <c r="AA182" s="2466"/>
      <c r="AB182" s="2466"/>
      <c r="AC182" s="2466"/>
      <c r="AD182" s="2467"/>
      <c r="AE182" s="88"/>
      <c r="AF182" s="98" t="s">
        <v>14420</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14421</v>
      </c>
      <c r="C183" s="97" t="s">
        <v>4215</v>
      </c>
      <c r="D183" s="97">
        <v>3</v>
      </c>
      <c r="E183" s="1626"/>
      <c r="F183" s="1626"/>
      <c r="G183" s="1626"/>
      <c r="H183" s="1626"/>
      <c r="I183" s="1626"/>
      <c r="J183" s="1626"/>
      <c r="K183" s="2178"/>
      <c r="L183" s="2112"/>
      <c r="M183" s="2180"/>
      <c r="N183" s="1626"/>
      <c r="O183" s="1626"/>
      <c r="P183" s="1626"/>
      <c r="Q183" s="1626"/>
      <c r="R183" s="1626"/>
      <c r="S183" s="2178"/>
      <c r="T183" s="2109"/>
      <c r="U183" s="2111" t="s">
        <v>14108</v>
      </c>
      <c r="V183" s="1626"/>
      <c r="W183" s="1626"/>
      <c r="X183" s="1626"/>
      <c r="Y183" s="2334"/>
      <c r="Z183" s="2466"/>
      <c r="AA183" s="2466"/>
      <c r="AB183" s="2466"/>
      <c r="AC183" s="2466"/>
      <c r="AD183" s="2467"/>
      <c r="AE183" s="88"/>
      <c r="AF183" s="98" t="s">
        <v>14422</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14423</v>
      </c>
      <c r="C184" s="97" t="s">
        <v>4215</v>
      </c>
      <c r="D184" s="97">
        <v>3</v>
      </c>
      <c r="E184" s="1626"/>
      <c r="F184" s="1626"/>
      <c r="G184" s="1626"/>
      <c r="H184" s="1626"/>
      <c r="I184" s="1626"/>
      <c r="J184" s="1626"/>
      <c r="K184" s="2178"/>
      <c r="L184" s="2112"/>
      <c r="M184" s="2180"/>
      <c r="N184" s="1626"/>
      <c r="O184" s="1626"/>
      <c r="P184" s="1626"/>
      <c r="Q184" s="1626"/>
      <c r="R184" s="1626"/>
      <c r="S184" s="2178"/>
      <c r="T184" s="2109"/>
      <c r="U184" s="2111" t="s">
        <v>14108</v>
      </c>
      <c r="V184" s="1626"/>
      <c r="W184" s="1626"/>
      <c r="X184" s="1626"/>
      <c r="Y184" s="2334"/>
      <c r="Z184" s="2466"/>
      <c r="AA184" s="2466"/>
      <c r="AB184" s="2466"/>
      <c r="AC184" s="2466"/>
      <c r="AD184" s="2467"/>
      <c r="AE184" s="88"/>
      <c r="AF184" s="98" t="s">
        <v>14424</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14425</v>
      </c>
      <c r="C185" s="97" t="s">
        <v>4215</v>
      </c>
      <c r="D185" s="97">
        <v>3</v>
      </c>
      <c r="E185" s="1626"/>
      <c r="F185" s="1626"/>
      <c r="G185" s="1626"/>
      <c r="H185" s="1626"/>
      <c r="I185" s="1626"/>
      <c r="J185" s="1626"/>
      <c r="K185" s="2178"/>
      <c r="L185" s="2112"/>
      <c r="M185" s="2180"/>
      <c r="N185" s="1626"/>
      <c r="O185" s="1626"/>
      <c r="P185" s="1626"/>
      <c r="Q185" s="1626"/>
      <c r="R185" s="1626"/>
      <c r="S185" s="2178"/>
      <c r="T185" s="2109"/>
      <c r="U185" s="2111" t="s">
        <v>14108</v>
      </c>
      <c r="V185" s="1626"/>
      <c r="W185" s="1626"/>
      <c r="X185" s="1626"/>
      <c r="Y185" s="2334"/>
      <c r="Z185" s="2466"/>
      <c r="AA185" s="2466"/>
      <c r="AB185" s="2466"/>
      <c r="AC185" s="2466"/>
      <c r="AD185" s="2467"/>
      <c r="AE185" s="88"/>
      <c r="AF185" s="98" t="s">
        <v>14426</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14427</v>
      </c>
      <c r="C186" s="97" t="s">
        <v>4215</v>
      </c>
      <c r="D186" s="97">
        <v>3</v>
      </c>
      <c r="E186" s="1626"/>
      <c r="F186" s="1626"/>
      <c r="G186" s="1626"/>
      <c r="H186" s="1626"/>
      <c r="I186" s="1626"/>
      <c r="J186" s="1626"/>
      <c r="K186" s="2178"/>
      <c r="L186" s="2112"/>
      <c r="M186" s="2180"/>
      <c r="N186" s="1626"/>
      <c r="O186" s="1626"/>
      <c r="P186" s="1626"/>
      <c r="Q186" s="1626"/>
      <c r="R186" s="1626"/>
      <c r="S186" s="2178"/>
      <c r="T186" s="2109"/>
      <c r="U186" s="2111" t="s">
        <v>14108</v>
      </c>
      <c r="V186" s="1626"/>
      <c r="W186" s="1626"/>
      <c r="X186" s="1626"/>
      <c r="Y186" s="2334"/>
      <c r="Z186" s="2466"/>
      <c r="AA186" s="2466"/>
      <c r="AB186" s="2466"/>
      <c r="AC186" s="2466"/>
      <c r="AD186" s="2467"/>
      <c r="AE186" s="88"/>
      <c r="AF186" s="98" t="s">
        <v>14428</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14429</v>
      </c>
      <c r="C187" s="97" t="s">
        <v>4215</v>
      </c>
      <c r="D187" s="97">
        <v>3</v>
      </c>
      <c r="E187" s="1626"/>
      <c r="F187" s="1626"/>
      <c r="G187" s="1626"/>
      <c r="H187" s="1626"/>
      <c r="I187" s="1626"/>
      <c r="J187" s="1626"/>
      <c r="K187" s="2178"/>
      <c r="L187" s="2112"/>
      <c r="M187" s="2180"/>
      <c r="N187" s="1626"/>
      <c r="O187" s="1626"/>
      <c r="P187" s="1626"/>
      <c r="Q187" s="1626"/>
      <c r="R187" s="1626"/>
      <c r="S187" s="2178"/>
      <c r="T187" s="2109"/>
      <c r="U187" s="2111" t="s">
        <v>14108</v>
      </c>
      <c r="V187" s="1626"/>
      <c r="W187" s="1626"/>
      <c r="X187" s="1626"/>
      <c r="Y187" s="2334"/>
      <c r="Z187" s="2466"/>
      <c r="AA187" s="2466"/>
      <c r="AB187" s="2466"/>
      <c r="AC187" s="2466"/>
      <c r="AD187" s="2467"/>
      <c r="AE187" s="88"/>
      <c r="AF187" s="98" t="s">
        <v>14430</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14431</v>
      </c>
      <c r="C188" s="97" t="s">
        <v>4215</v>
      </c>
      <c r="D188" s="97">
        <v>3</v>
      </c>
      <c r="E188" s="1626"/>
      <c r="F188" s="1626"/>
      <c r="G188" s="1626"/>
      <c r="H188" s="1626"/>
      <c r="I188" s="1626"/>
      <c r="J188" s="1626"/>
      <c r="K188" s="2178"/>
      <c r="L188" s="2112"/>
      <c r="M188" s="2180"/>
      <c r="N188" s="1626"/>
      <c r="O188" s="1626"/>
      <c r="P188" s="1626"/>
      <c r="Q188" s="1626"/>
      <c r="R188" s="1626"/>
      <c r="S188" s="2178"/>
      <c r="T188" s="2109"/>
      <c r="U188" s="2111" t="s">
        <v>14108</v>
      </c>
      <c r="V188" s="1626"/>
      <c r="W188" s="1626"/>
      <c r="X188" s="1626"/>
      <c r="Y188" s="2334"/>
      <c r="Z188" s="2466"/>
      <c r="AA188" s="2466"/>
      <c r="AB188" s="2466"/>
      <c r="AC188" s="2466"/>
      <c r="AD188" s="2467"/>
      <c r="AE188" s="88"/>
      <c r="AF188" s="98" t="s">
        <v>14432</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14433</v>
      </c>
      <c r="C189" s="97" t="s">
        <v>4215</v>
      </c>
      <c r="D189" s="97">
        <v>3</v>
      </c>
      <c r="E189" s="1626"/>
      <c r="F189" s="1626"/>
      <c r="G189" s="1626"/>
      <c r="H189" s="1626"/>
      <c r="I189" s="1626"/>
      <c r="J189" s="1626"/>
      <c r="K189" s="2178"/>
      <c r="L189" s="2112"/>
      <c r="M189" s="2180"/>
      <c r="N189" s="1626"/>
      <c r="O189" s="1626"/>
      <c r="P189" s="1626"/>
      <c r="Q189" s="1626"/>
      <c r="R189" s="1626"/>
      <c r="S189" s="2178"/>
      <c r="T189" s="2109"/>
      <c r="U189" s="2111" t="s">
        <v>14108</v>
      </c>
      <c r="V189" s="1626"/>
      <c r="W189" s="1626"/>
      <c r="X189" s="1626"/>
      <c r="Y189" s="2334"/>
      <c r="Z189" s="2466"/>
      <c r="AA189" s="2466"/>
      <c r="AB189" s="2466"/>
      <c r="AC189" s="2466"/>
      <c r="AD189" s="2467"/>
      <c r="AE189" s="88"/>
      <c r="AF189" s="98" t="s">
        <v>14434</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14435</v>
      </c>
      <c r="C190" s="97" t="s">
        <v>4215</v>
      </c>
      <c r="D190" s="97">
        <v>3</v>
      </c>
      <c r="E190" s="1626"/>
      <c r="F190" s="1626"/>
      <c r="G190" s="1626"/>
      <c r="H190" s="1626"/>
      <c r="I190" s="1626"/>
      <c r="J190" s="1626"/>
      <c r="K190" s="2178"/>
      <c r="L190" s="2112"/>
      <c r="M190" s="2180"/>
      <c r="N190" s="1626"/>
      <c r="O190" s="1626"/>
      <c r="P190" s="1626"/>
      <c r="Q190" s="1626"/>
      <c r="R190" s="1626"/>
      <c r="S190" s="2178"/>
      <c r="T190" s="2109"/>
      <c r="U190" s="2111" t="s">
        <v>14108</v>
      </c>
      <c r="V190" s="1626"/>
      <c r="W190" s="1626"/>
      <c r="X190" s="1626"/>
      <c r="Y190" s="2334"/>
      <c r="Z190" s="2466"/>
      <c r="AA190" s="2466"/>
      <c r="AB190" s="2466"/>
      <c r="AC190" s="2466"/>
      <c r="AD190" s="2467"/>
      <c r="AE190" s="88"/>
      <c r="AF190" s="98" t="s">
        <v>14436</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14437</v>
      </c>
      <c r="C191" s="97" t="s">
        <v>4215</v>
      </c>
      <c r="D191" s="97">
        <v>3</v>
      </c>
      <c r="E191" s="1626"/>
      <c r="F191" s="1626"/>
      <c r="G191" s="1626"/>
      <c r="H191" s="1626"/>
      <c r="I191" s="1626"/>
      <c r="J191" s="1626"/>
      <c r="K191" s="2178"/>
      <c r="L191" s="2112"/>
      <c r="M191" s="2180"/>
      <c r="N191" s="1626"/>
      <c r="O191" s="1626"/>
      <c r="P191" s="1626"/>
      <c r="Q191" s="1626"/>
      <c r="R191" s="1626"/>
      <c r="S191" s="2178"/>
      <c r="T191" s="2109"/>
      <c r="U191" s="2111" t="s">
        <v>14108</v>
      </c>
      <c r="V191" s="1626"/>
      <c r="W191" s="1626"/>
      <c r="X191" s="1626"/>
      <c r="Y191" s="2334"/>
      <c r="Z191" s="2466"/>
      <c r="AA191" s="2466"/>
      <c r="AB191" s="2466"/>
      <c r="AC191" s="2466"/>
      <c r="AD191" s="2467"/>
      <c r="AE191" s="88"/>
      <c r="AF191" s="98" t="s">
        <v>14438</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14439</v>
      </c>
      <c r="C192" s="97" t="s">
        <v>4215</v>
      </c>
      <c r="D192" s="97">
        <v>3</v>
      </c>
      <c r="E192" s="1626"/>
      <c r="F192" s="1626"/>
      <c r="G192" s="1626"/>
      <c r="H192" s="1626"/>
      <c r="I192" s="1626"/>
      <c r="J192" s="1626"/>
      <c r="K192" s="2178"/>
      <c r="L192" s="2112"/>
      <c r="M192" s="2180"/>
      <c r="N192" s="1626"/>
      <c r="O192" s="1626"/>
      <c r="P192" s="1626"/>
      <c r="Q192" s="1626"/>
      <c r="R192" s="1626"/>
      <c r="S192" s="2178"/>
      <c r="T192" s="2109"/>
      <c r="U192" s="2111" t="s">
        <v>14108</v>
      </c>
      <c r="V192" s="1626"/>
      <c r="W192" s="1626"/>
      <c r="X192" s="1626"/>
      <c r="Y192" s="2334"/>
      <c r="Z192" s="2466"/>
      <c r="AA192" s="2466"/>
      <c r="AB192" s="2466"/>
      <c r="AC192" s="2466"/>
      <c r="AD192" s="2467"/>
      <c r="AE192" s="88"/>
      <c r="AF192" s="98" t="s">
        <v>14440</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14441</v>
      </c>
      <c r="C193" s="97" t="s">
        <v>4215</v>
      </c>
      <c r="D193" s="97">
        <v>3</v>
      </c>
      <c r="E193" s="1626"/>
      <c r="F193" s="1626"/>
      <c r="G193" s="1626"/>
      <c r="H193" s="1626"/>
      <c r="I193" s="1626"/>
      <c r="J193" s="1626"/>
      <c r="K193" s="2178"/>
      <c r="L193" s="2112"/>
      <c r="M193" s="2180"/>
      <c r="N193" s="1626"/>
      <c r="O193" s="1626"/>
      <c r="P193" s="1626"/>
      <c r="Q193" s="1626"/>
      <c r="R193" s="1626"/>
      <c r="S193" s="2178"/>
      <c r="T193" s="2109"/>
      <c r="U193" s="2111" t="s">
        <v>14108</v>
      </c>
      <c r="V193" s="1626"/>
      <c r="W193" s="1626"/>
      <c r="X193" s="1626"/>
      <c r="Y193" s="2334"/>
      <c r="Z193" s="2466"/>
      <c r="AA193" s="2466"/>
      <c r="AB193" s="2466"/>
      <c r="AC193" s="2466"/>
      <c r="AD193" s="2467"/>
      <c r="AE193" s="88"/>
      <c r="AF193" s="98" t="s">
        <v>14442</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14443</v>
      </c>
      <c r="C194" s="97" t="s">
        <v>4215</v>
      </c>
      <c r="D194" s="97">
        <v>3</v>
      </c>
      <c r="E194" s="1626"/>
      <c r="F194" s="1626"/>
      <c r="G194" s="1626"/>
      <c r="H194" s="1626"/>
      <c r="I194" s="1626"/>
      <c r="J194" s="1626"/>
      <c r="K194" s="2178"/>
      <c r="L194" s="2112"/>
      <c r="M194" s="2180"/>
      <c r="N194" s="1626"/>
      <c r="O194" s="1626"/>
      <c r="P194" s="1626"/>
      <c r="Q194" s="1626"/>
      <c r="R194" s="1626"/>
      <c r="S194" s="2178"/>
      <c r="T194" s="2109"/>
      <c r="U194" s="2111" t="s">
        <v>14108</v>
      </c>
      <c r="V194" s="1626"/>
      <c r="W194" s="1626"/>
      <c r="X194" s="1626"/>
      <c r="Y194" s="2334"/>
      <c r="Z194" s="2466"/>
      <c r="AA194" s="2466"/>
      <c r="AB194" s="2466"/>
      <c r="AC194" s="2466"/>
      <c r="AD194" s="2467"/>
      <c r="AE194" s="88"/>
      <c r="AF194" s="98" t="s">
        <v>14444</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14445</v>
      </c>
      <c r="C195" s="97" t="s">
        <v>4215</v>
      </c>
      <c r="D195" s="97">
        <v>3</v>
      </c>
      <c r="E195" s="1626"/>
      <c r="F195" s="1626"/>
      <c r="G195" s="1626"/>
      <c r="H195" s="1626"/>
      <c r="I195" s="1626"/>
      <c r="J195" s="1626"/>
      <c r="K195" s="2178"/>
      <c r="L195" s="2112"/>
      <c r="M195" s="2180"/>
      <c r="N195" s="1626"/>
      <c r="O195" s="1626"/>
      <c r="P195" s="1626"/>
      <c r="Q195" s="1626"/>
      <c r="R195" s="1626"/>
      <c r="S195" s="2178"/>
      <c r="T195" s="2109"/>
      <c r="U195" s="2111" t="s">
        <v>14108</v>
      </c>
      <c r="V195" s="1626"/>
      <c r="W195" s="1626"/>
      <c r="X195" s="1626"/>
      <c r="Y195" s="2334"/>
      <c r="Z195" s="2466"/>
      <c r="AA195" s="2466"/>
      <c r="AB195" s="2466"/>
      <c r="AC195" s="2466"/>
      <c r="AD195" s="2467"/>
      <c r="AE195" s="88"/>
      <c r="AF195" s="98" t="s">
        <v>14446</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14447</v>
      </c>
      <c r="C196" s="97" t="s">
        <v>4215</v>
      </c>
      <c r="D196" s="97">
        <v>3</v>
      </c>
      <c r="E196" s="1626"/>
      <c r="F196" s="1626"/>
      <c r="G196" s="1626"/>
      <c r="H196" s="1626"/>
      <c r="I196" s="1626"/>
      <c r="J196" s="1626"/>
      <c r="K196" s="2178"/>
      <c r="L196" s="2112"/>
      <c r="M196" s="2180"/>
      <c r="N196" s="1626"/>
      <c r="O196" s="1626"/>
      <c r="P196" s="1626"/>
      <c r="Q196" s="1626"/>
      <c r="R196" s="1626"/>
      <c r="S196" s="2178"/>
      <c r="T196" s="2109"/>
      <c r="U196" s="2111" t="s">
        <v>14108</v>
      </c>
      <c r="V196" s="1626"/>
      <c r="W196" s="1626"/>
      <c r="X196" s="1626"/>
      <c r="Y196" s="2334"/>
      <c r="Z196" s="2466"/>
      <c r="AA196" s="2466"/>
      <c r="AB196" s="2466"/>
      <c r="AC196" s="2466"/>
      <c r="AD196" s="2467"/>
      <c r="AE196" s="88"/>
      <c r="AF196" s="98" t="s">
        <v>14448</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14449</v>
      </c>
      <c r="C197" s="97" t="s">
        <v>4215</v>
      </c>
      <c r="D197" s="97">
        <v>3</v>
      </c>
      <c r="E197" s="1626"/>
      <c r="F197" s="1626"/>
      <c r="G197" s="1626"/>
      <c r="H197" s="1626"/>
      <c r="I197" s="1626"/>
      <c r="J197" s="1626"/>
      <c r="K197" s="2178"/>
      <c r="L197" s="2112"/>
      <c r="M197" s="2180"/>
      <c r="N197" s="1626"/>
      <c r="O197" s="1626"/>
      <c r="P197" s="1626"/>
      <c r="Q197" s="1626"/>
      <c r="R197" s="1626"/>
      <c r="S197" s="2178"/>
      <c r="T197" s="2109"/>
      <c r="U197" s="2111" t="s">
        <v>14108</v>
      </c>
      <c r="V197" s="1626"/>
      <c r="W197" s="1626"/>
      <c r="X197" s="1626"/>
      <c r="Y197" s="2334"/>
      <c r="Z197" s="2466"/>
      <c r="AA197" s="2466"/>
      <c r="AB197" s="2466"/>
      <c r="AC197" s="2466"/>
      <c r="AD197" s="2467"/>
      <c r="AE197" s="88"/>
      <c r="AF197" s="98" t="s">
        <v>14450</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14451</v>
      </c>
      <c r="C198" s="97" t="s">
        <v>4215</v>
      </c>
      <c r="D198" s="97">
        <v>3</v>
      </c>
      <c r="E198" s="1626"/>
      <c r="F198" s="1626"/>
      <c r="G198" s="1626"/>
      <c r="H198" s="1626"/>
      <c r="I198" s="1626"/>
      <c r="J198" s="1626"/>
      <c r="K198" s="2178"/>
      <c r="L198" s="2112"/>
      <c r="M198" s="2180"/>
      <c r="N198" s="1626"/>
      <c r="O198" s="1626"/>
      <c r="P198" s="1626"/>
      <c r="Q198" s="1626"/>
      <c r="R198" s="1626"/>
      <c r="S198" s="2178"/>
      <c r="T198" s="2109"/>
      <c r="U198" s="2111" t="s">
        <v>14108</v>
      </c>
      <c r="V198" s="1626"/>
      <c r="W198" s="1626"/>
      <c r="X198" s="1626"/>
      <c r="Y198" s="2334"/>
      <c r="Z198" s="2466"/>
      <c r="AA198" s="2466"/>
      <c r="AB198" s="2466"/>
      <c r="AC198" s="2466"/>
      <c r="AD198" s="2467"/>
      <c r="AE198" s="88"/>
      <c r="AF198" s="98" t="s">
        <v>14452</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14453</v>
      </c>
      <c r="C199" s="97" t="s">
        <v>4215</v>
      </c>
      <c r="D199" s="97">
        <v>3</v>
      </c>
      <c r="E199" s="1626"/>
      <c r="F199" s="1626"/>
      <c r="G199" s="1626"/>
      <c r="H199" s="1626"/>
      <c r="I199" s="1626"/>
      <c r="J199" s="1626"/>
      <c r="K199" s="2178"/>
      <c r="L199" s="2112"/>
      <c r="M199" s="2180"/>
      <c r="N199" s="1626"/>
      <c r="O199" s="1626"/>
      <c r="P199" s="1626"/>
      <c r="Q199" s="1626"/>
      <c r="R199" s="1626"/>
      <c r="S199" s="2178"/>
      <c r="T199" s="2109"/>
      <c r="U199" s="2111" t="s">
        <v>14108</v>
      </c>
      <c r="V199" s="1626"/>
      <c r="W199" s="1626"/>
      <c r="X199" s="1626"/>
      <c r="Y199" s="2334"/>
      <c r="Z199" s="2466"/>
      <c r="AA199" s="2466"/>
      <c r="AB199" s="2466"/>
      <c r="AC199" s="2466"/>
      <c r="AD199" s="2467"/>
      <c r="AE199" s="88"/>
      <c r="AF199" s="98" t="s">
        <v>14454</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14455</v>
      </c>
      <c r="C200" s="97" t="s">
        <v>4215</v>
      </c>
      <c r="D200" s="97">
        <v>3</v>
      </c>
      <c r="E200" s="1626"/>
      <c r="F200" s="1626"/>
      <c r="G200" s="1626"/>
      <c r="H200" s="1626"/>
      <c r="I200" s="1626"/>
      <c r="J200" s="1626"/>
      <c r="K200" s="2178"/>
      <c r="L200" s="2112"/>
      <c r="M200" s="2180"/>
      <c r="N200" s="1626"/>
      <c r="O200" s="1626"/>
      <c r="P200" s="1626"/>
      <c r="Q200" s="1626"/>
      <c r="R200" s="1626"/>
      <c r="S200" s="2178"/>
      <c r="T200" s="2109"/>
      <c r="U200" s="2111" t="s">
        <v>14108</v>
      </c>
      <c r="V200" s="1626"/>
      <c r="W200" s="1626"/>
      <c r="X200" s="1626"/>
      <c r="Y200" s="2334"/>
      <c r="Z200" s="2466"/>
      <c r="AA200" s="2466"/>
      <c r="AB200" s="2466"/>
      <c r="AC200" s="2466"/>
      <c r="AD200" s="2467"/>
      <c r="AE200" s="88"/>
      <c r="AF200" s="98" t="s">
        <v>14456</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14457</v>
      </c>
      <c r="C201" s="97" t="s">
        <v>4215</v>
      </c>
      <c r="D201" s="97">
        <v>3</v>
      </c>
      <c r="E201" s="1626"/>
      <c r="F201" s="1626"/>
      <c r="G201" s="1626"/>
      <c r="H201" s="1626"/>
      <c r="I201" s="1626"/>
      <c r="J201" s="1626"/>
      <c r="K201" s="2178"/>
      <c r="L201" s="2112"/>
      <c r="M201" s="2180"/>
      <c r="N201" s="1626"/>
      <c r="O201" s="1626"/>
      <c r="P201" s="1626"/>
      <c r="Q201" s="1626"/>
      <c r="R201" s="1626"/>
      <c r="S201" s="2178"/>
      <c r="T201" s="2109"/>
      <c r="U201" s="2111" t="s">
        <v>14108</v>
      </c>
      <c r="V201" s="1626"/>
      <c r="W201" s="1626"/>
      <c r="X201" s="1626"/>
      <c r="Y201" s="2334"/>
      <c r="Z201" s="2466"/>
      <c r="AA201" s="2466"/>
      <c r="AB201" s="2466"/>
      <c r="AC201" s="2466"/>
      <c r="AD201" s="2467"/>
      <c r="AE201" s="88"/>
      <c r="AF201" s="98" t="s">
        <v>14458</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14459</v>
      </c>
      <c r="C202" s="97" t="s">
        <v>4215</v>
      </c>
      <c r="D202" s="97">
        <v>3</v>
      </c>
      <c r="E202" s="1626"/>
      <c r="F202" s="1626"/>
      <c r="G202" s="1626"/>
      <c r="H202" s="1626"/>
      <c r="I202" s="1626"/>
      <c r="J202" s="1626"/>
      <c r="K202" s="2178"/>
      <c r="L202" s="2112"/>
      <c r="M202" s="2180"/>
      <c r="N202" s="1626"/>
      <c r="O202" s="1626"/>
      <c r="P202" s="1626"/>
      <c r="Q202" s="1626"/>
      <c r="R202" s="1626"/>
      <c r="S202" s="2178"/>
      <c r="T202" s="2109"/>
      <c r="U202" s="2111" t="s">
        <v>14108</v>
      </c>
      <c r="V202" s="1626"/>
      <c r="W202" s="1626"/>
      <c r="X202" s="1626"/>
      <c r="Y202" s="2334"/>
      <c r="Z202" s="2466"/>
      <c r="AA202" s="2466"/>
      <c r="AB202" s="2466"/>
      <c r="AC202" s="2466"/>
      <c r="AD202" s="2467"/>
      <c r="AE202" s="88"/>
      <c r="AF202" s="98" t="s">
        <v>14460</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14461</v>
      </c>
      <c r="C203" s="97" t="s">
        <v>4215</v>
      </c>
      <c r="D203" s="97">
        <v>3</v>
      </c>
      <c r="E203" s="1626"/>
      <c r="F203" s="1626"/>
      <c r="G203" s="1626"/>
      <c r="H203" s="1626"/>
      <c r="I203" s="1626"/>
      <c r="J203" s="1626"/>
      <c r="K203" s="2178"/>
      <c r="L203" s="2112"/>
      <c r="M203" s="2180"/>
      <c r="N203" s="1626"/>
      <c r="O203" s="1626"/>
      <c r="P203" s="1626"/>
      <c r="Q203" s="1626"/>
      <c r="R203" s="1626"/>
      <c r="S203" s="2178"/>
      <c r="T203" s="2109"/>
      <c r="U203" s="2111" t="s">
        <v>14108</v>
      </c>
      <c r="V203" s="1626"/>
      <c r="W203" s="1626"/>
      <c r="X203" s="1626"/>
      <c r="Y203" s="2334"/>
      <c r="Z203" s="2466"/>
      <c r="AA203" s="2466"/>
      <c r="AB203" s="2466"/>
      <c r="AC203" s="2466"/>
      <c r="AD203" s="2467"/>
      <c r="AE203" s="88"/>
      <c r="AF203" s="98" t="s">
        <v>14462</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14463</v>
      </c>
      <c r="C204" s="97" t="s">
        <v>4215</v>
      </c>
      <c r="D204" s="97">
        <v>3</v>
      </c>
      <c r="E204" s="1626"/>
      <c r="F204" s="1626"/>
      <c r="G204" s="1626"/>
      <c r="H204" s="1626"/>
      <c r="I204" s="1626"/>
      <c r="J204" s="1626"/>
      <c r="K204" s="2178"/>
      <c r="L204" s="2112"/>
      <c r="M204" s="2180"/>
      <c r="N204" s="1626"/>
      <c r="O204" s="1626"/>
      <c r="P204" s="1626"/>
      <c r="Q204" s="1626"/>
      <c r="R204" s="1626"/>
      <c r="S204" s="2178"/>
      <c r="T204" s="2109"/>
      <c r="U204" s="2111" t="s">
        <v>14108</v>
      </c>
      <c r="V204" s="1626"/>
      <c r="W204" s="1626"/>
      <c r="X204" s="1626"/>
      <c r="Y204" s="2334"/>
      <c r="Z204" s="2466"/>
      <c r="AA204" s="2466"/>
      <c r="AB204" s="2466"/>
      <c r="AC204" s="2466"/>
      <c r="AD204" s="2467"/>
      <c r="AE204" s="88"/>
      <c r="AF204" s="98" t="s">
        <v>14464</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14465</v>
      </c>
      <c r="C205" s="97" t="s">
        <v>4215</v>
      </c>
      <c r="D205" s="97">
        <v>3</v>
      </c>
      <c r="E205" s="1626"/>
      <c r="F205" s="1626"/>
      <c r="G205" s="1626"/>
      <c r="H205" s="1626"/>
      <c r="I205" s="1626"/>
      <c r="J205" s="1626"/>
      <c r="K205" s="2178"/>
      <c r="L205" s="2112"/>
      <c r="M205" s="2180"/>
      <c r="N205" s="1626"/>
      <c r="O205" s="1626"/>
      <c r="P205" s="1626"/>
      <c r="Q205" s="1626"/>
      <c r="R205" s="1626"/>
      <c r="S205" s="2178"/>
      <c r="T205" s="2109"/>
      <c r="U205" s="2111" t="s">
        <v>14108</v>
      </c>
      <c r="V205" s="1626"/>
      <c r="W205" s="1626"/>
      <c r="X205" s="1626"/>
      <c r="Y205" s="2334"/>
      <c r="Z205" s="2466"/>
      <c r="AA205" s="2466"/>
      <c r="AB205" s="2466"/>
      <c r="AC205" s="2466"/>
      <c r="AD205" s="2467"/>
      <c r="AE205" s="88"/>
      <c r="AF205" s="98" t="s">
        <v>14466</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14467</v>
      </c>
      <c r="C206" s="97" t="s">
        <v>4215</v>
      </c>
      <c r="D206" s="97">
        <v>3</v>
      </c>
      <c r="E206" s="1626"/>
      <c r="F206" s="1626"/>
      <c r="G206" s="1626"/>
      <c r="H206" s="1626"/>
      <c r="I206" s="1626"/>
      <c r="J206" s="1626"/>
      <c r="K206" s="2178"/>
      <c r="L206" s="2112"/>
      <c r="M206" s="2180"/>
      <c r="N206" s="1626"/>
      <c r="O206" s="1626"/>
      <c r="P206" s="1626"/>
      <c r="Q206" s="1626"/>
      <c r="R206" s="1626"/>
      <c r="S206" s="2178"/>
      <c r="T206" s="2109"/>
      <c r="U206" s="2111" t="s">
        <v>14108</v>
      </c>
      <c r="V206" s="1626"/>
      <c r="W206" s="1626"/>
      <c r="X206" s="1626"/>
      <c r="Y206" s="2334"/>
      <c r="Z206" s="2466"/>
      <c r="AA206" s="2466"/>
      <c r="AB206" s="2466"/>
      <c r="AC206" s="2466"/>
      <c r="AD206" s="2467"/>
      <c r="AE206" s="88"/>
      <c r="AF206" s="98" t="s">
        <v>14468</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14469</v>
      </c>
      <c r="C207" s="97" t="s">
        <v>4215</v>
      </c>
      <c r="D207" s="97">
        <v>3</v>
      </c>
      <c r="E207" s="1626"/>
      <c r="F207" s="1626"/>
      <c r="G207" s="1626"/>
      <c r="H207" s="1626"/>
      <c r="I207" s="1626"/>
      <c r="J207" s="1626"/>
      <c r="K207" s="2178"/>
      <c r="L207" s="2112"/>
      <c r="M207" s="2180"/>
      <c r="N207" s="1626"/>
      <c r="O207" s="1626"/>
      <c r="P207" s="1626"/>
      <c r="Q207" s="1626"/>
      <c r="R207" s="1626"/>
      <c r="S207" s="2178"/>
      <c r="T207" s="2109"/>
      <c r="U207" s="2111" t="s">
        <v>14108</v>
      </c>
      <c r="V207" s="1626"/>
      <c r="W207" s="1626"/>
      <c r="X207" s="1626"/>
      <c r="Y207" s="2334"/>
      <c r="Z207" s="2466"/>
      <c r="AA207" s="2466"/>
      <c r="AB207" s="2466"/>
      <c r="AC207" s="2466"/>
      <c r="AD207" s="2467"/>
      <c r="AE207" s="88"/>
      <c r="AF207" s="98" t="s">
        <v>14470</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14471</v>
      </c>
      <c r="C208" s="97" t="s">
        <v>4215</v>
      </c>
      <c r="D208" s="97">
        <v>3</v>
      </c>
      <c r="E208" s="1626"/>
      <c r="F208" s="1626"/>
      <c r="G208" s="1626"/>
      <c r="H208" s="1626"/>
      <c r="I208" s="1626"/>
      <c r="J208" s="1626"/>
      <c r="K208" s="2178"/>
      <c r="L208" s="2112"/>
      <c r="M208" s="2180"/>
      <c r="N208" s="1626"/>
      <c r="O208" s="1626"/>
      <c r="P208" s="1626"/>
      <c r="Q208" s="1626"/>
      <c r="R208" s="1626"/>
      <c r="S208" s="2178"/>
      <c r="T208" s="2109"/>
      <c r="U208" s="2113" t="s">
        <v>14108</v>
      </c>
      <c r="V208" s="1628"/>
      <c r="W208" s="1628"/>
      <c r="X208" s="1628"/>
      <c r="Y208" s="2335"/>
      <c r="Z208" s="2468"/>
      <c r="AA208" s="2468"/>
      <c r="AB208" s="2468"/>
      <c r="AC208" s="2468"/>
      <c r="AD208" s="2469"/>
      <c r="AE208" s="88"/>
      <c r="AF208" s="98" t="s">
        <v>14472</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25.996999999999996</v>
      </c>
      <c r="F209" s="1637">
        <f t="shared" ref="F209:K209" si="76">IFERROR(SUM(F9:F208),0)</f>
        <v>14.63</v>
      </c>
      <c r="G209" s="1637">
        <f t="shared" si="76"/>
        <v>9.9559999999999995</v>
      </c>
      <c r="H209" s="1637">
        <f t="shared" si="76"/>
        <v>23.026000000000007</v>
      </c>
      <c r="I209" s="1637">
        <f t="shared" si="76"/>
        <v>38.041963291599991</v>
      </c>
      <c r="J209" s="1637">
        <f t="shared" si="76"/>
        <v>32.123043621600004</v>
      </c>
      <c r="K209" s="1629">
        <f t="shared" si="76"/>
        <v>0</v>
      </c>
      <c r="L209" s="85"/>
      <c r="M209" s="2181">
        <f t="shared" ref="M209:S209" si="77">IFERROR(SUM(M9:M208),0)</f>
        <v>0</v>
      </c>
      <c r="N209" s="1637">
        <f t="shared" si="77"/>
        <v>0.91300000000000014</v>
      </c>
      <c r="O209" s="1637">
        <f t="shared" si="77"/>
        <v>1.0449999999999999</v>
      </c>
      <c r="P209" s="1637">
        <f t="shared" si="77"/>
        <v>1.1219999999999997</v>
      </c>
      <c r="Q209" s="1637">
        <f t="shared" si="77"/>
        <v>1.2719999999999996</v>
      </c>
      <c r="R209" s="1637">
        <f t="shared" si="77"/>
        <v>2.4899999999999998</v>
      </c>
      <c r="S209" s="1629">
        <f t="shared" si="77"/>
        <v>0</v>
      </c>
      <c r="T209" s="88"/>
      <c r="U209" s="88"/>
      <c r="V209" s="88"/>
      <c r="W209" s="88"/>
      <c r="X209" s="88"/>
      <c r="Y209" s="88"/>
      <c r="Z209" s="88"/>
      <c r="AA209" s="88"/>
      <c r="AB209" s="88"/>
      <c r="AC209" s="88"/>
      <c r="AD209" s="88"/>
      <c r="AE209" s="88"/>
      <c r="AF209" s="102" t="s">
        <v>14473</v>
      </c>
      <c r="AH209" s="238"/>
      <c r="AJ209" s="238"/>
      <c r="BF209" s="238"/>
      <c r="BG209" s="1360"/>
      <c r="BH209" s="1360"/>
      <c r="BI209" s="1360"/>
      <c r="BJ209" s="1360"/>
      <c r="BK209" s="1360"/>
      <c r="BL209" s="1360"/>
    </row>
    <row r="210" spans="2:64" ht="15.6" thickTop="1">
      <c r="B210" s="358"/>
      <c r="C210" s="85"/>
      <c r="D210" s="85"/>
      <c r="E210" s="86"/>
      <c r="F210" s="86"/>
      <c r="G210" s="86"/>
      <c r="H210" s="86"/>
      <c r="I210" s="86"/>
      <c r="J210" s="86"/>
      <c r="K210" s="83"/>
      <c r="L210" s="86"/>
      <c r="M210" s="1358"/>
      <c r="N210" s="1358"/>
      <c r="O210" s="1358"/>
      <c r="P210" s="1358"/>
      <c r="Q210" s="1358"/>
      <c r="R210" s="1358"/>
      <c r="S210" s="1358"/>
      <c r="T210" s="2938"/>
      <c r="U210" s="2938"/>
      <c r="V210" s="1358"/>
      <c r="W210" s="1358"/>
      <c r="X210" s="1358"/>
      <c r="Y210" s="1358"/>
      <c r="Z210" s="1358"/>
      <c r="AA210" s="1358"/>
      <c r="AB210" s="1358"/>
      <c r="AC210" s="1358"/>
      <c r="AD210" s="1358"/>
      <c r="AE210" s="2938"/>
      <c r="AF210" s="2938"/>
      <c r="BG210" s="1358"/>
      <c r="BH210" s="1358"/>
      <c r="BI210" s="1358"/>
      <c r="BJ210" s="1358"/>
      <c r="BK210" s="1358"/>
      <c r="BL210" s="1358"/>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I7" sqref="I7:I31"/>
    </sheetView>
  </sheetViews>
  <sheetFormatPr defaultColWidth="9" defaultRowHeight="13.8"/>
  <cols>
    <col min="1" max="1" width="1.59765625" style="219" customWidth="1"/>
    <col min="2" max="2" width="85.59765625" style="219" bestFit="1" customWidth="1"/>
    <col min="3" max="3" width="12.09765625" style="219" bestFit="1" customWidth="1"/>
    <col min="4" max="4" width="4.69921875" style="219" bestFit="1" customWidth="1"/>
    <col min="5" max="5" width="9.69921875" style="219" bestFit="1" customWidth="1"/>
    <col min="6" max="6" width="1.59765625" style="219" customWidth="1"/>
    <col min="7" max="7" width="11.69921875" style="219" customWidth="1"/>
    <col min="8" max="8" width="1.59765625" style="219" customWidth="1"/>
    <col min="9" max="9" width="29.5" style="219" customWidth="1"/>
    <col min="10" max="11" width="1.59765625" style="219" customWidth="1"/>
    <col min="12" max="12" width="25" style="219" customWidth="1"/>
    <col min="13" max="13" width="1.59765625" style="219" customWidth="1"/>
    <col min="14" max="14" width="25" style="219" hidden="1" customWidth="1"/>
    <col min="15" max="15" width="1.59765625" style="219" hidden="1" customWidth="1"/>
    <col min="16" max="16" width="1.59765625" style="219" customWidth="1"/>
    <col min="17" max="17" width="90.19921875" style="219" bestFit="1" customWidth="1"/>
    <col min="18" max="18" width="12.5" style="219" customWidth="1"/>
    <col min="19" max="19" width="1.59765625" style="219" customWidth="1"/>
    <col min="20" max="16384" width="9" style="219"/>
  </cols>
  <sheetData>
    <row r="1" spans="1:18" ht="30" customHeight="1">
      <c r="B1" s="1229" t="s">
        <v>14474</v>
      </c>
      <c r="C1" s="1229"/>
      <c r="D1" s="1229"/>
      <c r="E1" s="1229"/>
      <c r="F1" s="1355"/>
      <c r="G1" s="261"/>
      <c r="K1" s="238"/>
      <c r="M1" s="238"/>
      <c r="O1" s="238"/>
      <c r="Q1" s="1229" t="s">
        <v>4198</v>
      </c>
      <c r="R1" s="1229"/>
    </row>
    <row r="2" spans="1:18" ht="30" customHeight="1">
      <c r="B2" s="1229" t="str">
        <f>SelectCompany!B4</f>
        <v>Dŵr Cymru</v>
      </c>
      <c r="C2" s="529"/>
      <c r="D2" s="529"/>
      <c r="E2" s="529"/>
      <c r="F2" s="528"/>
      <c r="G2" s="261"/>
      <c r="K2" s="238"/>
      <c r="M2" s="238"/>
      <c r="O2" s="238"/>
      <c r="Q2" s="1229"/>
      <c r="R2" s="529"/>
    </row>
    <row r="3" spans="1:18" ht="45.75" customHeight="1">
      <c r="B3" s="2829" t="s">
        <v>14475</v>
      </c>
      <c r="C3" s="2829"/>
      <c r="D3" s="2829"/>
      <c r="E3" s="2829"/>
      <c r="F3" s="2829"/>
      <c r="G3" s="2829"/>
      <c r="H3" s="2829"/>
      <c r="I3" s="2829"/>
      <c r="K3" s="238"/>
      <c r="L3" s="1240" t="s">
        <v>4200</v>
      </c>
      <c r="M3" s="238"/>
      <c r="O3" s="238"/>
      <c r="Q3" s="2829" t="s">
        <v>14475</v>
      </c>
      <c r="R3" s="2829"/>
    </row>
    <row r="4" spans="1:18" ht="15" customHeight="1" thickBot="1">
      <c r="B4" s="690"/>
      <c r="C4" s="690"/>
      <c r="D4" s="690"/>
      <c r="E4" s="690"/>
      <c r="F4" s="827"/>
      <c r="G4" s="261"/>
      <c r="K4" s="238"/>
      <c r="M4" s="238"/>
      <c r="N4" s="240" t="s">
        <v>4201</v>
      </c>
      <c r="O4" s="238"/>
      <c r="Q4" s="690"/>
      <c r="R4" s="690"/>
    </row>
    <row r="5" spans="1:18" ht="46.2"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5.6" thickTop="1">
      <c r="A7" s="242"/>
      <c r="B7" s="451" t="s">
        <v>14476</v>
      </c>
      <c r="C7" s="277" t="s">
        <v>14477</v>
      </c>
      <c r="D7" s="277">
        <v>1</v>
      </c>
      <c r="E7" s="1754">
        <v>72.099999999999994</v>
      </c>
      <c r="F7" s="106"/>
      <c r="G7" s="281" t="s">
        <v>14478</v>
      </c>
      <c r="H7" s="242"/>
      <c r="I7" s="1231" t="s">
        <v>18588</v>
      </c>
      <c r="J7" s="242"/>
      <c r="K7" s="238"/>
      <c r="L7" s="1232">
        <f>IF( SUM( N7:N7 ) = 0, 0, $N$5 )</f>
        <v>0</v>
      </c>
      <c r="M7" s="238"/>
      <c r="N7" s="285">
        <f xml:space="preserve"> IF( ISNUMBER(E7 ), 0, 1 )</f>
        <v>0</v>
      </c>
      <c r="O7" s="238"/>
      <c r="Q7" s="451" t="s">
        <v>14476</v>
      </c>
      <c r="R7" s="960" t="s">
        <v>14479</v>
      </c>
    </row>
    <row r="8" spans="1:18" ht="17.399999999999999">
      <c r="A8" s="242"/>
      <c r="B8" s="460" t="s">
        <v>14480</v>
      </c>
      <c r="C8" s="286" t="s">
        <v>14477</v>
      </c>
      <c r="D8" s="286">
        <v>1</v>
      </c>
      <c r="E8" s="1755">
        <v>2.2000000000000002</v>
      </c>
      <c r="F8" s="106"/>
      <c r="G8" s="290" t="s">
        <v>14481</v>
      </c>
      <c r="H8" s="242"/>
      <c r="I8" s="1233" t="s">
        <v>18589</v>
      </c>
      <c r="J8" s="242"/>
      <c r="K8" s="238"/>
      <c r="L8" s="1232">
        <f t="shared" ref="L8" si="0">IF( SUM( N8:N8 ) = 0, 0, $N$5 )</f>
        <v>0</v>
      </c>
      <c r="M8" s="238"/>
      <c r="N8" s="285">
        <f t="shared" ref="N8" si="1" xml:space="preserve"> IF( ISNUMBER(E8 ), 0, 1 )</f>
        <v>0</v>
      </c>
      <c r="O8" s="238"/>
      <c r="Q8" s="460" t="s">
        <v>14480</v>
      </c>
      <c r="R8" s="964" t="s">
        <v>14482</v>
      </c>
    </row>
    <row r="9" spans="1:18" ht="15">
      <c r="A9" s="242"/>
      <c r="B9" s="460" t="s">
        <v>14483</v>
      </c>
      <c r="C9" s="286" t="s">
        <v>14477</v>
      </c>
      <c r="D9" s="286">
        <v>1</v>
      </c>
      <c r="E9" s="1756">
        <f>IFERROR(E7 + E8, 0)</f>
        <v>74.3</v>
      </c>
      <c r="F9" s="106"/>
      <c r="G9" s="290" t="s">
        <v>14484</v>
      </c>
      <c r="H9" s="242"/>
      <c r="I9" s="1233" t="s">
        <v>18590</v>
      </c>
      <c r="J9" s="242"/>
      <c r="K9" s="238"/>
      <c r="M9" s="238"/>
      <c r="O9" s="238"/>
      <c r="Q9" s="460" t="s">
        <v>14483</v>
      </c>
      <c r="R9" s="1361" t="s">
        <v>14485</v>
      </c>
    </row>
    <row r="10" spans="1:18" ht="15.75" customHeight="1" thickBot="1">
      <c r="A10" s="242"/>
      <c r="B10" s="463" t="s">
        <v>14486</v>
      </c>
      <c r="C10" s="355" t="s">
        <v>14477</v>
      </c>
      <c r="D10" s="355">
        <v>1</v>
      </c>
      <c r="E10" s="1757">
        <v>1.9</v>
      </c>
      <c r="F10" s="106"/>
      <c r="G10" s="356" t="s">
        <v>14487</v>
      </c>
      <c r="H10" s="242"/>
      <c r="I10" s="1237" t="s">
        <v>18591</v>
      </c>
      <c r="J10" s="242"/>
      <c r="K10" s="238"/>
      <c r="L10" s="1232">
        <f>IF( SUM( N10:N10 ) = 0, 0, $N$5 )</f>
        <v>0</v>
      </c>
      <c r="M10" s="238"/>
      <c r="N10" s="285">
        <f xml:space="preserve"> IF( ISNUMBER(E10 ), 0, 1 )</f>
        <v>0</v>
      </c>
      <c r="O10" s="238"/>
      <c r="Q10" s="463" t="s">
        <v>14486</v>
      </c>
      <c r="R10" s="1267" t="s">
        <v>14488</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14489</v>
      </c>
      <c r="C12" s="371" t="s">
        <v>4805</v>
      </c>
      <c r="D12" s="371">
        <v>2</v>
      </c>
      <c r="E12" s="1759">
        <v>41.62</v>
      </c>
      <c r="F12" s="106"/>
      <c r="G12" s="374" t="s">
        <v>14490</v>
      </c>
      <c r="H12" s="242"/>
      <c r="I12" s="1363" t="s">
        <v>18592</v>
      </c>
      <c r="J12" s="242"/>
      <c r="K12" s="238"/>
      <c r="L12" s="1232">
        <f>IF( SUM( N12:N12 ) = 0, 0, $N$5 )</f>
        <v>0</v>
      </c>
      <c r="M12" s="238"/>
      <c r="N12" s="285">
        <f xml:space="preserve"> IF( ISNUMBER(E12 ), 0, 1 )</f>
        <v>0</v>
      </c>
      <c r="O12" s="238"/>
      <c r="Q12" s="469" t="s">
        <v>14489</v>
      </c>
      <c r="R12" s="1362" t="s">
        <v>14491</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14492</v>
      </c>
      <c r="C14" s="277" t="s">
        <v>14477</v>
      </c>
      <c r="D14" s="277">
        <v>1</v>
      </c>
      <c r="E14" s="1754">
        <v>32.700000000000003</v>
      </c>
      <c r="F14" s="106"/>
      <c r="G14" s="281" t="s">
        <v>14493</v>
      </c>
      <c r="H14" s="242"/>
      <c r="I14" s="1231"/>
      <c r="J14" s="242"/>
      <c r="K14" s="238"/>
      <c r="L14" s="1232">
        <f>IF( SUM( N14:N14 ) = 0, 0, $N$5 )</f>
        <v>0</v>
      </c>
      <c r="M14" s="238"/>
      <c r="N14" s="285">
        <f t="shared" ref="N14:N15" si="2" xml:space="preserve"> IF( ISNUMBER(E14 ), 0, 1 )</f>
        <v>0</v>
      </c>
      <c r="O14" s="238"/>
      <c r="Q14" s="451" t="s">
        <v>14492</v>
      </c>
      <c r="R14" s="960" t="s">
        <v>14494</v>
      </c>
    </row>
    <row r="15" spans="1:18" ht="15.75" customHeight="1">
      <c r="A15" s="242"/>
      <c r="B15" s="460" t="s">
        <v>14495</v>
      </c>
      <c r="C15" s="286" t="s">
        <v>14477</v>
      </c>
      <c r="D15" s="286">
        <v>1</v>
      </c>
      <c r="E15" s="1755">
        <v>1.8</v>
      </c>
      <c r="F15" s="106"/>
      <c r="G15" s="290" t="s">
        <v>14496</v>
      </c>
      <c r="H15" s="242"/>
      <c r="I15" s="1233" t="s">
        <v>18593</v>
      </c>
      <c r="J15" s="242"/>
      <c r="K15" s="238"/>
      <c r="L15" s="1232">
        <f>IF( SUM( N15:N15 ) = 0, 0, $N$5 )</f>
        <v>0</v>
      </c>
      <c r="M15" s="238"/>
      <c r="N15" s="285">
        <f t="shared" si="2"/>
        <v>0</v>
      </c>
      <c r="O15" s="238"/>
      <c r="Q15" s="460" t="s">
        <v>14495</v>
      </c>
      <c r="R15" s="964" t="s">
        <v>14497</v>
      </c>
    </row>
    <row r="16" spans="1:18" ht="15.75" customHeight="1" thickBot="1">
      <c r="A16" s="242"/>
      <c r="B16" s="463" t="s">
        <v>14498</v>
      </c>
      <c r="C16" s="355" t="s">
        <v>14477</v>
      </c>
      <c r="D16" s="355">
        <v>1</v>
      </c>
      <c r="E16" s="1758">
        <f>IFERROR(E14 + E15, 0)</f>
        <v>34.5</v>
      </c>
      <c r="F16" s="106"/>
      <c r="G16" s="356" t="s">
        <v>14499</v>
      </c>
      <c r="H16" s="242"/>
      <c r="I16" s="1237"/>
      <c r="J16" s="242"/>
      <c r="K16" s="238"/>
      <c r="M16" s="238"/>
      <c r="O16" s="238"/>
      <c r="Q16" s="463" t="s">
        <v>14498</v>
      </c>
      <c r="R16" s="1364" t="s">
        <v>14500</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14501</v>
      </c>
      <c r="C18" s="277" t="s">
        <v>14502</v>
      </c>
      <c r="D18" s="277">
        <v>0</v>
      </c>
      <c r="E18" s="1732">
        <v>3</v>
      </c>
      <c r="F18" s="106"/>
      <c r="G18" s="281" t="s">
        <v>14503</v>
      </c>
      <c r="H18" s="242"/>
      <c r="I18" s="1231" t="s">
        <v>18594</v>
      </c>
      <c r="J18" s="242"/>
      <c r="K18" s="238"/>
      <c r="L18" s="1232">
        <f>IF( SUM( N18:N18 ) = 0, 0, $N$5 )</f>
        <v>0</v>
      </c>
      <c r="M18" s="238"/>
      <c r="N18" s="285">
        <f xml:space="preserve"> IF( ISNUMBER(E18 ), 0, 1 )</f>
        <v>0</v>
      </c>
      <c r="O18" s="238"/>
      <c r="Q18" s="451" t="s">
        <v>14501</v>
      </c>
      <c r="R18" s="960" t="s">
        <v>14504</v>
      </c>
    </row>
    <row r="19" spans="1:18" ht="15.75" customHeight="1">
      <c r="A19" s="242"/>
      <c r="B19" s="460" t="s">
        <v>14505</v>
      </c>
      <c r="C19" s="286" t="s">
        <v>14502</v>
      </c>
      <c r="D19" s="286">
        <v>0</v>
      </c>
      <c r="E19" s="1328">
        <v>281</v>
      </c>
      <c r="F19" s="106"/>
      <c r="G19" s="290" t="s">
        <v>14506</v>
      </c>
      <c r="H19" s="242"/>
      <c r="I19" s="1233"/>
      <c r="J19" s="242"/>
      <c r="K19" s="238"/>
      <c r="L19" s="1232">
        <f>IF( SUM( N19:N19 ) = 0, 0, $N$5 )</f>
        <v>0</v>
      </c>
      <c r="M19" s="238"/>
      <c r="N19" s="285">
        <f t="shared" ref="N19:N20" si="3" xml:space="preserve"> IF( ISNUMBER(E19 ), 0, 1 )</f>
        <v>0</v>
      </c>
      <c r="O19" s="238"/>
      <c r="Q19" s="460" t="s">
        <v>14505</v>
      </c>
      <c r="R19" s="964" t="s">
        <v>14507</v>
      </c>
    </row>
    <row r="20" spans="1:18" ht="15.75" customHeight="1">
      <c r="A20" s="242"/>
      <c r="B20" s="460" t="s">
        <v>14508</v>
      </c>
      <c r="C20" s="286" t="s">
        <v>14502</v>
      </c>
      <c r="D20" s="286">
        <v>0</v>
      </c>
      <c r="E20" s="1328">
        <v>2667</v>
      </c>
      <c r="F20" s="106"/>
      <c r="G20" s="290" t="s">
        <v>14509</v>
      </c>
      <c r="H20" s="242"/>
      <c r="I20" s="1233" t="s">
        <v>18595</v>
      </c>
      <c r="J20" s="242"/>
      <c r="K20" s="238"/>
      <c r="L20" s="1232">
        <f>IF( SUM( N20:N20 ) = 0, 0, $N$5 )</f>
        <v>0</v>
      </c>
      <c r="M20" s="238"/>
      <c r="N20" s="285">
        <f t="shared" si="3"/>
        <v>0</v>
      </c>
      <c r="O20" s="238"/>
      <c r="Q20" s="460" t="s">
        <v>14508</v>
      </c>
      <c r="R20" s="964" t="s">
        <v>14510</v>
      </c>
    </row>
    <row r="21" spans="1:18" ht="15.75" customHeight="1" thickBot="1">
      <c r="A21" s="242"/>
      <c r="B21" s="463" t="s">
        <v>14511</v>
      </c>
      <c r="C21" s="355" t="s">
        <v>14502</v>
      </c>
      <c r="D21" s="355">
        <v>0</v>
      </c>
      <c r="E21" s="1751">
        <f>IFERROR(E18 + E19 + E20, 0)</f>
        <v>2951</v>
      </c>
      <c r="F21" s="106"/>
      <c r="G21" s="356" t="s">
        <v>14512</v>
      </c>
      <c r="H21" s="242"/>
      <c r="I21" s="1237"/>
      <c r="J21" s="242"/>
      <c r="K21" s="238"/>
      <c r="M21" s="238"/>
      <c r="O21" s="238"/>
      <c r="Q21" s="463" t="s">
        <v>14511</v>
      </c>
      <c r="R21" s="1353" t="s">
        <v>14513</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14514</v>
      </c>
      <c r="C23" s="371" t="s">
        <v>14515</v>
      </c>
      <c r="D23" s="371">
        <v>0</v>
      </c>
      <c r="E23" s="1365">
        <v>8834109</v>
      </c>
      <c r="F23" s="106"/>
      <c r="G23" s="374" t="s">
        <v>14516</v>
      </c>
      <c r="H23" s="242"/>
      <c r="I23" s="1363"/>
      <c r="J23" s="242"/>
      <c r="K23" s="238"/>
      <c r="L23" s="1232">
        <f>IF( SUM( N23:N23 ) = 0, 0, $N$5 )</f>
        <v>0</v>
      </c>
      <c r="M23" s="238"/>
      <c r="N23" s="285">
        <f xml:space="preserve"> IF( ISNUMBER(E23 ), 0, 1 )</f>
        <v>0</v>
      </c>
      <c r="O23" s="238"/>
      <c r="Q23" s="469" t="s">
        <v>14517</v>
      </c>
      <c r="R23" s="1365" t="s">
        <v>14518</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14502</v>
      </c>
      <c r="D25" s="277">
        <v>0</v>
      </c>
      <c r="E25" s="1732">
        <v>0</v>
      </c>
      <c r="F25" s="106"/>
      <c r="G25" s="281" t="s">
        <v>14519</v>
      </c>
      <c r="H25" s="242"/>
      <c r="I25" s="1231"/>
      <c r="J25" s="242"/>
      <c r="K25" s="238"/>
      <c r="L25" s="1232">
        <f t="shared" ref="L25:L27" si="4">IF( SUM( N25:N25 ) = 0, 0, $N$5 )</f>
        <v>0</v>
      </c>
      <c r="M25" s="238"/>
      <c r="N25" s="285">
        <f t="shared" ref="N25:N27" si="5" xml:space="preserve"> IF( ISNUMBER(E25 ), 0, 1 )</f>
        <v>0</v>
      </c>
      <c r="O25" s="238"/>
      <c r="Q25" s="451" t="s">
        <v>3917</v>
      </c>
      <c r="R25" s="960" t="s">
        <v>14520</v>
      </c>
    </row>
    <row r="26" spans="1:18" ht="15.75" customHeight="1">
      <c r="A26" s="242"/>
      <c r="B26" s="460" t="s">
        <v>3918</v>
      </c>
      <c r="C26" s="286" t="s">
        <v>14502</v>
      </c>
      <c r="D26" s="286">
        <v>0</v>
      </c>
      <c r="E26" s="1328">
        <v>0</v>
      </c>
      <c r="F26" s="106"/>
      <c r="G26" s="290" t="s">
        <v>14521</v>
      </c>
      <c r="H26" s="242"/>
      <c r="I26" s="1233"/>
      <c r="J26" s="242"/>
      <c r="K26" s="238"/>
      <c r="L26" s="1232">
        <f t="shared" si="4"/>
        <v>0</v>
      </c>
      <c r="M26" s="238"/>
      <c r="N26" s="285">
        <f t="shared" si="5"/>
        <v>0</v>
      </c>
      <c r="O26" s="238"/>
      <c r="Q26" s="460" t="s">
        <v>3918</v>
      </c>
      <c r="R26" s="964" t="s">
        <v>14522</v>
      </c>
    </row>
    <row r="27" spans="1:18" ht="15.75" customHeight="1">
      <c r="A27" s="242"/>
      <c r="B27" s="460" t="s">
        <v>3919</v>
      </c>
      <c r="C27" s="286" t="s">
        <v>14502</v>
      </c>
      <c r="D27" s="286">
        <v>0</v>
      </c>
      <c r="E27" s="1328">
        <v>2124</v>
      </c>
      <c r="F27" s="106"/>
      <c r="G27" s="290" t="s">
        <v>14523</v>
      </c>
      <c r="H27" s="242"/>
      <c r="I27" s="1233"/>
      <c r="J27" s="242"/>
      <c r="K27" s="238"/>
      <c r="L27" s="1232">
        <f t="shared" si="4"/>
        <v>0</v>
      </c>
      <c r="M27" s="238"/>
      <c r="N27" s="285">
        <f t="shared" si="5"/>
        <v>0</v>
      </c>
      <c r="O27" s="238"/>
      <c r="Q27" s="460" t="s">
        <v>3919</v>
      </c>
      <c r="R27" s="964" t="s">
        <v>14524</v>
      </c>
    </row>
    <row r="28" spans="1:18" ht="15.75" customHeight="1" thickBot="1">
      <c r="A28" s="242"/>
      <c r="B28" s="463" t="s">
        <v>3920</v>
      </c>
      <c r="C28" s="355" t="s">
        <v>14502</v>
      </c>
      <c r="D28" s="355">
        <v>0</v>
      </c>
      <c r="E28" s="1751">
        <f>IFERROR(E25 + E26 + E27, 0)</f>
        <v>2124</v>
      </c>
      <c r="F28" s="106"/>
      <c r="G28" s="356" t="s">
        <v>14525</v>
      </c>
      <c r="H28" s="242"/>
      <c r="I28" s="1237"/>
      <c r="J28" s="242"/>
      <c r="K28" s="238"/>
      <c r="M28" s="238"/>
      <c r="O28" s="238"/>
      <c r="Q28" s="463" t="s">
        <v>3920</v>
      </c>
      <c r="R28" s="1140" t="s">
        <v>14526</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14515</v>
      </c>
      <c r="D30" s="277">
        <v>0</v>
      </c>
      <c r="E30" s="1732">
        <v>0</v>
      </c>
      <c r="F30" s="106"/>
      <c r="G30" s="281" t="s">
        <v>14527</v>
      </c>
      <c r="H30" s="242"/>
      <c r="I30" s="1231"/>
      <c r="J30" s="242"/>
      <c r="K30" s="238"/>
      <c r="L30" s="1232">
        <f t="shared" ref="L30:L31" si="6">IF( SUM( N30:N30 ) = 0, 0, $N$5 )</f>
        <v>0</v>
      </c>
      <c r="M30" s="238"/>
      <c r="N30" s="285">
        <f t="shared" ref="N30:N31" si="7" xml:space="preserve"> IF( ISNUMBER(E30 ), 0, 1 )</f>
        <v>0</v>
      </c>
      <c r="O30" s="238"/>
      <c r="Q30" s="451" t="s">
        <v>3921</v>
      </c>
      <c r="R30" s="960" t="s">
        <v>14528</v>
      </c>
    </row>
    <row r="31" spans="1:18" ht="15.75" customHeight="1" thickBot="1">
      <c r="A31" s="242"/>
      <c r="B31" s="463" t="s">
        <v>14529</v>
      </c>
      <c r="C31" s="355" t="s">
        <v>4805</v>
      </c>
      <c r="D31" s="355">
        <v>2</v>
      </c>
      <c r="E31" s="1760">
        <v>30.81</v>
      </c>
      <c r="F31" s="106"/>
      <c r="G31" s="356" t="s">
        <v>14530</v>
      </c>
      <c r="H31" s="242"/>
      <c r="I31" s="1237" t="s">
        <v>18596</v>
      </c>
      <c r="J31" s="242"/>
      <c r="K31" s="238"/>
      <c r="L31" s="1232">
        <f t="shared" si="6"/>
        <v>0</v>
      </c>
      <c r="M31" s="238"/>
      <c r="N31" s="285">
        <f t="shared" si="7"/>
        <v>0</v>
      </c>
      <c r="O31" s="238"/>
      <c r="Q31" s="463" t="s">
        <v>14529</v>
      </c>
      <c r="R31" s="1236" t="s">
        <v>14531</v>
      </c>
    </row>
    <row r="32" spans="1:18" ht="15.6"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K26" sqref="K26"/>
    </sheetView>
  </sheetViews>
  <sheetFormatPr defaultColWidth="9" defaultRowHeight="15.6"/>
  <cols>
    <col min="1" max="1" width="1.59765625" style="224" customWidth="1"/>
    <col min="2" max="2" width="45.09765625" style="224" bestFit="1" customWidth="1"/>
    <col min="3" max="3" width="7" style="224" customWidth="1"/>
    <col min="4" max="4" width="5.5" style="224" customWidth="1"/>
    <col min="5" max="5" width="11.09765625" style="224" bestFit="1" customWidth="1"/>
    <col min="6" max="6" width="12.19921875" style="224" bestFit="1" customWidth="1"/>
    <col min="7" max="7" width="12.09765625" style="224" bestFit="1" customWidth="1"/>
    <col min="8" max="8" width="11.19921875" style="224" customWidth="1"/>
    <col min="9" max="9" width="12.19921875" style="224" bestFit="1" customWidth="1"/>
    <col min="10" max="10" width="10" style="224" bestFit="1" customWidth="1"/>
    <col min="11" max="11" width="10.59765625" style="705" customWidth="1"/>
    <col min="12" max="12" width="10.69921875" style="224" customWidth="1"/>
    <col min="13" max="13" width="12.5" style="224" customWidth="1"/>
    <col min="14" max="14" width="1.59765625" style="224" customWidth="1"/>
    <col min="15" max="15" width="12.5" style="248" customWidth="1"/>
    <col min="16" max="16" width="1.59765625" style="105" customWidth="1"/>
    <col min="17" max="17" width="27.59765625" style="105" customWidth="1"/>
    <col min="18" max="18" width="1.59765625" style="105" customWidth="1"/>
    <col min="19" max="19" width="1.59765625" style="219" customWidth="1"/>
    <col min="20" max="20" width="25.09765625" style="705" customWidth="1"/>
    <col min="21" max="21" width="1.59765625" style="219" customWidth="1"/>
    <col min="22" max="29" width="6.09765625" style="224" hidden="1" customWidth="1"/>
    <col min="30" max="30" width="1.59765625" style="219" hidden="1" customWidth="1"/>
    <col min="31" max="31" width="1.59765625" style="219" customWidth="1"/>
    <col min="32" max="32" width="52.5" style="219" bestFit="1" customWidth="1"/>
    <col min="33" max="33" width="19.5" style="219" customWidth="1"/>
    <col min="34" max="34" width="19.19921875" style="219" bestFit="1" customWidth="1"/>
    <col min="35" max="36" width="15" style="219" customWidth="1"/>
    <col min="37" max="41" width="15" style="224" customWidth="1"/>
    <col min="42" max="42" width="1.59765625" style="224" customWidth="1"/>
    <col min="43" max="16384" width="9" style="224"/>
  </cols>
  <sheetData>
    <row r="1" spans="1:41" s="389" customFormat="1" ht="30" customHeight="1">
      <c r="B1" s="1229" t="s">
        <v>14532</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Dŵr Cymru</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29" t="s">
        <v>14533</v>
      </c>
      <c r="C3" s="2829"/>
      <c r="D3" s="2829"/>
      <c r="E3" s="2829"/>
      <c r="F3" s="2829"/>
      <c r="G3" s="2829"/>
      <c r="H3" s="2829"/>
      <c r="I3" s="2829"/>
      <c r="J3" s="2829"/>
      <c r="K3" s="2829"/>
      <c r="L3" s="2829"/>
      <c r="M3" s="2829"/>
      <c r="N3" s="2829"/>
      <c r="O3" s="2829"/>
      <c r="P3" s="2829"/>
      <c r="Q3" s="2829"/>
      <c r="R3" s="267"/>
      <c r="S3" s="238"/>
      <c r="T3" s="1240" t="s">
        <v>4200</v>
      </c>
      <c r="U3" s="238"/>
      <c r="AC3" s="219"/>
      <c r="AD3" s="238"/>
      <c r="AE3" s="243"/>
      <c r="AF3" s="2829" t="s">
        <v>14533</v>
      </c>
      <c r="AG3" s="2829"/>
      <c r="AH3" s="2829"/>
      <c r="AI3" s="2829"/>
      <c r="AJ3" s="2829"/>
      <c r="AK3" s="2829"/>
      <c r="AL3" s="2829"/>
      <c r="AM3" s="2829"/>
      <c r="AN3" s="2829"/>
      <c r="AO3" s="2829"/>
    </row>
    <row r="4" spans="1:41" ht="15" customHeight="1" thickBot="1">
      <c r="B4" s="690"/>
      <c r="C4" s="690"/>
      <c r="D4" s="690"/>
      <c r="E4" s="690"/>
      <c r="F4" s="690"/>
      <c r="G4" s="827"/>
      <c r="H4" s="261"/>
      <c r="I4" s="690"/>
      <c r="J4" s="690"/>
      <c r="K4" s="690"/>
      <c r="L4" s="827"/>
      <c r="M4" s="261"/>
      <c r="N4" s="870"/>
      <c r="O4" s="992"/>
      <c r="P4" s="224"/>
      <c r="Q4" s="224"/>
      <c r="R4" s="224"/>
      <c r="S4" s="238"/>
      <c r="U4" s="238"/>
      <c r="V4" s="2940" t="s">
        <v>4201</v>
      </c>
      <c r="W4" s="2940"/>
      <c r="X4" s="2940"/>
      <c r="Y4" s="2940"/>
      <c r="Z4" s="2940"/>
      <c r="AA4" s="2940"/>
      <c r="AB4" s="2940"/>
      <c r="AC4" s="2940"/>
      <c r="AD4" s="238"/>
      <c r="AF4" s="690"/>
      <c r="AG4" s="690"/>
      <c r="AH4" s="690"/>
      <c r="AI4" s="827"/>
      <c r="AJ4" s="261"/>
      <c r="AK4" s="690"/>
      <c r="AL4" s="690"/>
      <c r="AM4" s="690"/>
      <c r="AN4" s="827"/>
      <c r="AO4" s="261"/>
    </row>
    <row r="5" spans="1:41" ht="46.2" thickTop="1" thickBot="1">
      <c r="A5" s="197"/>
      <c r="B5" s="445" t="s">
        <v>4202</v>
      </c>
      <c r="C5" s="446" t="s">
        <v>4203</v>
      </c>
      <c r="D5" s="446" t="s">
        <v>4204</v>
      </c>
      <c r="E5" s="446" t="s">
        <v>14534</v>
      </c>
      <c r="F5" s="446" t="s">
        <v>14535</v>
      </c>
      <c r="G5" s="446" t="s">
        <v>14536</v>
      </c>
      <c r="H5" s="447" t="s">
        <v>4425</v>
      </c>
      <c r="I5" s="106"/>
      <c r="J5" s="106"/>
      <c r="K5" s="106"/>
      <c r="L5" s="106"/>
      <c r="M5" s="197"/>
      <c r="N5" s="106"/>
      <c r="O5" s="449" t="s">
        <v>4208</v>
      </c>
      <c r="P5" s="197"/>
      <c r="Q5" s="449" t="s">
        <v>4209</v>
      </c>
      <c r="R5" s="197"/>
      <c r="S5" s="238"/>
      <c r="U5" s="238"/>
      <c r="V5" s="269" t="s">
        <v>4210</v>
      </c>
      <c r="AC5" s="219"/>
      <c r="AD5" s="238"/>
      <c r="AF5" s="445" t="s">
        <v>4202</v>
      </c>
      <c r="AG5" s="446" t="s">
        <v>14534</v>
      </c>
      <c r="AH5" s="446" t="s">
        <v>14535</v>
      </c>
      <c r="AI5" s="446" t="s">
        <v>14536</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14537</v>
      </c>
      <c r="C7" s="242"/>
      <c r="D7" s="242"/>
      <c r="E7" s="482"/>
      <c r="F7" s="482"/>
      <c r="G7" s="482"/>
      <c r="H7" s="482"/>
      <c r="I7" s="106"/>
      <c r="J7" s="106"/>
      <c r="K7" s="106"/>
      <c r="L7" s="106"/>
      <c r="M7" s="197"/>
      <c r="N7" s="106"/>
      <c r="O7" s="86"/>
      <c r="P7" s="197"/>
      <c r="Q7" s="197"/>
      <c r="R7" s="197"/>
      <c r="S7" s="238"/>
      <c r="U7" s="238"/>
      <c r="AC7" s="263"/>
      <c r="AD7" s="238"/>
      <c r="AF7" s="1370" t="s">
        <v>14537</v>
      </c>
      <c r="AG7" s="482"/>
      <c r="AH7" s="482"/>
      <c r="AI7" s="482"/>
      <c r="AJ7" s="482"/>
      <c r="AK7" s="106"/>
      <c r="AL7" s="106"/>
      <c r="AM7" s="106"/>
      <c r="AN7" s="106"/>
      <c r="AO7" s="106"/>
    </row>
    <row r="8" spans="1:41" ht="15.75" customHeight="1" thickTop="1">
      <c r="A8" s="197"/>
      <c r="B8" s="451" t="s">
        <v>5243</v>
      </c>
      <c r="C8" s="277" t="s">
        <v>4215</v>
      </c>
      <c r="D8" s="277">
        <v>3</v>
      </c>
      <c r="E8" s="694">
        <v>4.0000000000000001E-3</v>
      </c>
      <c r="F8" s="694">
        <v>1.0329999999999999</v>
      </c>
      <c r="G8" s="694">
        <v>0</v>
      </c>
      <c r="H8" s="1596">
        <f>IFERROR(SUM(E8:G8), 0)</f>
        <v>1.0369999999999999</v>
      </c>
      <c r="I8" s="86"/>
      <c r="J8" s="106"/>
      <c r="K8" s="106"/>
      <c r="L8" s="106"/>
      <c r="M8" s="197"/>
      <c r="N8" s="106"/>
      <c r="O8" s="281" t="s">
        <v>14538</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5243</v>
      </c>
      <c r="AG8" s="904" t="s">
        <v>14539</v>
      </c>
      <c r="AH8" s="904" t="s">
        <v>14540</v>
      </c>
      <c r="AI8" s="904" t="s">
        <v>14541</v>
      </c>
      <c r="AJ8" s="416" t="s">
        <v>14542</v>
      </c>
      <c r="AK8" s="86"/>
      <c r="AL8" s="106"/>
      <c r="AM8" s="106"/>
      <c r="AN8" s="106"/>
      <c r="AO8" s="106"/>
    </row>
    <row r="9" spans="1:41" ht="15.75" customHeight="1">
      <c r="A9" s="197"/>
      <c r="B9" s="460" t="s">
        <v>5251</v>
      </c>
      <c r="C9" s="286" t="s">
        <v>4215</v>
      </c>
      <c r="D9" s="286">
        <v>3</v>
      </c>
      <c r="E9" s="697">
        <v>0</v>
      </c>
      <c r="F9" s="697">
        <v>0</v>
      </c>
      <c r="G9" s="697">
        <v>0</v>
      </c>
      <c r="H9" s="1598">
        <f>IFERROR(SUM(E9:G9), 0)</f>
        <v>0</v>
      </c>
      <c r="I9" s="86"/>
      <c r="J9" s="106"/>
      <c r="K9" s="106"/>
      <c r="L9" s="106"/>
      <c r="M9" s="197"/>
      <c r="N9" s="106"/>
      <c r="O9" s="290" t="s">
        <v>14543</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5251</v>
      </c>
      <c r="AG9" s="905" t="s">
        <v>14544</v>
      </c>
      <c r="AH9" s="905" t="s">
        <v>14545</v>
      </c>
      <c r="AI9" s="905" t="s">
        <v>14546</v>
      </c>
      <c r="AJ9" s="893" t="s">
        <v>14547</v>
      </c>
      <c r="AK9" s="86"/>
      <c r="AL9" s="106"/>
      <c r="AM9" s="106"/>
      <c r="AN9" s="106"/>
      <c r="AO9" s="106"/>
    </row>
    <row r="10" spans="1:41" ht="15.75" customHeight="1">
      <c r="A10" s="197"/>
      <c r="B10" s="460" t="s">
        <v>14548</v>
      </c>
      <c r="C10" s="286" t="s">
        <v>4215</v>
      </c>
      <c r="D10" s="286">
        <v>3</v>
      </c>
      <c r="E10" s="697">
        <v>0</v>
      </c>
      <c r="F10" s="697">
        <v>0</v>
      </c>
      <c r="G10" s="697">
        <v>0</v>
      </c>
      <c r="H10" s="1598">
        <f>IFERROR(SUM(E10:G10), 0)</f>
        <v>0</v>
      </c>
      <c r="I10" s="86"/>
      <c r="J10" s="106"/>
      <c r="K10" s="106"/>
      <c r="L10" s="106"/>
      <c r="M10" s="197"/>
      <c r="N10" s="106"/>
      <c r="O10" s="290" t="s">
        <v>14549</v>
      </c>
      <c r="P10" s="197"/>
      <c r="Q10" s="291"/>
      <c r="R10" s="197"/>
      <c r="S10" s="238"/>
      <c r="T10" s="1232">
        <f t="shared" si="2"/>
        <v>0</v>
      </c>
      <c r="U10" s="238"/>
      <c r="V10" s="285">
        <f t="shared" si="3"/>
        <v>0</v>
      </c>
      <c r="W10" s="285">
        <f t="shared" si="0"/>
        <v>0</v>
      </c>
      <c r="X10" s="285">
        <f t="shared" si="1"/>
        <v>0</v>
      </c>
      <c r="AD10" s="238"/>
      <c r="AF10" s="460" t="s">
        <v>14548</v>
      </c>
      <c r="AG10" s="905" t="s">
        <v>14550</v>
      </c>
      <c r="AH10" s="905" t="s">
        <v>14551</v>
      </c>
      <c r="AI10" s="905" t="s">
        <v>14552</v>
      </c>
      <c r="AJ10" s="893" t="s">
        <v>14553</v>
      </c>
      <c r="AK10" s="86"/>
      <c r="AL10" s="106"/>
      <c r="AM10" s="106"/>
      <c r="AN10" s="106"/>
      <c r="AO10" s="106"/>
    </row>
    <row r="11" spans="1:41" ht="15.75" customHeight="1" thickBot="1">
      <c r="A11" s="197"/>
      <c r="B11" s="463" t="s">
        <v>9052</v>
      </c>
      <c r="C11" s="355" t="s">
        <v>4215</v>
      </c>
      <c r="D11" s="355">
        <v>3</v>
      </c>
      <c r="E11" s="1640">
        <v>0</v>
      </c>
      <c r="F11" s="1640">
        <v>0</v>
      </c>
      <c r="G11" s="1640">
        <v>0</v>
      </c>
      <c r="H11" s="1599">
        <f t="shared" ref="H11" si="4">IFERROR(SUM(E11:G11), 0)</f>
        <v>0</v>
      </c>
      <c r="I11" s="86"/>
      <c r="J11" s="106"/>
      <c r="K11" s="106"/>
      <c r="L11" s="106"/>
      <c r="M11" s="197"/>
      <c r="N11" s="106"/>
      <c r="O11" s="356" t="s">
        <v>14554</v>
      </c>
      <c r="P11" s="197"/>
      <c r="Q11" s="302"/>
      <c r="R11" s="197"/>
      <c r="S11" s="238"/>
      <c r="T11" s="1232">
        <f t="shared" si="2"/>
        <v>0</v>
      </c>
      <c r="U11" s="238"/>
      <c r="V11" s="285">
        <f t="shared" si="3"/>
        <v>0</v>
      </c>
      <c r="W11" s="285">
        <f t="shared" si="0"/>
        <v>0</v>
      </c>
      <c r="X11" s="285">
        <f t="shared" si="1"/>
        <v>0</v>
      </c>
      <c r="AD11" s="238"/>
      <c r="AF11" s="463" t="s">
        <v>9052</v>
      </c>
      <c r="AG11" s="1042" t="s">
        <v>14555</v>
      </c>
      <c r="AH11" s="1042" t="s">
        <v>14556</v>
      </c>
      <c r="AI11" s="1042" t="s">
        <v>14557</v>
      </c>
      <c r="AJ11" s="417" t="s">
        <v>14558</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v>0</v>
      </c>
      <c r="F14" s="694">
        <v>0</v>
      </c>
      <c r="G14" s="694">
        <v>0</v>
      </c>
      <c r="H14" s="1596">
        <f>IFERROR(SUM(E14:G14), 0)</f>
        <v>0</v>
      </c>
      <c r="I14" s="86"/>
      <c r="J14" s="86"/>
      <c r="K14" s="86"/>
      <c r="L14" s="86"/>
      <c r="M14" s="197"/>
      <c r="N14" s="106"/>
      <c r="O14" s="281" t="s">
        <v>14559</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5276</v>
      </c>
      <c r="AG14" s="904" t="s">
        <v>14560</v>
      </c>
      <c r="AH14" s="904" t="s">
        <v>14561</v>
      </c>
      <c r="AI14" s="904" t="s">
        <v>14562</v>
      </c>
      <c r="AJ14" s="416" t="s">
        <v>14563</v>
      </c>
      <c r="AK14" s="86"/>
      <c r="AL14" s="86"/>
      <c r="AM14" s="86"/>
      <c r="AN14" s="86"/>
      <c r="AO14" s="86"/>
    </row>
    <row r="15" spans="1:41" ht="15.75" customHeight="1">
      <c r="A15" s="197"/>
      <c r="B15" s="460" t="s">
        <v>5284</v>
      </c>
      <c r="C15" s="286" t="s">
        <v>4215</v>
      </c>
      <c r="D15" s="286">
        <v>3</v>
      </c>
      <c r="E15" s="697">
        <v>0</v>
      </c>
      <c r="F15" s="697">
        <v>0</v>
      </c>
      <c r="G15" s="697">
        <v>0</v>
      </c>
      <c r="H15" s="1598">
        <f t="shared" ref="H15:H18" si="9">IFERROR(SUM(E15:G15), 0)</f>
        <v>0</v>
      </c>
      <c r="I15" s="86"/>
      <c r="J15" s="86"/>
      <c r="K15" s="86"/>
      <c r="L15" s="86"/>
      <c r="M15" s="197"/>
      <c r="N15" s="106"/>
      <c r="O15" s="290" t="s">
        <v>14564</v>
      </c>
      <c r="P15" s="197"/>
      <c r="Q15" s="291"/>
      <c r="R15" s="197"/>
      <c r="S15" s="238"/>
      <c r="T15" s="1232">
        <f t="shared" si="5"/>
        <v>0</v>
      </c>
      <c r="U15" s="238"/>
      <c r="V15" s="285">
        <f t="shared" si="6"/>
        <v>0</v>
      </c>
      <c r="W15" s="285">
        <f t="shared" si="7"/>
        <v>0</v>
      </c>
      <c r="X15" s="285">
        <f t="shared" si="8"/>
        <v>0</v>
      </c>
      <c r="AD15" s="238"/>
      <c r="AF15" s="460" t="s">
        <v>5284</v>
      </c>
      <c r="AG15" s="905" t="s">
        <v>14565</v>
      </c>
      <c r="AH15" s="905" t="s">
        <v>14566</v>
      </c>
      <c r="AI15" s="905" t="s">
        <v>14567</v>
      </c>
      <c r="AJ15" s="893" t="s">
        <v>14568</v>
      </c>
      <c r="AK15" s="86"/>
      <c r="AL15" s="86"/>
      <c r="AM15" s="86"/>
      <c r="AN15" s="86"/>
      <c r="AO15" s="86"/>
    </row>
    <row r="16" spans="1:41" ht="15.75" customHeight="1">
      <c r="A16" s="197"/>
      <c r="B16" s="460" t="s">
        <v>12659</v>
      </c>
      <c r="C16" s="286" t="s">
        <v>4215</v>
      </c>
      <c r="D16" s="286">
        <v>3</v>
      </c>
      <c r="E16" s="697">
        <v>0</v>
      </c>
      <c r="F16" s="697">
        <v>6.0469999999999997</v>
      </c>
      <c r="G16" s="697">
        <v>0</v>
      </c>
      <c r="H16" s="1598">
        <f t="shared" si="9"/>
        <v>6.0469999999999997</v>
      </c>
      <c r="I16" s="86"/>
      <c r="J16" s="86"/>
      <c r="K16" s="86"/>
      <c r="L16" s="86"/>
      <c r="M16" s="197"/>
      <c r="N16" s="106"/>
      <c r="O16" s="290" t="s">
        <v>14569</v>
      </c>
      <c r="P16" s="197"/>
      <c r="Q16" s="291"/>
      <c r="R16" s="197"/>
      <c r="S16" s="238"/>
      <c r="T16" s="1232">
        <f t="shared" si="5"/>
        <v>0</v>
      </c>
      <c r="U16" s="238"/>
      <c r="V16" s="285">
        <f t="shared" si="6"/>
        <v>0</v>
      </c>
      <c r="W16" s="285">
        <f t="shared" si="7"/>
        <v>0</v>
      </c>
      <c r="X16" s="285">
        <f t="shared" si="8"/>
        <v>0</v>
      </c>
      <c r="AD16" s="238"/>
      <c r="AF16" s="460" t="s">
        <v>14570</v>
      </c>
      <c r="AG16" s="905" t="s">
        <v>14571</v>
      </c>
      <c r="AH16" s="905" t="s">
        <v>14572</v>
      </c>
      <c r="AI16" s="905" t="s">
        <v>14573</v>
      </c>
      <c r="AJ16" s="893" t="s">
        <v>14574</v>
      </c>
      <c r="AK16" s="86"/>
      <c r="AL16" s="86"/>
      <c r="AM16" s="86"/>
      <c r="AN16" s="86"/>
      <c r="AO16" s="86"/>
    </row>
    <row r="17" spans="1:41" ht="15.75" customHeight="1">
      <c r="A17" s="197"/>
      <c r="B17" s="460" t="s">
        <v>14575</v>
      </c>
      <c r="C17" s="286" t="s">
        <v>4215</v>
      </c>
      <c r="D17" s="286">
        <v>3</v>
      </c>
      <c r="E17" s="1597">
        <f>IFERROR(SUM(E8:E11,E14:E16), 0)</f>
        <v>4.0000000000000001E-3</v>
      </c>
      <c r="F17" s="1597">
        <f>IFERROR(SUM(F8:F11,F14:F16), 0)</f>
        <v>7.08</v>
      </c>
      <c r="G17" s="1597">
        <f>IFERROR(SUM(G8:G11,G14:G16), 0)</f>
        <v>0</v>
      </c>
      <c r="H17" s="1598">
        <f t="shared" si="9"/>
        <v>7.0839999999999996</v>
      </c>
      <c r="I17" s="86"/>
      <c r="J17" s="86"/>
      <c r="K17" s="86"/>
      <c r="L17" s="86"/>
      <c r="M17" s="197"/>
      <c r="N17" s="106"/>
      <c r="O17" s="290" t="s">
        <v>14576</v>
      </c>
      <c r="P17" s="197"/>
      <c r="Q17" s="291"/>
      <c r="R17" s="197"/>
      <c r="S17" s="238"/>
      <c r="T17" s="1232"/>
      <c r="U17" s="238"/>
      <c r="AD17" s="238"/>
      <c r="AE17" s="270"/>
      <c r="AF17" s="460" t="s">
        <v>14575</v>
      </c>
      <c r="AG17" s="677" t="s">
        <v>14577</v>
      </c>
      <c r="AH17" s="677" t="s">
        <v>14578</v>
      </c>
      <c r="AI17" s="677" t="s">
        <v>14579</v>
      </c>
      <c r="AJ17" s="893" t="s">
        <v>14580</v>
      </c>
      <c r="AK17" s="86"/>
      <c r="AL17" s="86"/>
      <c r="AM17" s="86"/>
      <c r="AN17" s="86"/>
      <c r="AO17" s="86"/>
    </row>
    <row r="18" spans="1:41" s="197" customFormat="1" ht="15.75" customHeight="1">
      <c r="B18" s="460" t="s">
        <v>5301</v>
      </c>
      <c r="C18" s="286" t="s">
        <v>4215</v>
      </c>
      <c r="D18" s="286">
        <v>3</v>
      </c>
      <c r="E18" s="697">
        <v>0</v>
      </c>
      <c r="F18" s="697">
        <v>7.0000000000000001E-3</v>
      </c>
      <c r="G18" s="697">
        <v>0</v>
      </c>
      <c r="H18" s="1598">
        <f t="shared" si="9"/>
        <v>7.0000000000000001E-3</v>
      </c>
      <c r="I18" s="86"/>
      <c r="J18" s="86"/>
      <c r="K18" s="86"/>
      <c r="L18" s="86"/>
      <c r="N18" s="106"/>
      <c r="O18" s="290" t="s">
        <v>14581</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5301</v>
      </c>
      <c r="AG18" s="905" t="s">
        <v>14582</v>
      </c>
      <c r="AH18" s="905" t="s">
        <v>14583</v>
      </c>
      <c r="AI18" s="905" t="s">
        <v>14584</v>
      </c>
      <c r="AJ18" s="893" t="s">
        <v>14585</v>
      </c>
      <c r="AK18" s="86"/>
      <c r="AL18" s="86"/>
      <c r="AM18" s="86"/>
      <c r="AN18" s="86"/>
      <c r="AO18" s="86"/>
    </row>
    <row r="19" spans="1:41" s="197" customFormat="1" ht="15.75" customHeight="1" thickBot="1">
      <c r="B19" s="463" t="s">
        <v>12679</v>
      </c>
      <c r="C19" s="355" t="s">
        <v>4215</v>
      </c>
      <c r="D19" s="355">
        <v>3</v>
      </c>
      <c r="E19" s="1589">
        <f>IFERROR(E17 + E18, 0)</f>
        <v>4.0000000000000001E-3</v>
      </c>
      <c r="F19" s="1589">
        <f>IFERROR(F17 + F18, 0)</f>
        <v>7.0869999999999997</v>
      </c>
      <c r="G19" s="1589">
        <f>IFERROR(G17 + G18, 0)</f>
        <v>0</v>
      </c>
      <c r="H19" s="1599">
        <f>IFERROR(SUM(E19:G19), 0)</f>
        <v>7.0909999999999993</v>
      </c>
      <c r="I19" s="86"/>
      <c r="J19" s="86"/>
      <c r="K19" s="86"/>
      <c r="L19" s="86"/>
      <c r="N19" s="106"/>
      <c r="O19" s="356" t="s">
        <v>14586</v>
      </c>
      <c r="P19" s="106"/>
      <c r="Q19" s="302"/>
      <c r="R19" s="106"/>
      <c r="S19" s="238"/>
      <c r="T19" s="1232"/>
      <c r="U19" s="238"/>
      <c r="V19" s="224"/>
      <c r="W19" s="224"/>
      <c r="X19" s="224"/>
      <c r="Y19" s="224"/>
      <c r="Z19" s="224"/>
      <c r="AA19" s="224"/>
      <c r="AB19" s="224"/>
      <c r="AC19" s="224"/>
      <c r="AD19" s="238"/>
      <c r="AE19" s="219"/>
      <c r="AF19" s="463" t="s">
        <v>12679</v>
      </c>
      <c r="AG19" s="679" t="s">
        <v>14587</v>
      </c>
      <c r="AH19" s="679" t="s">
        <v>14588</v>
      </c>
      <c r="AI19" s="679" t="s">
        <v>14589</v>
      </c>
      <c r="AJ19" s="417" t="s">
        <v>14590</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14591</v>
      </c>
      <c r="F21" s="446" t="s">
        <v>14592</v>
      </c>
      <c r="G21" s="446" t="s">
        <v>14593</v>
      </c>
      <c r="H21" s="446" t="s">
        <v>14594</v>
      </c>
      <c r="I21" s="446" t="s">
        <v>14595</v>
      </c>
      <c r="J21" s="446" t="s">
        <v>14596</v>
      </c>
      <c r="K21" s="446" t="s">
        <v>4722</v>
      </c>
      <c r="L21" s="447" t="s">
        <v>4425</v>
      </c>
      <c r="M21" s="197"/>
      <c r="N21" s="349"/>
      <c r="O21" s="1014"/>
      <c r="P21" s="1023"/>
      <c r="Q21" s="1023"/>
      <c r="R21" s="1023"/>
      <c r="S21" s="238"/>
      <c r="T21" s="1232"/>
      <c r="U21" s="238"/>
      <c r="AD21" s="238"/>
      <c r="AF21" s="445" t="s">
        <v>4202</v>
      </c>
      <c r="AG21" s="446" t="s">
        <v>14591</v>
      </c>
      <c r="AH21" s="446" t="s">
        <v>14592</v>
      </c>
      <c r="AI21" s="446" t="s">
        <v>14593</v>
      </c>
      <c r="AJ21" s="446" t="s">
        <v>14594</v>
      </c>
      <c r="AK21" s="446" t="s">
        <v>14595</v>
      </c>
      <c r="AL21" s="446" t="s">
        <v>14596</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14597</v>
      </c>
      <c r="C23" s="242"/>
      <c r="D23" s="242"/>
      <c r="E23" s="482"/>
      <c r="F23" s="482"/>
      <c r="G23" s="482"/>
      <c r="H23" s="482"/>
      <c r="I23" s="106"/>
      <c r="J23" s="106"/>
      <c r="K23" s="106"/>
      <c r="L23" s="106"/>
      <c r="M23" s="197"/>
      <c r="N23" s="106"/>
      <c r="O23" s="86"/>
      <c r="P23" s="1023"/>
      <c r="Q23" s="1023"/>
      <c r="R23" s="1023"/>
      <c r="S23" s="238"/>
      <c r="T23" s="1232"/>
      <c r="U23" s="238"/>
      <c r="AD23" s="238"/>
      <c r="AF23" s="1370" t="s">
        <v>14597</v>
      </c>
      <c r="AG23" s="482"/>
      <c r="AH23" s="482"/>
      <c r="AI23" s="482"/>
      <c r="AJ23" s="482"/>
      <c r="AK23" s="106"/>
      <c r="AL23" s="106"/>
      <c r="AM23" s="106"/>
      <c r="AN23" s="106"/>
    </row>
    <row r="24" spans="1:41" ht="15.75" customHeight="1" thickTop="1">
      <c r="A24" s="197"/>
      <c r="B24" s="451" t="s">
        <v>5243</v>
      </c>
      <c r="C24" s="277" t="s">
        <v>4215</v>
      </c>
      <c r="D24" s="277">
        <v>3</v>
      </c>
      <c r="E24" s="694">
        <v>0</v>
      </c>
      <c r="F24" s="694">
        <v>0</v>
      </c>
      <c r="G24" s="694">
        <v>0</v>
      </c>
      <c r="H24" s="694">
        <v>0</v>
      </c>
      <c r="I24" s="694">
        <v>0</v>
      </c>
      <c r="J24" s="694">
        <v>5.069</v>
      </c>
      <c r="K24" s="694">
        <v>0</v>
      </c>
      <c r="L24" s="1596">
        <v>5.069</v>
      </c>
      <c r="M24" s="197"/>
      <c r="N24" s="106"/>
      <c r="O24" s="281" t="s">
        <v>14598</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5243</v>
      </c>
      <c r="AG24" s="904" t="s">
        <v>14599</v>
      </c>
      <c r="AH24" s="904" t="s">
        <v>14600</v>
      </c>
      <c r="AI24" s="904" t="s">
        <v>14601</v>
      </c>
      <c r="AJ24" s="904" t="s">
        <v>14602</v>
      </c>
      <c r="AK24" s="904" t="s">
        <v>14603</v>
      </c>
      <c r="AL24" s="904" t="s">
        <v>14604</v>
      </c>
      <c r="AM24" s="904" t="s">
        <v>14605</v>
      </c>
      <c r="AN24" s="416" t="s">
        <v>14606</v>
      </c>
    </row>
    <row r="25" spans="1:41" ht="15.75" customHeight="1">
      <c r="A25" s="197"/>
      <c r="B25" s="460" t="s">
        <v>5251</v>
      </c>
      <c r="C25" s="286" t="s">
        <v>4215</v>
      </c>
      <c r="D25" s="286">
        <v>3</v>
      </c>
      <c r="E25" s="697">
        <v>0</v>
      </c>
      <c r="F25" s="697">
        <v>0</v>
      </c>
      <c r="G25" s="697">
        <v>0</v>
      </c>
      <c r="H25" s="697">
        <v>0</v>
      </c>
      <c r="I25" s="697">
        <v>0</v>
      </c>
      <c r="J25" s="697">
        <v>-11.722999999999999</v>
      </c>
      <c r="K25" s="697">
        <v>0</v>
      </c>
      <c r="L25" s="1598">
        <v>-11.722999999999999</v>
      </c>
      <c r="M25" s="197"/>
      <c r="N25" s="106"/>
      <c r="O25" s="290" t="s">
        <v>14607</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5251</v>
      </c>
      <c r="AG25" s="905" t="s">
        <v>14608</v>
      </c>
      <c r="AH25" s="905" t="s">
        <v>14609</v>
      </c>
      <c r="AI25" s="905" t="s">
        <v>14610</v>
      </c>
      <c r="AJ25" s="905" t="s">
        <v>14611</v>
      </c>
      <c r="AK25" s="905" t="s">
        <v>14612</v>
      </c>
      <c r="AL25" s="905" t="s">
        <v>14613</v>
      </c>
      <c r="AM25" s="905" t="s">
        <v>14614</v>
      </c>
      <c r="AN25" s="893" t="s">
        <v>14615</v>
      </c>
    </row>
    <row r="26" spans="1:41" ht="15.75" customHeight="1">
      <c r="A26" s="197"/>
      <c r="B26" s="460" t="s">
        <v>14548</v>
      </c>
      <c r="C26" s="286" t="s">
        <v>4215</v>
      </c>
      <c r="D26" s="286">
        <v>3</v>
      </c>
      <c r="E26" s="697">
        <v>0</v>
      </c>
      <c r="F26" s="697">
        <v>0</v>
      </c>
      <c r="G26" s="697">
        <v>0</v>
      </c>
      <c r="H26" s="697">
        <v>0</v>
      </c>
      <c r="I26" s="697">
        <v>0</v>
      </c>
      <c r="J26" s="697">
        <v>3.2000000000000001E-2</v>
      </c>
      <c r="K26" s="697">
        <v>0</v>
      </c>
      <c r="L26" s="1598">
        <f>IFERROR(SUM(E26:K26), 0)</f>
        <v>3.2000000000000001E-2</v>
      </c>
      <c r="M26" s="197"/>
      <c r="N26" s="106"/>
      <c r="O26" s="290" t="s">
        <v>14616</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14548</v>
      </c>
      <c r="AG26" s="905" t="s">
        <v>14617</v>
      </c>
      <c r="AH26" s="905" t="s">
        <v>14618</v>
      </c>
      <c r="AI26" s="905" t="s">
        <v>14619</v>
      </c>
      <c r="AJ26" s="905" t="s">
        <v>14620</v>
      </c>
      <c r="AK26" s="905" t="s">
        <v>14621</v>
      </c>
      <c r="AL26" s="905" t="s">
        <v>14622</v>
      </c>
      <c r="AM26" s="905" t="s">
        <v>14623</v>
      </c>
      <c r="AN26" s="893" t="s">
        <v>14624</v>
      </c>
    </row>
    <row r="27" spans="1:41" ht="15.75" customHeight="1" thickBot="1">
      <c r="A27" s="197"/>
      <c r="B27" s="463" t="s">
        <v>9052</v>
      </c>
      <c r="C27" s="355" t="s">
        <v>4215</v>
      </c>
      <c r="D27" s="355">
        <v>3</v>
      </c>
      <c r="E27" s="1640">
        <v>0</v>
      </c>
      <c r="F27" s="1640">
        <v>0</v>
      </c>
      <c r="G27" s="1640">
        <v>0</v>
      </c>
      <c r="H27" s="1640">
        <v>0</v>
      </c>
      <c r="I27" s="1640">
        <v>0</v>
      </c>
      <c r="J27" s="1640">
        <v>0</v>
      </c>
      <c r="K27" s="1640">
        <v>0</v>
      </c>
      <c r="L27" s="1599">
        <f>IFERROR(SUM(E27:K27), 0)</f>
        <v>0</v>
      </c>
      <c r="M27" s="197"/>
      <c r="N27" s="106"/>
      <c r="O27" s="356" t="s">
        <v>14625</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9052</v>
      </c>
      <c r="AG27" s="1042" t="s">
        <v>14626</v>
      </c>
      <c r="AH27" s="1042" t="s">
        <v>14627</v>
      </c>
      <c r="AI27" s="1042" t="s">
        <v>14628</v>
      </c>
      <c r="AJ27" s="1042" t="s">
        <v>14629</v>
      </c>
      <c r="AK27" s="1042" t="s">
        <v>14630</v>
      </c>
      <c r="AL27" s="1042" t="s">
        <v>14631</v>
      </c>
      <c r="AM27" s="1042" t="s">
        <v>14632</v>
      </c>
      <c r="AN27" s="417" t="s">
        <v>14633</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v>0</v>
      </c>
      <c r="F30" s="694">
        <v>0</v>
      </c>
      <c r="G30" s="694">
        <v>0</v>
      </c>
      <c r="H30" s="694">
        <v>0</v>
      </c>
      <c r="I30" s="694">
        <v>0</v>
      </c>
      <c r="J30" s="694">
        <v>0</v>
      </c>
      <c r="K30" s="694">
        <v>0</v>
      </c>
      <c r="L30" s="1596">
        <f t="shared" ref="L30:L35" si="21">IFERROR(SUM(E30:K30), 0)</f>
        <v>0</v>
      </c>
      <c r="M30" s="197"/>
      <c r="N30" s="106"/>
      <c r="O30" s="281" t="s">
        <v>14634</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5276</v>
      </c>
      <c r="AG30" s="904" t="s">
        <v>14635</v>
      </c>
      <c r="AH30" s="904" t="s">
        <v>14636</v>
      </c>
      <c r="AI30" s="904" t="s">
        <v>14637</v>
      </c>
      <c r="AJ30" s="904" t="s">
        <v>14638</v>
      </c>
      <c r="AK30" s="904" t="s">
        <v>14639</v>
      </c>
      <c r="AL30" s="904" t="s">
        <v>14640</v>
      </c>
      <c r="AM30" s="904" t="s">
        <v>14641</v>
      </c>
      <c r="AN30" s="416" t="s">
        <v>14642</v>
      </c>
    </row>
    <row r="31" spans="1:41" ht="15.75" customHeight="1">
      <c r="A31" s="197"/>
      <c r="B31" s="460" t="s">
        <v>5284</v>
      </c>
      <c r="C31" s="286" t="s">
        <v>4215</v>
      </c>
      <c r="D31" s="286">
        <v>3</v>
      </c>
      <c r="E31" s="697">
        <v>0</v>
      </c>
      <c r="F31" s="697">
        <v>0</v>
      </c>
      <c r="G31" s="697">
        <v>0</v>
      </c>
      <c r="H31" s="697">
        <v>0</v>
      </c>
      <c r="I31" s="697">
        <v>0</v>
      </c>
      <c r="J31" s="697">
        <v>0</v>
      </c>
      <c r="K31" s="697">
        <v>0</v>
      </c>
      <c r="L31" s="1598">
        <f t="shared" si="21"/>
        <v>0</v>
      </c>
      <c r="M31" s="197"/>
      <c r="N31" s="106"/>
      <c r="O31" s="290" t="s">
        <v>14643</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5284</v>
      </c>
      <c r="AG31" s="905" t="s">
        <v>14644</v>
      </c>
      <c r="AH31" s="905" t="s">
        <v>14645</v>
      </c>
      <c r="AI31" s="905" t="s">
        <v>14646</v>
      </c>
      <c r="AJ31" s="905" t="s">
        <v>14647</v>
      </c>
      <c r="AK31" s="905" t="s">
        <v>14648</v>
      </c>
      <c r="AL31" s="905" t="s">
        <v>14649</v>
      </c>
      <c r="AM31" s="905" t="s">
        <v>14650</v>
      </c>
      <c r="AN31" s="893" t="s">
        <v>14651</v>
      </c>
    </row>
    <row r="32" spans="1:41" ht="15.75" customHeight="1">
      <c r="A32" s="197"/>
      <c r="B32" s="460" t="s">
        <v>12659</v>
      </c>
      <c r="C32" s="286" t="s">
        <v>4215</v>
      </c>
      <c r="D32" s="286">
        <v>3</v>
      </c>
      <c r="E32" s="697">
        <v>0</v>
      </c>
      <c r="F32" s="697">
        <v>0</v>
      </c>
      <c r="G32" s="697">
        <v>0</v>
      </c>
      <c r="H32" s="697">
        <v>0</v>
      </c>
      <c r="I32" s="697">
        <v>0</v>
      </c>
      <c r="J32" s="697">
        <v>14.888</v>
      </c>
      <c r="K32" s="697">
        <v>5.1950000000000003</v>
      </c>
      <c r="L32" s="1598">
        <f t="shared" si="21"/>
        <v>20.082999999999998</v>
      </c>
      <c r="M32" s="197"/>
      <c r="N32" s="106"/>
      <c r="O32" s="290" t="s">
        <v>14652</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14570</v>
      </c>
      <c r="AG32" s="905" t="s">
        <v>14653</v>
      </c>
      <c r="AH32" s="905" t="s">
        <v>14654</v>
      </c>
      <c r="AI32" s="905" t="s">
        <v>14655</v>
      </c>
      <c r="AJ32" s="905" t="s">
        <v>14656</v>
      </c>
      <c r="AK32" s="905" t="s">
        <v>14657</v>
      </c>
      <c r="AL32" s="905" t="s">
        <v>14658</v>
      </c>
      <c r="AM32" s="905" t="s">
        <v>14659</v>
      </c>
      <c r="AN32" s="893" t="s">
        <v>14660</v>
      </c>
    </row>
    <row r="33" spans="2:42" s="197" customFormat="1" ht="15.75" customHeight="1">
      <c r="B33" s="460" t="s">
        <v>14575</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8.2660000000000018</v>
      </c>
      <c r="K33" s="1597">
        <f t="shared" si="30"/>
        <v>5.1950000000000003</v>
      </c>
      <c r="L33" s="1598">
        <f t="shared" si="21"/>
        <v>13.461000000000002</v>
      </c>
      <c r="N33" s="106"/>
      <c r="O33" s="290" t="s">
        <v>14661</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12661</v>
      </c>
      <c r="AG33" s="677" t="s">
        <v>14662</v>
      </c>
      <c r="AH33" s="677" t="s">
        <v>14663</v>
      </c>
      <c r="AI33" s="677" t="s">
        <v>14664</v>
      </c>
      <c r="AJ33" s="677" t="s">
        <v>14665</v>
      </c>
      <c r="AK33" s="677" t="s">
        <v>14666</v>
      </c>
      <c r="AL33" s="677" t="s">
        <v>14667</v>
      </c>
      <c r="AM33" s="677" t="s">
        <v>14668</v>
      </c>
      <c r="AN33" s="893" t="s">
        <v>14669</v>
      </c>
    </row>
    <row r="34" spans="2:42" s="197" customFormat="1" ht="15.75" customHeight="1">
      <c r="B34" s="460" t="s">
        <v>5301</v>
      </c>
      <c r="C34" s="286" t="s">
        <v>4215</v>
      </c>
      <c r="D34" s="286">
        <v>3</v>
      </c>
      <c r="E34" s="697">
        <v>0</v>
      </c>
      <c r="F34" s="697">
        <v>0</v>
      </c>
      <c r="G34" s="697">
        <v>0</v>
      </c>
      <c r="H34" s="697">
        <v>0</v>
      </c>
      <c r="I34" s="697">
        <v>0</v>
      </c>
      <c r="J34" s="697">
        <v>0.628</v>
      </c>
      <c r="K34" s="697">
        <v>0</v>
      </c>
      <c r="L34" s="1598">
        <f t="shared" si="21"/>
        <v>0.628</v>
      </c>
      <c r="N34" s="106"/>
      <c r="O34" s="290" t="s">
        <v>14670</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5301</v>
      </c>
      <c r="AG34" s="905" t="s">
        <v>14671</v>
      </c>
      <c r="AH34" s="905" t="s">
        <v>14672</v>
      </c>
      <c r="AI34" s="905" t="s">
        <v>14673</v>
      </c>
      <c r="AJ34" s="905" t="s">
        <v>14674</v>
      </c>
      <c r="AK34" s="905" t="s">
        <v>14675</v>
      </c>
      <c r="AL34" s="905" t="s">
        <v>14676</v>
      </c>
      <c r="AM34" s="905" t="s">
        <v>14677</v>
      </c>
      <c r="AN34" s="893" t="s">
        <v>14678</v>
      </c>
    </row>
    <row r="35" spans="2:42" s="197" customFormat="1" ht="15.75" customHeight="1" thickBot="1">
      <c r="B35" s="463" t="s">
        <v>12679</v>
      </c>
      <c r="C35" s="355" t="s">
        <v>4215</v>
      </c>
      <c r="D35" s="355">
        <v>3</v>
      </c>
      <c r="E35" s="1589">
        <f>IFERROR(E33 + E34, 0)</f>
        <v>0</v>
      </c>
      <c r="F35" s="1589">
        <f t="shared" ref="F35:K35" si="31">IFERROR(F33 + F34, 0)</f>
        <v>0</v>
      </c>
      <c r="G35" s="1589">
        <f t="shared" si="31"/>
        <v>0</v>
      </c>
      <c r="H35" s="1589">
        <f t="shared" si="31"/>
        <v>0</v>
      </c>
      <c r="I35" s="1589">
        <f t="shared" si="31"/>
        <v>0</v>
      </c>
      <c r="J35" s="1589">
        <f t="shared" si="31"/>
        <v>8.8940000000000019</v>
      </c>
      <c r="K35" s="1589">
        <f t="shared" si="31"/>
        <v>5.1950000000000003</v>
      </c>
      <c r="L35" s="1599">
        <f t="shared" si="21"/>
        <v>14.089000000000002</v>
      </c>
      <c r="N35" s="106"/>
      <c r="O35" s="356" t="s">
        <v>14679</v>
      </c>
      <c r="P35" s="1023"/>
      <c r="Q35" s="302"/>
      <c r="R35" s="1023"/>
      <c r="S35" s="238"/>
      <c r="T35" s="1232"/>
      <c r="U35" s="238"/>
      <c r="V35" s="224"/>
      <c r="W35" s="224"/>
      <c r="X35" s="224"/>
      <c r="Y35" s="224"/>
      <c r="Z35" s="224"/>
      <c r="AA35" s="224"/>
      <c r="AB35" s="224"/>
      <c r="AC35" s="224"/>
      <c r="AD35" s="238"/>
      <c r="AE35" s="219"/>
      <c r="AF35" s="463" t="s">
        <v>12679</v>
      </c>
      <c r="AG35" s="679" t="s">
        <v>14680</v>
      </c>
      <c r="AH35" s="679" t="s">
        <v>14681</v>
      </c>
      <c r="AI35" s="679" t="s">
        <v>14682</v>
      </c>
      <c r="AJ35" s="679" t="s">
        <v>14683</v>
      </c>
      <c r="AK35" s="679" t="s">
        <v>14684</v>
      </c>
      <c r="AL35" s="679" t="s">
        <v>14685</v>
      </c>
      <c r="AM35" s="679" t="s">
        <v>14686</v>
      </c>
      <c r="AN35" s="417" t="s">
        <v>14687</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14688</v>
      </c>
      <c r="F37" s="446" t="s">
        <v>14689</v>
      </c>
      <c r="G37" s="446" t="s">
        <v>14690</v>
      </c>
      <c r="H37" s="446" t="s">
        <v>14691</v>
      </c>
      <c r="I37" s="446" t="s">
        <v>14692</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14693</v>
      </c>
      <c r="AH37" s="446" t="s">
        <v>14694</v>
      </c>
      <c r="AI37" s="446" t="s">
        <v>14695</v>
      </c>
      <c r="AJ37" s="446" t="s">
        <v>14696</v>
      </c>
      <c r="AK37" s="446" t="s">
        <v>14692</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14697</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14697</v>
      </c>
      <c r="AG39" s="482"/>
      <c r="AH39" s="482"/>
      <c r="AI39" s="482"/>
      <c r="AJ39" s="482"/>
      <c r="AL39" s="106"/>
      <c r="AM39" s="106"/>
      <c r="AN39" s="106"/>
      <c r="AO39" s="106"/>
      <c r="AP39" s="106"/>
    </row>
    <row r="40" spans="2:42" s="197" customFormat="1" ht="15.75" customHeight="1" thickTop="1">
      <c r="B40" s="451" t="s">
        <v>5243</v>
      </c>
      <c r="C40" s="277" t="s">
        <v>4215</v>
      </c>
      <c r="D40" s="277">
        <v>3</v>
      </c>
      <c r="E40" s="694">
        <v>0</v>
      </c>
      <c r="F40" s="694">
        <v>0</v>
      </c>
      <c r="G40" s="694">
        <v>0</v>
      </c>
      <c r="H40" s="694">
        <v>1.9E-2</v>
      </c>
      <c r="I40" s="694">
        <v>0</v>
      </c>
      <c r="J40" s="694">
        <v>0</v>
      </c>
      <c r="K40" s="1596">
        <f>IFERROR(SUM(E40:J40), 0)</f>
        <v>1.9E-2</v>
      </c>
      <c r="L40" s="106"/>
      <c r="M40" s="106"/>
      <c r="O40" s="281" t="s">
        <v>14698</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5243</v>
      </c>
      <c r="AG40" s="904" t="s">
        <v>14699</v>
      </c>
      <c r="AH40" s="904" t="s">
        <v>14700</v>
      </c>
      <c r="AI40" s="904" t="s">
        <v>14701</v>
      </c>
      <c r="AJ40" s="904" t="s">
        <v>14702</v>
      </c>
      <c r="AK40" s="904" t="s">
        <v>14703</v>
      </c>
      <c r="AL40" s="904" t="s">
        <v>14704</v>
      </c>
      <c r="AM40" s="416" t="s">
        <v>14705</v>
      </c>
      <c r="AN40" s="106"/>
      <c r="AO40" s="106"/>
    </row>
    <row r="41" spans="2:42" s="197" customFormat="1" ht="15.75" customHeight="1">
      <c r="B41" s="460" t="s">
        <v>5251</v>
      </c>
      <c r="C41" s="286" t="s">
        <v>4215</v>
      </c>
      <c r="D41" s="286">
        <v>3</v>
      </c>
      <c r="E41" s="697">
        <v>0</v>
      </c>
      <c r="F41" s="697">
        <v>0</v>
      </c>
      <c r="G41" s="697">
        <v>0</v>
      </c>
      <c r="H41" s="697">
        <v>0</v>
      </c>
      <c r="I41" s="697">
        <v>0</v>
      </c>
      <c r="J41" s="697">
        <v>0</v>
      </c>
      <c r="K41" s="1598">
        <f>IFERROR(SUM(E41:J41), 0)</f>
        <v>0</v>
      </c>
      <c r="L41" s="106"/>
      <c r="M41" s="106"/>
      <c r="O41" s="290" t="s">
        <v>14706</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5251</v>
      </c>
      <c r="AG41" s="905" t="s">
        <v>14707</v>
      </c>
      <c r="AH41" s="905" t="s">
        <v>14708</v>
      </c>
      <c r="AI41" s="905" t="s">
        <v>14709</v>
      </c>
      <c r="AJ41" s="905" t="s">
        <v>14710</v>
      </c>
      <c r="AK41" s="905" t="s">
        <v>14711</v>
      </c>
      <c r="AL41" s="905" t="s">
        <v>14712</v>
      </c>
      <c r="AM41" s="893" t="s">
        <v>14713</v>
      </c>
      <c r="AN41" s="106"/>
      <c r="AO41" s="106"/>
    </row>
    <row r="42" spans="2:42" s="197" customFormat="1" ht="15.75" customHeight="1">
      <c r="B42" s="460" t="s">
        <v>14548</v>
      </c>
      <c r="C42" s="286" t="s">
        <v>4215</v>
      </c>
      <c r="D42" s="286">
        <v>3</v>
      </c>
      <c r="E42" s="697">
        <v>0</v>
      </c>
      <c r="F42" s="697">
        <v>0</v>
      </c>
      <c r="G42" s="697">
        <v>0</v>
      </c>
      <c r="H42" s="697">
        <v>0</v>
      </c>
      <c r="I42" s="697">
        <v>0</v>
      </c>
      <c r="J42" s="697">
        <v>0</v>
      </c>
      <c r="K42" s="1598">
        <f>IFERROR(SUM(E42:J42), 0)</f>
        <v>0</v>
      </c>
      <c r="L42" s="106"/>
      <c r="M42" s="106"/>
      <c r="O42" s="290" t="s">
        <v>14714</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14548</v>
      </c>
      <c r="AG42" s="905" t="s">
        <v>14715</v>
      </c>
      <c r="AH42" s="905" t="s">
        <v>14716</v>
      </c>
      <c r="AI42" s="905" t="s">
        <v>14717</v>
      </c>
      <c r="AJ42" s="905" t="s">
        <v>14718</v>
      </c>
      <c r="AK42" s="905" t="s">
        <v>14719</v>
      </c>
      <c r="AL42" s="905" t="s">
        <v>14720</v>
      </c>
      <c r="AM42" s="893" t="s">
        <v>14721</v>
      </c>
      <c r="AN42" s="106"/>
      <c r="AO42" s="106"/>
    </row>
    <row r="43" spans="2:42" s="197" customFormat="1" ht="15.75" customHeight="1" thickBot="1">
      <c r="B43" s="463" t="s">
        <v>9052</v>
      </c>
      <c r="C43" s="355" t="s">
        <v>4215</v>
      </c>
      <c r="D43" s="355">
        <v>3</v>
      </c>
      <c r="E43" s="1640">
        <v>0</v>
      </c>
      <c r="F43" s="1640">
        <v>0</v>
      </c>
      <c r="G43" s="1640">
        <v>0</v>
      </c>
      <c r="H43" s="1640">
        <v>0</v>
      </c>
      <c r="I43" s="1640">
        <v>0</v>
      </c>
      <c r="J43" s="1640">
        <v>0</v>
      </c>
      <c r="K43" s="1599">
        <f>IFERROR(SUM(E43:J43), 0)</f>
        <v>0</v>
      </c>
      <c r="L43" s="106"/>
      <c r="M43" s="106"/>
      <c r="O43" s="356" t="s">
        <v>14722</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9052</v>
      </c>
      <c r="AG43" s="1042" t="s">
        <v>14723</v>
      </c>
      <c r="AH43" s="1042" t="s">
        <v>14724</v>
      </c>
      <c r="AI43" s="1042" t="s">
        <v>14725</v>
      </c>
      <c r="AJ43" s="1042" t="s">
        <v>14726</v>
      </c>
      <c r="AK43" s="1042" t="s">
        <v>14727</v>
      </c>
      <c r="AL43" s="1042" t="s">
        <v>14728</v>
      </c>
      <c r="AM43" s="417" t="s">
        <v>14729</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v>0</v>
      </c>
      <c r="F46" s="694">
        <v>0</v>
      </c>
      <c r="G46" s="694">
        <v>0</v>
      </c>
      <c r="H46" s="694">
        <v>0</v>
      </c>
      <c r="I46" s="694">
        <v>0</v>
      </c>
      <c r="J46" s="694">
        <v>0</v>
      </c>
      <c r="K46" s="1596">
        <f t="shared" ref="K46:K51" si="39">IFERROR(SUM(E46:J46), 0)</f>
        <v>0</v>
      </c>
      <c r="L46" s="349"/>
      <c r="M46" s="349"/>
      <c r="O46" s="281" t="s">
        <v>14730</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5276</v>
      </c>
      <c r="AG46" s="904" t="s">
        <v>14731</v>
      </c>
      <c r="AH46" s="904" t="s">
        <v>14732</v>
      </c>
      <c r="AI46" s="904" t="s">
        <v>14733</v>
      </c>
      <c r="AJ46" s="904" t="s">
        <v>14734</v>
      </c>
      <c r="AK46" s="904" t="s">
        <v>14735</v>
      </c>
      <c r="AL46" s="904" t="s">
        <v>14736</v>
      </c>
      <c r="AM46" s="416" t="s">
        <v>14737</v>
      </c>
      <c r="AN46" s="349"/>
      <c r="AO46" s="349"/>
      <c r="AP46" s="349"/>
    </row>
    <row r="47" spans="2:42" s="197" customFormat="1" ht="15.75" customHeight="1">
      <c r="B47" s="460" t="s">
        <v>5284</v>
      </c>
      <c r="C47" s="286" t="s">
        <v>4215</v>
      </c>
      <c r="D47" s="286">
        <v>3</v>
      </c>
      <c r="E47" s="697">
        <v>0</v>
      </c>
      <c r="F47" s="697">
        <v>0</v>
      </c>
      <c r="G47" s="697">
        <v>0</v>
      </c>
      <c r="H47" s="697">
        <v>0</v>
      </c>
      <c r="I47" s="697">
        <v>0</v>
      </c>
      <c r="J47" s="697">
        <v>0</v>
      </c>
      <c r="K47" s="1598">
        <f t="shared" si="39"/>
        <v>0</v>
      </c>
      <c r="L47" s="349"/>
      <c r="M47" s="349"/>
      <c r="O47" s="290" t="s">
        <v>14738</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5284</v>
      </c>
      <c r="AG47" s="905" t="s">
        <v>14739</v>
      </c>
      <c r="AH47" s="905" t="s">
        <v>14740</v>
      </c>
      <c r="AI47" s="905" t="s">
        <v>14741</v>
      </c>
      <c r="AJ47" s="905" t="s">
        <v>14742</v>
      </c>
      <c r="AK47" s="905" t="s">
        <v>14743</v>
      </c>
      <c r="AL47" s="905" t="s">
        <v>14744</v>
      </c>
      <c r="AM47" s="893" t="s">
        <v>14745</v>
      </c>
      <c r="AN47" s="349"/>
      <c r="AO47" s="349"/>
      <c r="AP47" s="349"/>
    </row>
    <row r="48" spans="2:42" s="197" customFormat="1" ht="15.75" customHeight="1">
      <c r="B48" s="460" t="s">
        <v>12659</v>
      </c>
      <c r="C48" s="286" t="s">
        <v>4215</v>
      </c>
      <c r="D48" s="286">
        <v>3</v>
      </c>
      <c r="E48" s="697">
        <v>0</v>
      </c>
      <c r="F48" s="697">
        <v>0</v>
      </c>
      <c r="G48" s="697">
        <v>0</v>
      </c>
      <c r="H48" s="697">
        <v>5.14</v>
      </c>
      <c r="I48" s="697">
        <v>0</v>
      </c>
      <c r="J48" s="697">
        <v>0</v>
      </c>
      <c r="K48" s="1598">
        <f t="shared" si="39"/>
        <v>5.14</v>
      </c>
      <c r="L48" s="349"/>
      <c r="M48" s="349"/>
      <c r="O48" s="290" t="s">
        <v>14746</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14570</v>
      </c>
      <c r="AG48" s="905" t="s">
        <v>14747</v>
      </c>
      <c r="AH48" s="905" t="s">
        <v>14748</v>
      </c>
      <c r="AI48" s="905" t="s">
        <v>14749</v>
      </c>
      <c r="AJ48" s="905" t="s">
        <v>14750</v>
      </c>
      <c r="AK48" s="905" t="s">
        <v>14751</v>
      </c>
      <c r="AL48" s="905" t="s">
        <v>14752</v>
      </c>
      <c r="AM48" s="893" t="s">
        <v>14753</v>
      </c>
      <c r="AN48" s="349"/>
      <c r="AO48" s="349"/>
      <c r="AP48" s="349"/>
    </row>
    <row r="49" spans="1:42" s="197" customFormat="1" ht="15.75" customHeight="1">
      <c r="B49" s="460" t="s">
        <v>14575</v>
      </c>
      <c r="C49" s="286" t="s">
        <v>4215</v>
      </c>
      <c r="D49" s="286">
        <v>3</v>
      </c>
      <c r="E49" s="1597">
        <f>IFERROR(SUM(E40:E43,E46:E48), 0)</f>
        <v>0</v>
      </c>
      <c r="F49" s="1597">
        <f>IFERROR(SUM(F40:F43,F46:F48), 0)</f>
        <v>0</v>
      </c>
      <c r="G49" s="1597">
        <f>IFERROR(SUM(G40:G43,G46:G48), 0)</f>
        <v>0</v>
      </c>
      <c r="H49" s="1597">
        <f>IFERROR(SUM(H40:H43,H46:H48), 0)</f>
        <v>5.1589999999999998</v>
      </c>
      <c r="I49" s="1597">
        <f t="shared" ref="I49" si="47">IFERROR(SUM(I40:I43,I46:I48), 0)</f>
        <v>0</v>
      </c>
      <c r="J49" s="1597">
        <f>IFERROR(SUM(J40:J43,J46:J48), 0)</f>
        <v>0</v>
      </c>
      <c r="K49" s="1598">
        <f t="shared" si="39"/>
        <v>5.1589999999999998</v>
      </c>
      <c r="L49" s="349"/>
      <c r="M49" s="349"/>
      <c r="O49" s="290" t="s">
        <v>14754</v>
      </c>
      <c r="P49" s="1023"/>
      <c r="Q49" s="291"/>
      <c r="S49" s="238"/>
      <c r="T49" s="1232"/>
      <c r="U49" s="238"/>
      <c r="V49" s="224"/>
      <c r="W49" s="224"/>
      <c r="X49" s="224"/>
      <c r="Y49" s="224"/>
      <c r="Z49" s="224"/>
      <c r="AA49" s="224"/>
      <c r="AB49" s="224"/>
      <c r="AC49" s="224"/>
      <c r="AD49" s="238"/>
      <c r="AE49" s="219"/>
      <c r="AF49" s="460" t="s">
        <v>14575</v>
      </c>
      <c r="AG49" s="677" t="s">
        <v>14755</v>
      </c>
      <c r="AH49" s="677" t="s">
        <v>14756</v>
      </c>
      <c r="AI49" s="677" t="s">
        <v>14757</v>
      </c>
      <c r="AJ49" s="677" t="s">
        <v>14758</v>
      </c>
      <c r="AK49" s="677" t="s">
        <v>14759</v>
      </c>
      <c r="AL49" s="677" t="s">
        <v>14760</v>
      </c>
      <c r="AM49" s="893" t="s">
        <v>14761</v>
      </c>
      <c r="AN49" s="349"/>
      <c r="AO49" s="349"/>
      <c r="AP49" s="349"/>
    </row>
    <row r="50" spans="1:42" s="197" customFormat="1" ht="15.75" customHeight="1">
      <c r="B50" s="460" t="s">
        <v>5301</v>
      </c>
      <c r="C50" s="286" t="s">
        <v>4215</v>
      </c>
      <c r="D50" s="286">
        <v>3</v>
      </c>
      <c r="E50" s="697">
        <v>0</v>
      </c>
      <c r="F50" s="697">
        <v>0</v>
      </c>
      <c r="G50" s="697">
        <v>0</v>
      </c>
      <c r="H50" s="697">
        <v>5.0000000000000001E-3</v>
      </c>
      <c r="I50" s="697">
        <v>0</v>
      </c>
      <c r="J50" s="697">
        <v>0</v>
      </c>
      <c r="K50" s="1598">
        <f t="shared" si="39"/>
        <v>5.0000000000000001E-3</v>
      </c>
      <c r="L50" s="349"/>
      <c r="M50" s="349"/>
      <c r="O50" s="290" t="s">
        <v>14762</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5301</v>
      </c>
      <c r="AG50" s="905" t="s">
        <v>14763</v>
      </c>
      <c r="AH50" s="905" t="s">
        <v>14764</v>
      </c>
      <c r="AI50" s="905" t="s">
        <v>14765</v>
      </c>
      <c r="AJ50" s="905" t="s">
        <v>14766</v>
      </c>
      <c r="AK50" s="905" t="s">
        <v>14767</v>
      </c>
      <c r="AL50" s="905" t="s">
        <v>14768</v>
      </c>
      <c r="AM50" s="893" t="s">
        <v>14769</v>
      </c>
      <c r="AN50" s="349"/>
      <c r="AO50" s="349"/>
      <c r="AP50" s="349"/>
    </row>
    <row r="51" spans="1:42" s="197" customFormat="1" ht="15.75" customHeight="1" thickBot="1">
      <c r="B51" s="463" t="s">
        <v>12679</v>
      </c>
      <c r="C51" s="355" t="s">
        <v>4215</v>
      </c>
      <c r="D51" s="355">
        <v>3</v>
      </c>
      <c r="E51" s="1589">
        <f>IFERROR(E49 + E50, 0)</f>
        <v>0</v>
      </c>
      <c r="F51" s="1589">
        <f t="shared" ref="F51:I51" si="54">IFERROR(F49 + F50, 0)</f>
        <v>0</v>
      </c>
      <c r="G51" s="1589">
        <f t="shared" si="54"/>
        <v>0</v>
      </c>
      <c r="H51" s="1589">
        <f t="shared" si="54"/>
        <v>5.1639999999999997</v>
      </c>
      <c r="I51" s="1589">
        <f t="shared" si="54"/>
        <v>0</v>
      </c>
      <c r="J51" s="1589">
        <f>IFERROR(J49 + J50, 0)</f>
        <v>0</v>
      </c>
      <c r="K51" s="1599">
        <f t="shared" si="39"/>
        <v>5.1639999999999997</v>
      </c>
      <c r="L51" s="349"/>
      <c r="M51" s="349"/>
      <c r="O51" s="356" t="s">
        <v>14770</v>
      </c>
      <c r="P51" s="1023"/>
      <c r="Q51" s="302"/>
      <c r="S51" s="238"/>
      <c r="T51" s="1232"/>
      <c r="U51" s="238"/>
      <c r="V51" s="224"/>
      <c r="W51" s="224"/>
      <c r="X51" s="224"/>
      <c r="Y51" s="224"/>
      <c r="Z51" s="224"/>
      <c r="AA51" s="224"/>
      <c r="AB51" s="224"/>
      <c r="AC51" s="224"/>
      <c r="AD51" s="238"/>
      <c r="AE51" s="219"/>
      <c r="AF51" s="463" t="s">
        <v>12679</v>
      </c>
      <c r="AG51" s="679" t="s">
        <v>14771</v>
      </c>
      <c r="AH51" s="679" t="s">
        <v>14772</v>
      </c>
      <c r="AI51" s="679" t="s">
        <v>14773</v>
      </c>
      <c r="AJ51" s="679" t="s">
        <v>14774</v>
      </c>
      <c r="AK51" s="679" t="s">
        <v>14775</v>
      </c>
      <c r="AL51" s="679" t="s">
        <v>14776</v>
      </c>
      <c r="AM51" s="417" t="s">
        <v>14777</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13" zoomScale="70" zoomScaleNormal="70" zoomScaleSheetLayoutView="90" workbookViewId="0">
      <selection activeCell="J48" sqref="J48"/>
    </sheetView>
  </sheetViews>
  <sheetFormatPr defaultColWidth="9" defaultRowHeight="15.6"/>
  <cols>
    <col min="1" max="1" width="1.59765625" style="705" customWidth="1"/>
    <col min="2" max="2" width="63.69921875" style="705" customWidth="1"/>
    <col min="3" max="4" width="19.69921875" style="1312" bestFit="1" customWidth="1"/>
    <col min="5" max="12" width="12.5" style="705" customWidth="1"/>
    <col min="13" max="13" width="1.59765625" style="1412" customWidth="1"/>
    <col min="14" max="14" width="12.5" style="1412" customWidth="1"/>
    <col min="15" max="15" width="1.59765625" style="1404" customWidth="1"/>
    <col min="16" max="16" width="33.59765625" style="1404" customWidth="1"/>
    <col min="17" max="17" width="1.59765625" style="1404" customWidth="1"/>
    <col min="18" max="18" width="1.59765625" style="219" customWidth="1"/>
    <col min="19" max="19" width="21.09765625" style="705" customWidth="1"/>
    <col min="20" max="20" width="1.59765625" style="219" customWidth="1"/>
    <col min="21" max="28" width="9" style="705" hidden="1" customWidth="1"/>
    <col min="29" max="29" width="1.59765625" style="219" hidden="1" customWidth="1"/>
    <col min="30" max="30" width="1.59765625" style="219" customWidth="1"/>
    <col min="31" max="31" width="36.09765625" style="219" customWidth="1"/>
    <col min="32" max="38" width="16.59765625" style="219" customWidth="1"/>
    <col min="39" max="39" width="16.59765625" style="705" customWidth="1"/>
    <col min="40" max="40" width="1.59765625" style="705" customWidth="1"/>
    <col min="41" max="16384" width="9" style="705"/>
  </cols>
  <sheetData>
    <row r="1" spans="1:39" s="1366" customFormat="1" ht="30" customHeight="1">
      <c r="B1" s="1229" t="s">
        <v>14778</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Dŵr Cymru</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29" t="s">
        <v>14779</v>
      </c>
      <c r="C3" s="2829"/>
      <c r="D3" s="2829"/>
      <c r="E3" s="2829"/>
      <c r="F3" s="2829"/>
      <c r="G3" s="2829"/>
      <c r="H3" s="2829"/>
      <c r="I3" s="2829"/>
      <c r="J3" s="2829"/>
      <c r="K3" s="2829"/>
      <c r="L3" s="2829"/>
      <c r="M3" s="2829"/>
      <c r="N3" s="2829"/>
      <c r="O3" s="2829"/>
      <c r="P3" s="2829"/>
      <c r="Q3" s="1379"/>
      <c r="R3" s="238"/>
      <c r="S3" s="1240" t="s">
        <v>4200</v>
      </c>
      <c r="T3" s="238"/>
      <c r="AC3" s="238"/>
      <c r="AD3" s="270"/>
      <c r="AE3" s="2829" t="s">
        <v>14779</v>
      </c>
      <c r="AF3" s="2829"/>
      <c r="AG3" s="2829"/>
      <c r="AH3" s="2829"/>
      <c r="AI3" s="2829"/>
      <c r="AJ3" s="2829"/>
      <c r="AK3" s="2829"/>
      <c r="AL3" s="2829"/>
      <c r="AM3" s="2829"/>
    </row>
    <row r="4" spans="1:39" ht="15" customHeight="1" thickBot="1">
      <c r="B4" s="690"/>
      <c r="C4" s="690"/>
      <c r="D4" s="690"/>
      <c r="E4" s="690"/>
      <c r="F4" s="690"/>
      <c r="G4" s="690"/>
      <c r="H4" s="690"/>
      <c r="I4" s="690"/>
      <c r="J4" s="690"/>
      <c r="K4" s="690"/>
      <c r="L4" s="1380"/>
      <c r="M4" s="1381"/>
      <c r="N4" s="1381"/>
      <c r="O4" s="1379"/>
      <c r="P4" s="1379"/>
      <c r="Q4" s="1379"/>
      <c r="R4" s="238"/>
      <c r="T4" s="238"/>
      <c r="U4" s="2941" t="s">
        <v>4201</v>
      </c>
      <c r="V4" s="2941"/>
      <c r="W4" s="2941"/>
      <c r="X4" s="2941"/>
      <c r="Y4" s="2941"/>
      <c r="Z4" s="2941"/>
      <c r="AA4" s="2941"/>
      <c r="AB4" s="2941"/>
      <c r="AC4" s="238"/>
      <c r="AE4" s="690"/>
      <c r="AF4" s="690"/>
      <c r="AG4" s="690"/>
      <c r="AH4" s="690"/>
      <c r="AI4" s="690"/>
      <c r="AJ4" s="690"/>
      <c r="AK4" s="690"/>
      <c r="AL4" s="690"/>
      <c r="AM4" s="690"/>
    </row>
    <row r="5" spans="1:39" ht="30" customHeight="1" thickTop="1">
      <c r="A5" s="200"/>
      <c r="B5" s="2734" t="s">
        <v>4202</v>
      </c>
      <c r="C5" s="2715" t="s">
        <v>4203</v>
      </c>
      <c r="D5" s="2715" t="s">
        <v>4204</v>
      </c>
      <c r="E5" s="670" t="s">
        <v>14780</v>
      </c>
      <c r="F5" s="670" t="s">
        <v>14781</v>
      </c>
      <c r="G5" s="670" t="s">
        <v>14782</v>
      </c>
      <c r="H5" s="670" t="s">
        <v>4425</v>
      </c>
      <c r="I5" s="670" t="s">
        <v>14780</v>
      </c>
      <c r="J5" s="670" t="s">
        <v>14781</v>
      </c>
      <c r="K5" s="670" t="s">
        <v>14782</v>
      </c>
      <c r="L5" s="671" t="s">
        <v>4425</v>
      </c>
      <c r="M5" s="200"/>
      <c r="N5" s="2811" t="s">
        <v>4208</v>
      </c>
      <c r="O5" s="864"/>
      <c r="P5" s="2811" t="s">
        <v>4209</v>
      </c>
      <c r="Q5" s="864"/>
      <c r="R5" s="238"/>
      <c r="T5" s="238"/>
      <c r="U5" s="269" t="s">
        <v>4210</v>
      </c>
      <c r="AC5" s="238"/>
      <c r="AE5" s="2734" t="s">
        <v>4202</v>
      </c>
      <c r="AF5" s="670" t="s">
        <v>14780</v>
      </c>
      <c r="AG5" s="670" t="s">
        <v>14781</v>
      </c>
      <c r="AH5" s="670" t="s">
        <v>14782</v>
      </c>
      <c r="AI5" s="670" t="s">
        <v>4425</v>
      </c>
      <c r="AJ5" s="670" t="s">
        <v>14780</v>
      </c>
      <c r="AK5" s="670" t="s">
        <v>14781</v>
      </c>
      <c r="AL5" s="670" t="s">
        <v>14782</v>
      </c>
      <c r="AM5" s="671" t="s">
        <v>4425</v>
      </c>
    </row>
    <row r="6" spans="1:39" ht="30" customHeight="1" thickBot="1">
      <c r="A6" s="200"/>
      <c r="B6" s="2735"/>
      <c r="C6" s="2716"/>
      <c r="D6" s="2716"/>
      <c r="E6" s="271" t="s">
        <v>14783</v>
      </c>
      <c r="F6" s="271" t="s">
        <v>14783</v>
      </c>
      <c r="G6" s="271" t="s">
        <v>14783</v>
      </c>
      <c r="H6" s="271" t="s">
        <v>14783</v>
      </c>
      <c r="I6" s="271" t="s">
        <v>14784</v>
      </c>
      <c r="J6" s="271" t="s">
        <v>14784</v>
      </c>
      <c r="K6" s="271" t="s">
        <v>14784</v>
      </c>
      <c r="L6" s="672" t="s">
        <v>14784</v>
      </c>
      <c r="M6" s="200"/>
      <c r="N6" s="2813"/>
      <c r="O6" s="864"/>
      <c r="P6" s="2813"/>
      <c r="Q6" s="864"/>
      <c r="R6" s="238"/>
      <c r="T6" s="238"/>
      <c r="AC6" s="238"/>
      <c r="AE6" s="2735"/>
      <c r="AF6" s="271" t="s">
        <v>14783</v>
      </c>
      <c r="AG6" s="271" t="s">
        <v>14783</v>
      </c>
      <c r="AH6" s="271" t="s">
        <v>14783</v>
      </c>
      <c r="AI6" s="271" t="s">
        <v>14783</v>
      </c>
      <c r="AJ6" s="271" t="s">
        <v>14784</v>
      </c>
      <c r="AK6" s="271" t="s">
        <v>14784</v>
      </c>
      <c r="AL6" s="271" t="s">
        <v>14784</v>
      </c>
      <c r="AM6" s="672" t="s">
        <v>14784</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14785</v>
      </c>
      <c r="C8" s="242"/>
      <c r="D8" s="242"/>
      <c r="E8" s="482"/>
      <c r="F8" s="482"/>
      <c r="G8" s="482"/>
      <c r="H8" s="482"/>
      <c r="I8" s="482"/>
      <c r="J8" s="1151"/>
      <c r="K8" s="1151"/>
      <c r="L8" s="1151"/>
      <c r="M8" s="1382"/>
      <c r="N8" s="1383"/>
      <c r="O8" s="864"/>
      <c r="P8" s="864"/>
      <c r="Q8" s="864"/>
      <c r="R8" s="238"/>
      <c r="T8" s="238"/>
      <c r="AC8" s="238"/>
      <c r="AE8" s="393" t="s">
        <v>14785</v>
      </c>
      <c r="AF8" s="482"/>
      <c r="AG8" s="482"/>
      <c r="AH8" s="482"/>
      <c r="AI8" s="482"/>
      <c r="AJ8" s="482"/>
      <c r="AK8" s="1151"/>
      <c r="AL8" s="1151"/>
      <c r="AM8" s="1151"/>
    </row>
    <row r="9" spans="1:39" ht="15.75" customHeight="1" thickTop="1">
      <c r="A9" s="200"/>
      <c r="B9" s="451" t="s">
        <v>14786</v>
      </c>
      <c r="C9" s="277" t="s">
        <v>14787</v>
      </c>
      <c r="D9" s="277" t="s">
        <v>14787</v>
      </c>
      <c r="E9" s="1762"/>
      <c r="F9" s="1762"/>
      <c r="G9" s="1762"/>
      <c r="H9" s="2597">
        <v>96432</v>
      </c>
      <c r="I9" s="1767"/>
      <c r="J9" s="1767"/>
      <c r="K9" s="1767"/>
      <c r="L9" s="717">
        <v>12.204000000000001</v>
      </c>
      <c r="M9" s="1382"/>
      <c r="N9" s="281" t="s">
        <v>14788</v>
      </c>
      <c r="O9" s="864"/>
      <c r="P9" s="1390" t="s">
        <v>18597</v>
      </c>
      <c r="Q9" s="864"/>
      <c r="R9" s="238"/>
      <c r="S9" s="1232">
        <f>IF( SUM( U9:AB9 ) = 0, 0, $U$5 )</f>
        <v>0</v>
      </c>
      <c r="T9" s="238"/>
      <c r="AB9" s="285">
        <f xml:space="preserve"> IF( ISNUMBER(L9 ), 0, 1 )</f>
        <v>0</v>
      </c>
      <c r="AC9" s="238"/>
      <c r="AE9" s="451" t="s">
        <v>14786</v>
      </c>
      <c r="AF9" s="1384"/>
      <c r="AG9" s="1384"/>
      <c r="AH9" s="1384"/>
      <c r="AI9" s="717" t="s">
        <v>17719</v>
      </c>
      <c r="AJ9" s="1384"/>
      <c r="AK9" s="1384"/>
      <c r="AL9" s="1384"/>
      <c r="AM9" s="717" t="s">
        <v>14789</v>
      </c>
    </row>
    <row r="10" spans="1:39" ht="15.75" customHeight="1">
      <c r="A10" s="200"/>
      <c r="B10" s="460" t="s">
        <v>14790</v>
      </c>
      <c r="C10" s="286" t="s">
        <v>14787</v>
      </c>
      <c r="D10" s="286" t="s">
        <v>14787</v>
      </c>
      <c r="E10" s="1763">
        <v>9385</v>
      </c>
      <c r="F10" s="1763">
        <v>28596</v>
      </c>
      <c r="G10" s="1763">
        <v>0</v>
      </c>
      <c r="H10" s="1764">
        <f>IFERROR(SUM(E10:G10), 0)</f>
        <v>37981</v>
      </c>
      <c r="I10" s="287">
        <v>2.1240000000000001</v>
      </c>
      <c r="J10" s="287">
        <v>0</v>
      </c>
      <c r="K10" s="287">
        <v>0</v>
      </c>
      <c r="L10" s="1598">
        <f>IFERROR(SUM(I10:K10), 0)</f>
        <v>2.1240000000000001</v>
      </c>
      <c r="M10" s="1382"/>
      <c r="N10" s="290" t="s">
        <v>14791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14790</v>
      </c>
      <c r="AF10" s="1385" t="s">
        <v>14792</v>
      </c>
      <c r="AG10" s="1385" t="s">
        <v>14793</v>
      </c>
      <c r="AH10" s="1385" t="s">
        <v>14794</v>
      </c>
      <c r="AI10" s="1386" t="s">
        <v>14795</v>
      </c>
      <c r="AJ10" s="287" t="s">
        <v>14796</v>
      </c>
      <c r="AK10" s="287" t="s">
        <v>14797</v>
      </c>
      <c r="AL10" s="287" t="s">
        <v>14798</v>
      </c>
      <c r="AM10" s="893" t="s">
        <v>14799</v>
      </c>
    </row>
    <row r="11" spans="1:39" ht="15.75" customHeight="1">
      <c r="A11" s="200"/>
      <c r="B11" s="460" t="s">
        <v>14800</v>
      </c>
      <c r="C11" s="286" t="s">
        <v>14787</v>
      </c>
      <c r="D11" s="286" t="s">
        <v>14787</v>
      </c>
      <c r="E11" s="1763">
        <v>25192</v>
      </c>
      <c r="F11" s="1763">
        <v>0</v>
      </c>
      <c r="G11" s="1763">
        <v>0</v>
      </c>
      <c r="H11" s="1764">
        <f>IFERROR(SUM(E11:G11), 0)</f>
        <v>25192</v>
      </c>
      <c r="I11" s="287">
        <v>5.7009999999999996</v>
      </c>
      <c r="J11" s="287">
        <v>0</v>
      </c>
      <c r="K11" s="287">
        <v>0</v>
      </c>
      <c r="L11" s="1598">
        <f>IFERROR(SUM(I11:K11), 0)</f>
        <v>5.7009999999999996</v>
      </c>
      <c r="M11" s="1382"/>
      <c r="N11" s="290" t="s">
        <v>14801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14800</v>
      </c>
      <c r="AF11" s="1385" t="s">
        <v>14802</v>
      </c>
      <c r="AG11" s="1385" t="s">
        <v>14803</v>
      </c>
      <c r="AH11" s="1385" t="s">
        <v>14804</v>
      </c>
      <c r="AI11" s="1386" t="s">
        <v>14805</v>
      </c>
      <c r="AJ11" s="287" t="s">
        <v>14806</v>
      </c>
      <c r="AK11" s="287" t="s">
        <v>14807</v>
      </c>
      <c r="AL11" s="287" t="s">
        <v>14808</v>
      </c>
      <c r="AM11" s="893" t="s">
        <v>14809</v>
      </c>
    </row>
    <row r="12" spans="1:39" ht="15.75" customHeight="1">
      <c r="A12" s="200"/>
      <c r="B12" s="460" t="s">
        <v>14810</v>
      </c>
      <c r="C12" s="286" t="s">
        <v>14787</v>
      </c>
      <c r="D12" s="286" t="s">
        <v>14787</v>
      </c>
      <c r="E12" s="1763">
        <v>1885</v>
      </c>
      <c r="F12" s="1763">
        <v>0</v>
      </c>
      <c r="G12" s="1763">
        <v>30660</v>
      </c>
      <c r="H12" s="1764">
        <f>IFERROR(SUM(E12:G12), 0)</f>
        <v>32545</v>
      </c>
      <c r="I12" s="287">
        <v>0.35199999999999998</v>
      </c>
      <c r="J12" s="287">
        <v>0</v>
      </c>
      <c r="K12" s="287">
        <v>1.964</v>
      </c>
      <c r="L12" s="1598">
        <f>IFERROR(SUM(I12:K12), 0)</f>
        <v>2.3159999999999998</v>
      </c>
      <c r="M12" s="1382"/>
      <c r="N12" s="290" t="s">
        <v>14811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14810</v>
      </c>
      <c r="AF12" s="1385" t="s">
        <v>14812</v>
      </c>
      <c r="AG12" s="1385" t="s">
        <v>14813</v>
      </c>
      <c r="AH12" s="1385" t="s">
        <v>14814</v>
      </c>
      <c r="AI12" s="1386" t="s">
        <v>14815</v>
      </c>
      <c r="AJ12" s="287" t="s">
        <v>14816</v>
      </c>
      <c r="AK12" s="287" t="s">
        <v>14817</v>
      </c>
      <c r="AL12" s="287" t="s">
        <v>14818</v>
      </c>
      <c r="AM12" s="893" t="s">
        <v>14819</v>
      </c>
    </row>
    <row r="13" spans="1:39" ht="15.75" customHeight="1">
      <c r="A13" s="200"/>
      <c r="B13" s="460" t="s">
        <v>14820</v>
      </c>
      <c r="C13" s="286" t="s">
        <v>14787</v>
      </c>
      <c r="D13" s="286" t="s">
        <v>14787</v>
      </c>
      <c r="E13" s="1763">
        <v>0</v>
      </c>
      <c r="F13" s="1763">
        <v>43435</v>
      </c>
      <c r="G13" s="1763">
        <v>0</v>
      </c>
      <c r="H13" s="1764">
        <f>IFERROR(SUM(E13:G13), 0)</f>
        <v>43435</v>
      </c>
      <c r="I13" s="2114"/>
      <c r="J13" s="2115"/>
      <c r="K13" s="2115"/>
      <c r="L13" s="1768"/>
      <c r="M13" s="1382"/>
      <c r="N13" s="290" t="s">
        <v>14821</v>
      </c>
      <c r="O13" s="864"/>
      <c r="P13" s="1390" t="s">
        <v>18598</v>
      </c>
      <c r="Q13" s="864"/>
      <c r="R13" s="238"/>
      <c r="S13" s="1232">
        <f t="shared" si="0"/>
        <v>0</v>
      </c>
      <c r="T13" s="238"/>
      <c r="U13" s="285">
        <f t="shared" si="5"/>
        <v>0</v>
      </c>
      <c r="V13" s="285">
        <f t="shared" si="6"/>
        <v>0</v>
      </c>
      <c r="W13" s="285">
        <f t="shared" si="7"/>
        <v>0</v>
      </c>
      <c r="AC13" s="238"/>
      <c r="AE13" s="460" t="s">
        <v>14820</v>
      </c>
      <c r="AF13" s="1385" t="s">
        <v>14822</v>
      </c>
      <c r="AG13" s="1385" t="s">
        <v>14823</v>
      </c>
      <c r="AH13" s="1385" t="s">
        <v>14824</v>
      </c>
      <c r="AI13" s="1386" t="s">
        <v>14825</v>
      </c>
      <c r="AJ13" s="1387"/>
      <c r="AK13" s="1388"/>
      <c r="AL13" s="1388"/>
      <c r="AM13" s="1389"/>
    </row>
    <row r="14" spans="1:39" ht="15.75" customHeight="1" thickBot="1">
      <c r="A14" s="200"/>
      <c r="B14" s="463" t="s">
        <v>14826</v>
      </c>
      <c r="C14" s="355" t="s">
        <v>14787</v>
      </c>
      <c r="D14" s="355" t="s">
        <v>14787</v>
      </c>
      <c r="E14" s="1765">
        <v>24885</v>
      </c>
      <c r="F14" s="1765">
        <v>52235</v>
      </c>
      <c r="G14" s="1765">
        <v>0</v>
      </c>
      <c r="H14" s="1766">
        <f>IFERROR(SUM(E14:G14), 0)</f>
        <v>77120</v>
      </c>
      <c r="I14" s="297">
        <v>5.6310000000000002</v>
      </c>
      <c r="J14" s="297">
        <v>1.9119999999999999</v>
      </c>
      <c r="K14" s="297">
        <v>0</v>
      </c>
      <c r="L14" s="1599">
        <f>IFERROR(SUM(I14:K14), 0)</f>
        <v>7.5430000000000001</v>
      </c>
      <c r="M14" s="1382"/>
      <c r="N14" s="356" t="s">
        <v>14827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14826</v>
      </c>
      <c r="AF14" s="1391" t="s">
        <v>14828</v>
      </c>
      <c r="AG14" s="1391" t="s">
        <v>14829</v>
      </c>
      <c r="AH14" s="1391" t="s">
        <v>14830</v>
      </c>
      <c r="AI14" s="1392" t="s">
        <v>14831</v>
      </c>
      <c r="AJ14" s="297" t="s">
        <v>14832</v>
      </c>
      <c r="AK14" s="297" t="s">
        <v>14833</v>
      </c>
      <c r="AL14" s="297" t="s">
        <v>14834</v>
      </c>
      <c r="AM14" s="417" t="s">
        <v>14835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14836</v>
      </c>
      <c r="C16" s="1189" t="s">
        <v>630</v>
      </c>
      <c r="D16" s="1189" t="s">
        <v>4204</v>
      </c>
      <c r="E16" s="1393" t="s">
        <v>14837</v>
      </c>
      <c r="F16" s="83"/>
      <c r="G16" s="83"/>
      <c r="H16" s="83"/>
      <c r="I16" s="83"/>
      <c r="J16" s="83"/>
      <c r="K16" s="83"/>
      <c r="L16" s="1382"/>
      <c r="M16" s="282"/>
      <c r="N16" s="282"/>
      <c r="O16" s="864"/>
      <c r="P16" s="969"/>
      <c r="Q16" s="864"/>
      <c r="R16" s="238"/>
      <c r="T16" s="238"/>
      <c r="AC16" s="238"/>
      <c r="AE16" s="1188" t="s">
        <v>14836</v>
      </c>
      <c r="AF16" s="1393" t="s">
        <v>14837</v>
      </c>
      <c r="AG16" s="83"/>
      <c r="AH16" s="83"/>
      <c r="AI16" s="83"/>
      <c r="AJ16" s="83"/>
      <c r="AK16" s="83"/>
      <c r="AL16" s="83"/>
      <c r="AM16" s="1382"/>
    </row>
    <row r="17" spans="1:39" ht="15.75" customHeight="1" thickTop="1" thickBot="1">
      <c r="A17" s="200"/>
      <c r="B17" s="451" t="s">
        <v>14838</v>
      </c>
      <c r="C17" s="277" t="s">
        <v>4215</v>
      </c>
      <c r="D17" s="277">
        <v>3</v>
      </c>
      <c r="E17" s="717">
        <v>1.8520000000000001</v>
      </c>
      <c r="F17" s="83"/>
      <c r="G17" s="83"/>
      <c r="H17" s="83"/>
      <c r="I17" s="83"/>
      <c r="J17" s="83"/>
      <c r="K17" s="83"/>
      <c r="L17" s="1382"/>
      <c r="M17" s="282"/>
      <c r="N17" s="281" t="s">
        <v>14839</v>
      </c>
      <c r="O17" s="864"/>
      <c r="P17" s="283"/>
      <c r="Q17" s="864"/>
      <c r="R17" s="238"/>
      <c r="S17" s="1232">
        <f t="shared" ref="S17:S21" si="17">IF( SUM( U17:AB17 ) = 0, 0, $U$5 )</f>
        <v>0</v>
      </c>
      <c r="T17" s="238"/>
      <c r="U17" s="285">
        <f t="shared" ref="U17:U24" si="18" xml:space="preserve"> IF( ISNUMBER(E17 ), 0, 1 )</f>
        <v>0</v>
      </c>
      <c r="AC17" s="238"/>
      <c r="AE17" s="1394" t="s">
        <v>14838</v>
      </c>
      <c r="AF17" s="1395" t="s">
        <v>14840</v>
      </c>
      <c r="AG17" s="83"/>
      <c r="AH17" s="83"/>
      <c r="AI17" s="83"/>
      <c r="AJ17" s="83"/>
      <c r="AK17" s="83"/>
      <c r="AL17" s="83"/>
      <c r="AM17" s="1382"/>
    </row>
    <row r="18" spans="1:39" ht="15.75" customHeight="1" thickTop="1">
      <c r="A18" s="200"/>
      <c r="B18" s="460" t="s">
        <v>14841</v>
      </c>
      <c r="C18" s="286" t="s">
        <v>4215</v>
      </c>
      <c r="D18" s="286">
        <v>3</v>
      </c>
      <c r="E18" s="405">
        <v>3.137</v>
      </c>
      <c r="F18" s="83"/>
      <c r="G18" s="83"/>
      <c r="H18" s="83"/>
      <c r="I18" s="83"/>
      <c r="J18" s="83"/>
      <c r="K18" s="83"/>
      <c r="L18" s="1382"/>
      <c r="M18" s="282"/>
      <c r="N18" s="290" t="s">
        <v>14842</v>
      </c>
      <c r="O18" s="864"/>
      <c r="P18" s="291"/>
      <c r="Q18" s="864"/>
      <c r="R18" s="238"/>
      <c r="S18" s="1232">
        <f t="shared" si="17"/>
        <v>0</v>
      </c>
      <c r="T18" s="238"/>
      <c r="U18" s="285">
        <f t="shared" si="18"/>
        <v>0</v>
      </c>
      <c r="AC18" s="238"/>
      <c r="AE18" s="451" t="s">
        <v>14841</v>
      </c>
      <c r="AF18" s="717" t="s">
        <v>14843</v>
      </c>
      <c r="AG18" s="83"/>
      <c r="AH18" s="83"/>
      <c r="AI18" s="83"/>
      <c r="AJ18" s="83"/>
      <c r="AK18" s="83"/>
      <c r="AL18" s="83"/>
      <c r="AM18" s="1382"/>
    </row>
    <row r="19" spans="1:39" ht="15.75" customHeight="1">
      <c r="A19" s="200"/>
      <c r="B19" s="460" t="s">
        <v>14844</v>
      </c>
      <c r="C19" s="286" t="s">
        <v>4215</v>
      </c>
      <c r="D19" s="286">
        <v>3</v>
      </c>
      <c r="E19" s="405">
        <v>0</v>
      </c>
      <c r="F19" s="83"/>
      <c r="G19" s="83"/>
      <c r="H19" s="83"/>
      <c r="I19" s="83"/>
      <c r="J19" s="83"/>
      <c r="K19" s="83"/>
      <c r="L19" s="1382"/>
      <c r="M19" s="282"/>
      <c r="N19" s="290" t="s">
        <v>14845</v>
      </c>
      <c r="O19" s="864"/>
      <c r="P19" s="291"/>
      <c r="Q19" s="864"/>
      <c r="R19" s="238"/>
      <c r="S19" s="1232">
        <f t="shared" si="17"/>
        <v>0</v>
      </c>
      <c r="T19" s="238"/>
      <c r="U19" s="285">
        <f t="shared" si="18"/>
        <v>0</v>
      </c>
      <c r="AC19" s="238"/>
      <c r="AE19" s="460" t="s">
        <v>14844</v>
      </c>
      <c r="AF19" s="405" t="s">
        <v>14846</v>
      </c>
      <c r="AG19" s="83"/>
      <c r="AH19" s="83"/>
      <c r="AI19" s="83"/>
      <c r="AJ19" s="83"/>
      <c r="AK19" s="83"/>
      <c r="AL19" s="83"/>
      <c r="AM19" s="1382"/>
    </row>
    <row r="20" spans="1:39" ht="15.75" customHeight="1">
      <c r="A20" s="200"/>
      <c r="B20" s="460" t="s">
        <v>14847</v>
      </c>
      <c r="C20" s="286" t="s">
        <v>4215</v>
      </c>
      <c r="D20" s="286">
        <v>3</v>
      </c>
      <c r="E20" s="405">
        <v>0</v>
      </c>
      <c r="F20" s="83"/>
      <c r="G20" s="83"/>
      <c r="H20" s="83"/>
      <c r="I20" s="83"/>
      <c r="J20" s="83"/>
      <c r="K20" s="83"/>
      <c r="L20" s="1382"/>
      <c r="M20" s="282"/>
      <c r="N20" s="290" t="s">
        <v>14848</v>
      </c>
      <c r="O20" s="864"/>
      <c r="P20" s="291"/>
      <c r="Q20" s="864"/>
      <c r="R20" s="238"/>
      <c r="S20" s="1232">
        <f t="shared" si="17"/>
        <v>0</v>
      </c>
      <c r="T20" s="238"/>
      <c r="U20" s="285">
        <f t="shared" si="18"/>
        <v>0</v>
      </c>
      <c r="AC20" s="238"/>
      <c r="AE20" s="460" t="s">
        <v>14847</v>
      </c>
      <c r="AF20" s="405" t="s">
        <v>14849</v>
      </c>
      <c r="AG20" s="83"/>
      <c r="AH20" s="83"/>
      <c r="AI20" s="83"/>
      <c r="AJ20" s="83"/>
      <c r="AK20" s="83"/>
      <c r="AL20" s="83"/>
      <c r="AM20" s="1382"/>
    </row>
    <row r="21" spans="1:39" ht="15.75" customHeight="1">
      <c r="A21" s="200"/>
      <c r="B21" s="460" t="s">
        <v>14850</v>
      </c>
      <c r="C21" s="286" t="s">
        <v>4215</v>
      </c>
      <c r="D21" s="286">
        <v>3</v>
      </c>
      <c r="E21" s="405">
        <v>0</v>
      </c>
      <c r="F21" s="83"/>
      <c r="G21" s="83"/>
      <c r="H21" s="83"/>
      <c r="I21" s="83"/>
      <c r="J21" s="83"/>
      <c r="K21" s="83"/>
      <c r="L21" s="1382"/>
      <c r="M21" s="282"/>
      <c r="N21" s="290" t="s">
        <v>14851</v>
      </c>
      <c r="O21" s="864"/>
      <c r="P21" s="291"/>
      <c r="Q21" s="864"/>
      <c r="R21" s="238"/>
      <c r="S21" s="1232">
        <f t="shared" si="17"/>
        <v>0</v>
      </c>
      <c r="T21" s="238"/>
      <c r="U21" s="285">
        <f t="shared" si="18"/>
        <v>0</v>
      </c>
      <c r="AC21" s="238"/>
      <c r="AD21" s="270"/>
      <c r="AE21" s="460" t="s">
        <v>14850</v>
      </c>
      <c r="AF21" s="405" t="s">
        <v>14852</v>
      </c>
      <c r="AG21" s="83"/>
      <c r="AH21" s="83"/>
      <c r="AI21" s="83"/>
      <c r="AJ21" s="83"/>
      <c r="AK21" s="83"/>
      <c r="AL21" s="83"/>
      <c r="AM21" s="1382"/>
    </row>
    <row r="22" spans="1:39" ht="15.75" customHeight="1">
      <c r="A22" s="200"/>
      <c r="B22" s="460" t="s">
        <v>14853</v>
      </c>
      <c r="C22" s="286" t="s">
        <v>4215</v>
      </c>
      <c r="D22" s="286">
        <v>3</v>
      </c>
      <c r="E22" s="1598">
        <f>IFERROR(SUM(E17:E21), 0)</f>
        <v>4.9889999999999999</v>
      </c>
      <c r="F22" s="83"/>
      <c r="G22" s="83"/>
      <c r="H22" s="83"/>
      <c r="I22" s="83"/>
      <c r="J22" s="83"/>
      <c r="K22" s="83"/>
      <c r="L22" s="1382"/>
      <c r="M22" s="282"/>
      <c r="N22" s="290" t="s">
        <v>14854</v>
      </c>
      <c r="O22" s="864"/>
      <c r="P22" s="291"/>
      <c r="Q22" s="864"/>
      <c r="R22" s="238"/>
      <c r="T22" s="238"/>
      <c r="AC22" s="238"/>
      <c r="AD22" s="270"/>
      <c r="AE22" s="460" t="s">
        <v>14853</v>
      </c>
      <c r="AF22" s="893" t="s">
        <v>14855</v>
      </c>
      <c r="AG22" s="83"/>
      <c r="AH22" s="83"/>
      <c r="AI22" s="83"/>
      <c r="AJ22" s="83"/>
      <c r="AK22" s="83"/>
      <c r="AL22" s="83"/>
      <c r="AM22" s="1382"/>
    </row>
    <row r="23" spans="1:39" ht="32.25" customHeight="1">
      <c r="A23" s="200"/>
      <c r="B23" s="460" t="s">
        <v>14856</v>
      </c>
      <c r="C23" s="286" t="s">
        <v>4805</v>
      </c>
      <c r="D23" s="286">
        <v>0</v>
      </c>
      <c r="E23" s="1396">
        <v>0</v>
      </c>
      <c r="F23" s="83"/>
      <c r="G23" s="83"/>
      <c r="H23" s="83"/>
      <c r="I23" s="83"/>
      <c r="J23" s="83"/>
      <c r="K23" s="83"/>
      <c r="L23" s="1382"/>
      <c r="M23" s="282"/>
      <c r="N23" s="290" t="s">
        <v>14857</v>
      </c>
      <c r="O23" s="864"/>
      <c r="P23" s="291"/>
      <c r="Q23" s="864"/>
      <c r="R23" s="238"/>
      <c r="S23" s="1232">
        <f t="shared" ref="S23:S24" si="19">IF( SUM( U23:AB23 ) = 0, 0, $U$5 )</f>
        <v>0</v>
      </c>
      <c r="T23" s="238"/>
      <c r="U23" s="285">
        <f t="shared" si="18"/>
        <v>0</v>
      </c>
      <c r="AC23" s="238"/>
      <c r="AD23" s="270"/>
      <c r="AE23" s="460" t="s">
        <v>14856</v>
      </c>
      <c r="AF23" s="1396" t="s">
        <v>14858</v>
      </c>
      <c r="AG23" s="83"/>
      <c r="AH23" s="83"/>
      <c r="AI23" s="83"/>
      <c r="AJ23" s="83"/>
      <c r="AK23" s="83"/>
      <c r="AL23" s="83"/>
      <c r="AM23" s="1382"/>
    </row>
    <row r="24" spans="1:39" ht="32.25" customHeight="1" thickBot="1">
      <c r="A24" s="200"/>
      <c r="B24" s="463" t="s">
        <v>14859</v>
      </c>
      <c r="C24" s="355" t="s">
        <v>4215</v>
      </c>
      <c r="D24" s="355">
        <v>3</v>
      </c>
      <c r="E24" s="718">
        <v>0</v>
      </c>
      <c r="F24" s="83"/>
      <c r="G24" s="83"/>
      <c r="H24" s="83"/>
      <c r="I24" s="83"/>
      <c r="J24" s="83"/>
      <c r="K24" s="83"/>
      <c r="L24" s="1382"/>
      <c r="M24" s="282"/>
      <c r="N24" s="356" t="s">
        <v>14860</v>
      </c>
      <c r="O24" s="864"/>
      <c r="P24" s="302"/>
      <c r="Q24" s="864"/>
      <c r="R24" s="238"/>
      <c r="S24" s="1232">
        <f t="shared" si="19"/>
        <v>0</v>
      </c>
      <c r="T24" s="238"/>
      <c r="U24" s="285">
        <f t="shared" si="18"/>
        <v>0</v>
      </c>
      <c r="AC24" s="238"/>
      <c r="AD24" s="270"/>
      <c r="AE24" s="463" t="s">
        <v>14859</v>
      </c>
      <c r="AF24" s="718" t="s">
        <v>14861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14862</v>
      </c>
      <c r="C26" s="1398"/>
      <c r="D26" s="1398"/>
      <c r="E26" s="1399"/>
      <c r="F26" s="1399"/>
      <c r="G26" s="1399"/>
      <c r="H26" s="1399"/>
      <c r="I26" s="1399"/>
      <c r="J26" s="1399"/>
      <c r="K26" s="1399"/>
      <c r="L26" s="1382"/>
      <c r="M26" s="242"/>
      <c r="N26" s="242"/>
      <c r="O26" s="864"/>
      <c r="P26" s="969"/>
      <c r="Q26" s="864"/>
      <c r="R26" s="238"/>
      <c r="T26" s="238"/>
      <c r="AC26" s="238"/>
      <c r="AD26" s="270"/>
      <c r="AE26" s="1400" t="s">
        <v>14863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14864</v>
      </c>
      <c r="C28" s="1189" t="s">
        <v>630</v>
      </c>
      <c r="D28" s="1189" t="s">
        <v>4204</v>
      </c>
      <c r="E28" s="1393" t="s">
        <v>14837</v>
      </c>
      <c r="F28" s="482"/>
      <c r="G28" s="1399"/>
      <c r="H28" s="1151"/>
      <c r="I28" s="1151"/>
      <c r="J28" s="1151"/>
      <c r="K28" s="1151"/>
      <c r="L28" s="1382"/>
      <c r="M28" s="1401"/>
      <c r="N28" s="1401"/>
      <c r="O28" s="864"/>
      <c r="P28" s="969"/>
      <c r="Q28" s="864"/>
      <c r="R28" s="238"/>
      <c r="T28" s="238"/>
      <c r="AC28" s="238"/>
      <c r="AE28" s="1188" t="s">
        <v>14865</v>
      </c>
      <c r="AF28" s="1393" t="s">
        <v>14837</v>
      </c>
      <c r="AG28" s="482"/>
      <c r="AH28" s="1399"/>
      <c r="AI28" s="1151"/>
      <c r="AJ28" s="1151"/>
      <c r="AK28" s="1151"/>
      <c r="AL28" s="1151"/>
      <c r="AM28" s="1382"/>
    </row>
    <row r="29" spans="1:39" ht="32.25" customHeight="1" thickTop="1" thickBot="1">
      <c r="A29" s="200"/>
      <c r="B29" s="451" t="s">
        <v>14866</v>
      </c>
      <c r="C29" s="277" t="s">
        <v>14867</v>
      </c>
      <c r="D29" s="277">
        <v>0</v>
      </c>
      <c r="E29" s="1769">
        <v>9793</v>
      </c>
      <c r="F29" s="83"/>
      <c r="G29" s="1399"/>
      <c r="H29" s="1399"/>
      <c r="I29" s="1399"/>
      <c r="J29" s="1399"/>
      <c r="K29" s="1399"/>
      <c r="L29" s="1382"/>
      <c r="M29" s="174"/>
      <c r="N29" s="1040" t="s">
        <v>14868</v>
      </c>
      <c r="O29" s="864"/>
      <c r="P29" s="283"/>
      <c r="Q29" s="864"/>
      <c r="R29" s="238"/>
      <c r="S29" s="1232">
        <f t="shared" ref="S29:S31" si="20">IF( SUM( U29:AB29 ) = 0, 0, $U$5 )</f>
        <v>0</v>
      </c>
      <c r="T29" s="238"/>
      <c r="U29" s="285">
        <f t="shared" ref="U29:U31" si="21" xml:space="preserve"> IF( ISNUMBER(E29 ), 0, 1 )</f>
        <v>0</v>
      </c>
      <c r="AC29" s="238"/>
      <c r="AD29" s="270"/>
      <c r="AE29" s="1394" t="s">
        <v>14866</v>
      </c>
      <c r="AF29" s="1402" t="s">
        <v>14869</v>
      </c>
      <c r="AG29" s="83"/>
      <c r="AH29" s="1399"/>
      <c r="AI29" s="1399"/>
      <c r="AJ29" s="1399"/>
      <c r="AK29" s="1399"/>
      <c r="AL29" s="1399"/>
      <c r="AM29" s="1382"/>
    </row>
    <row r="30" spans="1:39" ht="32.25" customHeight="1" thickTop="1">
      <c r="A30" s="200"/>
      <c r="B30" s="460" t="s">
        <v>14870</v>
      </c>
      <c r="C30" s="286" t="s">
        <v>14871</v>
      </c>
      <c r="D30" s="286">
        <v>0</v>
      </c>
      <c r="E30" s="1770">
        <v>3494</v>
      </c>
      <c r="F30" s="83"/>
      <c r="G30" s="1399"/>
      <c r="H30" s="1399"/>
      <c r="I30" s="1399"/>
      <c r="J30" s="1399"/>
      <c r="K30" s="1399"/>
      <c r="L30" s="1382"/>
      <c r="M30" s="174"/>
      <c r="N30" s="1041" t="s">
        <v>14872</v>
      </c>
      <c r="O30" s="864"/>
      <c r="P30" s="291"/>
      <c r="Q30" s="864"/>
      <c r="R30" s="238"/>
      <c r="S30" s="1232">
        <f t="shared" si="20"/>
        <v>0</v>
      </c>
      <c r="T30" s="238"/>
      <c r="U30" s="285">
        <f t="shared" si="21"/>
        <v>0</v>
      </c>
      <c r="AC30" s="238"/>
      <c r="AD30" s="270"/>
      <c r="AE30" s="451" t="s">
        <v>14870</v>
      </c>
      <c r="AF30" s="1403" t="s">
        <v>14873</v>
      </c>
      <c r="AG30" s="83"/>
      <c r="AH30" s="1399"/>
      <c r="AI30" s="1399"/>
      <c r="AJ30" s="1399"/>
      <c r="AK30" s="1399"/>
      <c r="AL30" s="1399"/>
      <c r="AM30" s="1382"/>
    </row>
    <row r="31" spans="1:39" ht="32.25" customHeight="1" thickBot="1">
      <c r="A31" s="200"/>
      <c r="B31" s="463" t="s">
        <v>14874</v>
      </c>
      <c r="C31" s="355" t="s">
        <v>4215</v>
      </c>
      <c r="D31" s="355">
        <v>3</v>
      </c>
      <c r="E31" s="718">
        <v>6.6239999999999997</v>
      </c>
      <c r="F31" s="83"/>
      <c r="G31" s="1399"/>
      <c r="H31" s="1399"/>
      <c r="I31" s="1399"/>
      <c r="J31" s="1399"/>
      <c r="K31" s="1399"/>
      <c r="L31" s="1382"/>
      <c r="M31" s="174"/>
      <c r="N31" s="1043" t="s">
        <v>14875</v>
      </c>
      <c r="O31" s="864"/>
      <c r="P31" s="302"/>
      <c r="Q31" s="864"/>
      <c r="R31" s="238"/>
      <c r="S31" s="1232">
        <f t="shared" si="20"/>
        <v>0</v>
      </c>
      <c r="T31" s="238"/>
      <c r="U31" s="285">
        <f t="shared" si="21"/>
        <v>0</v>
      </c>
      <c r="AC31" s="238"/>
      <c r="AD31" s="270"/>
      <c r="AE31" s="463" t="s">
        <v>14874</v>
      </c>
      <c r="AF31" s="718" t="s">
        <v>14876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34"/>
      <c r="C33" s="2715" t="s">
        <v>4203</v>
      </c>
      <c r="D33" s="2715" t="s">
        <v>4204</v>
      </c>
      <c r="E33" s="670" t="s">
        <v>14780</v>
      </c>
      <c r="F33" s="670" t="s">
        <v>14781</v>
      </c>
      <c r="G33" s="670" t="s">
        <v>14782</v>
      </c>
      <c r="H33" s="670" t="s">
        <v>4425</v>
      </c>
      <c r="I33" s="670" t="s">
        <v>14780</v>
      </c>
      <c r="J33" s="670" t="s">
        <v>14781</v>
      </c>
      <c r="K33" s="670" t="s">
        <v>14782</v>
      </c>
      <c r="L33" s="671" t="s">
        <v>4425</v>
      </c>
      <c r="M33" s="715"/>
      <c r="N33" s="715"/>
      <c r="R33" s="238"/>
      <c r="T33" s="238"/>
      <c r="AC33" s="238"/>
      <c r="AE33" s="2734"/>
      <c r="AF33" s="670" t="s">
        <v>14780</v>
      </c>
      <c r="AG33" s="670" t="s">
        <v>14781</v>
      </c>
      <c r="AH33" s="670" t="s">
        <v>14782</v>
      </c>
      <c r="AI33" s="670" t="s">
        <v>4425</v>
      </c>
      <c r="AJ33" s="670" t="s">
        <v>14780</v>
      </c>
      <c r="AK33" s="670" t="s">
        <v>14781</v>
      </c>
      <c r="AL33" s="670" t="s">
        <v>14782</v>
      </c>
      <c r="AM33" s="671" t="s">
        <v>4425</v>
      </c>
    </row>
    <row r="34" spans="1:39" ht="30.6" thickBot="1">
      <c r="A34" s="200"/>
      <c r="B34" s="2735"/>
      <c r="C34" s="2716"/>
      <c r="D34" s="2716"/>
      <c r="E34" s="271" t="s">
        <v>14783</v>
      </c>
      <c r="F34" s="271" t="s">
        <v>14783</v>
      </c>
      <c r="G34" s="271" t="s">
        <v>14783</v>
      </c>
      <c r="H34" s="271" t="s">
        <v>14783</v>
      </c>
      <c r="I34" s="271" t="s">
        <v>14784</v>
      </c>
      <c r="J34" s="271" t="s">
        <v>14784</v>
      </c>
      <c r="K34" s="271" t="s">
        <v>14784</v>
      </c>
      <c r="L34" s="672" t="s">
        <v>14784</v>
      </c>
      <c r="M34" s="772"/>
      <c r="N34" s="772"/>
      <c r="R34" s="238"/>
      <c r="T34" s="238"/>
      <c r="AC34" s="238"/>
      <c r="AE34" s="2735"/>
      <c r="AF34" s="271" t="s">
        <v>14783</v>
      </c>
      <c r="AG34" s="271" t="s">
        <v>14783</v>
      </c>
      <c r="AH34" s="271" t="s">
        <v>14783</v>
      </c>
      <c r="AI34" s="271" t="s">
        <v>14783</v>
      </c>
      <c r="AJ34" s="271" t="s">
        <v>14784</v>
      </c>
      <c r="AK34" s="271" t="s">
        <v>14784</v>
      </c>
      <c r="AL34" s="271" t="s">
        <v>14784</v>
      </c>
      <c r="AM34" s="672" t="s">
        <v>14784</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14877</v>
      </c>
      <c r="C36" s="693"/>
      <c r="D36" s="693"/>
      <c r="E36" s="482"/>
      <c r="F36" s="482"/>
      <c r="G36" s="482"/>
      <c r="H36" s="482"/>
      <c r="I36" s="482"/>
      <c r="J36" s="1151"/>
      <c r="K36" s="1151"/>
      <c r="L36" s="1151"/>
      <c r="M36" s="772"/>
      <c r="N36" s="772"/>
      <c r="R36" s="238"/>
      <c r="T36" s="238"/>
      <c r="AC36" s="238"/>
      <c r="AD36" s="270"/>
      <c r="AE36" s="393" t="s">
        <v>14877</v>
      </c>
      <c r="AF36" s="482"/>
      <c r="AG36" s="482"/>
      <c r="AH36" s="482"/>
      <c r="AI36" s="482"/>
      <c r="AJ36" s="482"/>
      <c r="AK36" s="1151"/>
      <c r="AL36" s="1151"/>
      <c r="AM36" s="1151"/>
    </row>
    <row r="37" spans="1:39" ht="15.75" customHeight="1" thickTop="1">
      <c r="A37" s="200"/>
      <c r="B37" s="451" t="s">
        <v>14786</v>
      </c>
      <c r="C37" s="277" t="s">
        <v>14787</v>
      </c>
      <c r="D37" s="277" t="s">
        <v>14787</v>
      </c>
      <c r="E37" s="1762"/>
      <c r="F37" s="1762"/>
      <c r="G37" s="1762"/>
      <c r="H37" s="2597">
        <v>96432</v>
      </c>
      <c r="I37" s="1767"/>
      <c r="J37" s="1767"/>
      <c r="K37" s="1767"/>
      <c r="L37" s="695">
        <v>12.204000000000001</v>
      </c>
      <c r="M37" s="772"/>
      <c r="N37" s="281" t="s">
        <v>14878</v>
      </c>
      <c r="P37" s="1390" t="s">
        <v>18597</v>
      </c>
      <c r="R37" s="238"/>
      <c r="S37" s="1232">
        <f t="shared" ref="S37:S42" si="22">IF( SUM( U37:AB37 ) = 0, 0, $U$5 )</f>
        <v>0</v>
      </c>
      <c r="T37" s="238"/>
      <c r="AB37" s="285">
        <f t="shared" ref="AB37" si="23" xml:space="preserve"> IF( ISNUMBER(L37 ), 0, 1 )</f>
        <v>0</v>
      </c>
      <c r="AC37" s="238"/>
      <c r="AD37" s="270"/>
      <c r="AE37" s="451" t="s">
        <v>14786</v>
      </c>
      <c r="AF37" s="1406"/>
      <c r="AG37" s="1406"/>
      <c r="AH37" s="1406"/>
      <c r="AI37" s="1072" t="s">
        <v>17718</v>
      </c>
      <c r="AJ37" s="1406"/>
      <c r="AK37" s="1406"/>
      <c r="AL37" s="1406"/>
      <c r="AM37" s="1407" t="s">
        <v>14879</v>
      </c>
    </row>
    <row r="38" spans="1:39" ht="15.75" customHeight="1">
      <c r="A38" s="200"/>
      <c r="B38" s="460" t="s">
        <v>14790</v>
      </c>
      <c r="C38" s="286" t="s">
        <v>14787</v>
      </c>
      <c r="D38" s="286" t="s">
        <v>14787</v>
      </c>
      <c r="E38" s="1717">
        <v>16842</v>
      </c>
      <c r="F38" s="1717">
        <v>28596</v>
      </c>
      <c r="G38" s="1717">
        <v>0</v>
      </c>
      <c r="H38" s="1721">
        <f t="shared" ref="H38:H42" si="24">IFERROR(SUM(E38:G38), 0)</f>
        <v>45438</v>
      </c>
      <c r="I38" s="697">
        <v>3.8109999999999999</v>
      </c>
      <c r="J38" s="697">
        <v>0</v>
      </c>
      <c r="K38" s="697">
        <v>0</v>
      </c>
      <c r="L38" s="1598">
        <f t="shared" ref="L38:L40" si="25">IFERROR(SUM(I38:K38), 0)</f>
        <v>3.8109999999999999</v>
      </c>
      <c r="M38" s="772"/>
      <c r="N38" s="290" t="s">
        <v>14880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14790</v>
      </c>
      <c r="AF38" s="1072" t="s">
        <v>14881</v>
      </c>
      <c r="AG38" s="1072" t="s">
        <v>14882</v>
      </c>
      <c r="AH38" s="1072" t="s">
        <v>14883</v>
      </c>
      <c r="AI38" s="1155" t="s">
        <v>14884</v>
      </c>
      <c r="AJ38" s="1072" t="s">
        <v>14885</v>
      </c>
      <c r="AK38" s="1072" t="s">
        <v>14886</v>
      </c>
      <c r="AL38" s="1072" t="s">
        <v>14887</v>
      </c>
      <c r="AM38" s="1137" t="s">
        <v>14888</v>
      </c>
    </row>
    <row r="39" spans="1:39" ht="15.75" customHeight="1">
      <c r="A39" s="200"/>
      <c r="B39" s="460" t="s">
        <v>14800</v>
      </c>
      <c r="C39" s="286" t="s">
        <v>14787</v>
      </c>
      <c r="D39" s="286" t="s">
        <v>14787</v>
      </c>
      <c r="E39" s="1717">
        <v>17723</v>
      </c>
      <c r="F39" s="1717">
        <v>0</v>
      </c>
      <c r="G39" s="1717">
        <v>0</v>
      </c>
      <c r="H39" s="1721">
        <f t="shared" si="24"/>
        <v>17723</v>
      </c>
      <c r="I39" s="697">
        <v>4.01</v>
      </c>
      <c r="J39" s="697">
        <v>0</v>
      </c>
      <c r="K39" s="697">
        <v>0</v>
      </c>
      <c r="L39" s="1598">
        <f t="shared" si="25"/>
        <v>4.01</v>
      </c>
      <c r="M39" s="772"/>
      <c r="N39" s="290" t="s">
        <v>14889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14800</v>
      </c>
      <c r="AF39" s="1072" t="s">
        <v>14890</v>
      </c>
      <c r="AG39" s="1072" t="s">
        <v>14891</v>
      </c>
      <c r="AH39" s="1072" t="s">
        <v>14892</v>
      </c>
      <c r="AI39" s="1155" t="s">
        <v>14893</v>
      </c>
      <c r="AJ39" s="1072" t="s">
        <v>14894</v>
      </c>
      <c r="AK39" s="1072" t="s">
        <v>14895</v>
      </c>
      <c r="AL39" s="1072" t="s">
        <v>14896</v>
      </c>
      <c r="AM39" s="1137" t="s">
        <v>14897</v>
      </c>
    </row>
    <row r="40" spans="1:39" ht="15.75" customHeight="1">
      <c r="A40" s="200"/>
      <c r="B40" s="460" t="s">
        <v>14810</v>
      </c>
      <c r="C40" s="286" t="s">
        <v>14787</v>
      </c>
      <c r="D40" s="286" t="s">
        <v>14787</v>
      </c>
      <c r="E40" s="1717">
        <v>1897</v>
      </c>
      <c r="F40" s="1717">
        <v>0</v>
      </c>
      <c r="G40" s="1717">
        <v>30660</v>
      </c>
      <c r="H40" s="1721">
        <f t="shared" si="24"/>
        <v>32557</v>
      </c>
      <c r="I40" s="697">
        <v>0.35399999999999998</v>
      </c>
      <c r="J40" s="697">
        <v>0</v>
      </c>
      <c r="K40" s="697">
        <v>1.964</v>
      </c>
      <c r="L40" s="1598">
        <f t="shared" si="25"/>
        <v>2.3180000000000001</v>
      </c>
      <c r="M40" s="772"/>
      <c r="N40" s="290" t="s">
        <v>14898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14810</v>
      </c>
      <c r="AF40" s="1072" t="s">
        <v>14899</v>
      </c>
      <c r="AG40" s="1072" t="s">
        <v>14900</v>
      </c>
      <c r="AH40" s="1072" t="s">
        <v>14901</v>
      </c>
      <c r="AI40" s="1155" t="s">
        <v>14902</v>
      </c>
      <c r="AJ40" s="1072" t="s">
        <v>14903</v>
      </c>
      <c r="AK40" s="1072" t="s">
        <v>14904</v>
      </c>
      <c r="AL40" s="1072" t="s">
        <v>14905</v>
      </c>
      <c r="AM40" s="1137" t="s">
        <v>14906</v>
      </c>
    </row>
    <row r="41" spans="1:39" ht="15.75" customHeight="1">
      <c r="A41" s="200"/>
      <c r="B41" s="460" t="s">
        <v>14820</v>
      </c>
      <c r="C41" s="286" t="s">
        <v>14787</v>
      </c>
      <c r="D41" s="286" t="s">
        <v>14787</v>
      </c>
      <c r="E41" s="1717">
        <v>0</v>
      </c>
      <c r="F41" s="1717">
        <v>26575</v>
      </c>
      <c r="G41" s="1717">
        <v>0</v>
      </c>
      <c r="H41" s="1721">
        <f t="shared" si="24"/>
        <v>26575</v>
      </c>
      <c r="I41" s="2116"/>
      <c r="J41" s="2115"/>
      <c r="K41" s="2115"/>
      <c r="L41" s="1768"/>
      <c r="M41" s="772"/>
      <c r="N41" s="290" t="s">
        <v>14907</v>
      </c>
      <c r="P41" s="291"/>
      <c r="R41" s="238"/>
      <c r="S41" s="1232">
        <f t="shared" si="22"/>
        <v>0</v>
      </c>
      <c r="T41" s="238"/>
      <c r="U41" s="285">
        <f t="shared" ref="U41:U42" si="32" xml:space="preserve"> IF( ISNUMBER(E41 ), 0, 1 )</f>
        <v>0</v>
      </c>
      <c r="V41" s="285">
        <f t="shared" si="27"/>
        <v>0</v>
      </c>
      <c r="W41" s="285">
        <f t="shared" si="28"/>
        <v>0</v>
      </c>
      <c r="AC41" s="238"/>
      <c r="AD41" s="270"/>
      <c r="AE41" s="460" t="s">
        <v>14820</v>
      </c>
      <c r="AF41" s="1072" t="s">
        <v>14908</v>
      </c>
      <c r="AG41" s="1072" t="s">
        <v>14909</v>
      </c>
      <c r="AH41" s="1072" t="s">
        <v>14910</v>
      </c>
      <c r="AI41" s="1155" t="s">
        <v>14911</v>
      </c>
      <c r="AJ41" s="1408"/>
      <c r="AK41" s="1388"/>
      <c r="AL41" s="1388"/>
      <c r="AM41" s="1389"/>
    </row>
    <row r="42" spans="1:39" ht="15.75" customHeight="1" thickBot="1">
      <c r="A42" s="200"/>
      <c r="B42" s="463" t="s">
        <v>14826</v>
      </c>
      <c r="C42" s="355" t="s">
        <v>14787</v>
      </c>
      <c r="D42" s="355" t="s">
        <v>14787</v>
      </c>
      <c r="E42" s="1722">
        <v>17427</v>
      </c>
      <c r="F42" s="1722">
        <v>52235</v>
      </c>
      <c r="G42" s="1722">
        <v>0</v>
      </c>
      <c r="H42" s="1729">
        <f t="shared" si="24"/>
        <v>69662</v>
      </c>
      <c r="I42" s="1640">
        <v>3.944</v>
      </c>
      <c r="J42" s="1640">
        <v>1.9119999999999999</v>
      </c>
      <c r="K42" s="1640">
        <v>0</v>
      </c>
      <c r="L42" s="1599">
        <f t="shared" ref="L42" si="33">IFERROR(SUM(I42:K42), 0)</f>
        <v>5.8559999999999999</v>
      </c>
      <c r="M42" s="772"/>
      <c r="N42" s="356" t="s">
        <v>14912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14826</v>
      </c>
      <c r="AF42" s="1409" t="s">
        <v>14913</v>
      </c>
      <c r="AG42" s="1409" t="s">
        <v>14914</v>
      </c>
      <c r="AH42" s="1409" t="s">
        <v>14915</v>
      </c>
      <c r="AI42" s="1139" t="s">
        <v>14916</v>
      </c>
      <c r="AJ42" s="1409" t="s">
        <v>14917</v>
      </c>
      <c r="AK42" s="1409" t="s">
        <v>14918</v>
      </c>
      <c r="AL42" s="1409" t="s">
        <v>14919</v>
      </c>
      <c r="AM42" s="1140" t="s">
        <v>14920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7">
        <v>0.83</v>
      </c>
      <c r="D46" s="692"/>
      <c r="E46" s="692"/>
      <c r="F46" s="692"/>
      <c r="G46" s="692"/>
      <c r="H46" s="692"/>
      <c r="I46" s="692"/>
      <c r="J46" s="692"/>
      <c r="K46" s="692"/>
      <c r="L46" s="200"/>
      <c r="M46" s="772"/>
      <c r="N46" s="374" t="s">
        <v>14921</v>
      </c>
      <c r="P46" s="375"/>
      <c r="R46" s="238"/>
      <c r="S46" s="1232">
        <f>IF( SUM( U46:AB46 ) = 0, 0, $U$5 )</f>
        <v>0</v>
      </c>
      <c r="T46" s="238"/>
      <c r="U46" s="285">
        <f xml:space="preserve"> IF( ISNUMBER(C46 ), 0, 1 )</f>
        <v>0</v>
      </c>
      <c r="AC46" s="238"/>
      <c r="AD46" s="270"/>
      <c r="AE46" s="469" t="s">
        <v>4108</v>
      </c>
      <c r="AF46" s="1410" t="s">
        <v>14922</v>
      </c>
      <c r="AG46" s="692"/>
      <c r="AH46" s="692"/>
      <c r="AI46" s="692"/>
      <c r="AJ46" s="692"/>
      <c r="AK46" s="692"/>
      <c r="AL46" s="692"/>
      <c r="AM46" s="200"/>
    </row>
    <row r="47" spans="1:39" ht="16.2"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3" zoomScale="80" zoomScaleNormal="80" zoomScaleSheetLayoutView="100" workbookViewId="0">
      <selection activeCell="J28" sqref="J28"/>
    </sheetView>
  </sheetViews>
  <sheetFormatPr defaultColWidth="9" defaultRowHeight="13.8"/>
  <cols>
    <col min="1" max="1" width="1.59765625" style="219" customWidth="1"/>
    <col min="2" max="2" width="59" style="246" customWidth="1"/>
    <col min="3" max="3" width="5.5" style="219" bestFit="1" customWidth="1"/>
    <col min="4" max="4" width="4.59765625" style="219" bestFit="1" customWidth="1"/>
    <col min="5" max="5" width="10.19921875" style="219" bestFit="1" customWidth="1"/>
    <col min="6" max="6" width="19.59765625" style="219" customWidth="1"/>
    <col min="7" max="7" width="1.59765625" style="219" customWidth="1"/>
    <col min="8" max="8" width="9.19921875" style="1418" bestFit="1" customWidth="1"/>
    <col min="9" max="9" width="1.59765625" style="219" customWidth="1"/>
    <col min="10" max="10" width="29.5" style="219" bestFit="1" customWidth="1"/>
    <col min="11" max="12" width="1.59765625" style="219" customWidth="1"/>
    <col min="13" max="13" width="25" style="219" customWidth="1"/>
    <col min="14" max="14" width="1.59765625" style="219" customWidth="1"/>
    <col min="15" max="16" width="12.5" style="219" hidden="1" customWidth="1"/>
    <col min="17" max="17" width="1.59765625" style="219" hidden="1" customWidth="1"/>
    <col min="18" max="18" width="1.59765625" style="219" customWidth="1"/>
    <col min="19" max="19" width="36.09765625" style="219" customWidth="1"/>
    <col min="20" max="21" width="12.5" style="219" customWidth="1"/>
    <col min="22" max="22" width="1.59765625" style="219" customWidth="1"/>
    <col min="23" max="23" width="9" style="219"/>
    <col min="24" max="24" width="9.09765625" style="219" bestFit="1" customWidth="1"/>
    <col min="25" max="25" width="9" style="219" customWidth="1"/>
    <col min="26" max="16384" width="9" style="219"/>
  </cols>
  <sheetData>
    <row r="1" spans="1:21" ht="30" customHeight="1">
      <c r="B1" s="1229" t="s">
        <v>14923</v>
      </c>
      <c r="C1" s="1229"/>
      <c r="D1" s="1229"/>
      <c r="E1" s="1229"/>
      <c r="F1" s="1229"/>
      <c r="G1" s="1229"/>
      <c r="H1" s="1229"/>
      <c r="I1" s="1229"/>
      <c r="J1" s="1229"/>
      <c r="K1" s="1229"/>
      <c r="L1" s="238"/>
      <c r="N1" s="238"/>
      <c r="Q1" s="238"/>
      <c r="S1" s="1229" t="s">
        <v>4198</v>
      </c>
      <c r="T1" s="1229"/>
      <c r="U1" s="1229"/>
    </row>
    <row r="2" spans="1:21" ht="30" customHeight="1">
      <c r="B2" s="1229" t="str">
        <f>SelectCompany!B4</f>
        <v>Dŵr Cymru</v>
      </c>
      <c r="C2" s="529"/>
      <c r="D2" s="529"/>
      <c r="E2" s="529"/>
      <c r="F2" s="529"/>
      <c r="G2" s="529"/>
      <c r="H2" s="529"/>
      <c r="I2" s="529"/>
      <c r="J2" s="529"/>
      <c r="K2" s="529"/>
      <c r="L2" s="238"/>
      <c r="N2" s="238"/>
      <c r="Q2" s="238"/>
      <c r="S2" s="1229"/>
      <c r="T2" s="529"/>
      <c r="U2" s="529"/>
    </row>
    <row r="3" spans="1:21" ht="45" customHeight="1">
      <c r="B3" s="2829" t="s">
        <v>14924</v>
      </c>
      <c r="C3" s="2829"/>
      <c r="D3" s="2829"/>
      <c r="E3" s="2829"/>
      <c r="F3" s="2829"/>
      <c r="G3" s="2829"/>
      <c r="H3" s="2829"/>
      <c r="I3" s="2829"/>
      <c r="J3" s="2829"/>
      <c r="K3" s="1413"/>
      <c r="L3" s="238"/>
      <c r="M3" s="1240" t="s">
        <v>4200</v>
      </c>
      <c r="N3" s="238"/>
      <c r="Q3" s="238"/>
      <c r="S3" s="2829" t="s">
        <v>14924</v>
      </c>
      <c r="T3" s="2829"/>
      <c r="U3" s="2829"/>
    </row>
    <row r="4" spans="1:21" ht="14.25" customHeight="1" thickBot="1">
      <c r="B4" s="690"/>
      <c r="C4" s="690"/>
      <c r="D4" s="690"/>
      <c r="E4" s="690"/>
      <c r="F4" s="690"/>
      <c r="G4" s="690"/>
      <c r="H4" s="1413"/>
      <c r="L4" s="238"/>
      <c r="N4" s="238"/>
      <c r="O4" s="2917" t="s">
        <v>4201</v>
      </c>
      <c r="P4" s="2917"/>
      <c r="Q4" s="238"/>
      <c r="S4" s="690"/>
      <c r="T4" s="690"/>
      <c r="U4" s="690"/>
    </row>
    <row r="5" spans="1:21" ht="55.5" customHeight="1" thickTop="1" thickBot="1">
      <c r="A5" s="242"/>
      <c r="B5" s="445" t="s">
        <v>4202</v>
      </c>
      <c r="C5" s="446" t="s">
        <v>4203</v>
      </c>
      <c r="D5" s="446" t="s">
        <v>4204</v>
      </c>
      <c r="E5" s="446" t="s">
        <v>14925</v>
      </c>
      <c r="F5" s="447" t="s">
        <v>14926</v>
      </c>
      <c r="G5" s="1336"/>
      <c r="H5" s="449" t="s">
        <v>4208</v>
      </c>
      <c r="I5" s="242"/>
      <c r="J5" s="449" t="s">
        <v>4209</v>
      </c>
      <c r="K5" s="242"/>
      <c r="L5" s="238"/>
      <c r="N5" s="238"/>
      <c r="O5" s="269" t="s">
        <v>4210</v>
      </c>
      <c r="Q5" s="238"/>
      <c r="S5" s="445" t="s">
        <v>4202</v>
      </c>
      <c r="T5" s="446" t="s">
        <v>14925</v>
      </c>
      <c r="U5" s="447" t="s">
        <v>14926</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14927</v>
      </c>
      <c r="C7" s="482"/>
      <c r="D7" s="482"/>
      <c r="E7" s="482"/>
      <c r="F7" s="114"/>
      <c r="G7" s="114"/>
      <c r="H7" s="874"/>
      <c r="I7" s="242"/>
      <c r="J7" s="242"/>
      <c r="K7" s="242"/>
      <c r="L7" s="238"/>
      <c r="N7" s="238"/>
      <c r="Q7" s="238"/>
      <c r="S7" s="393" t="s">
        <v>14927</v>
      </c>
      <c r="T7" s="482"/>
      <c r="U7" s="114"/>
    </row>
    <row r="8" spans="1:21" ht="15.75" customHeight="1" thickTop="1">
      <c r="A8" s="242"/>
      <c r="B8" s="451" t="s">
        <v>14928</v>
      </c>
      <c r="C8" s="277" t="s">
        <v>4805</v>
      </c>
      <c r="D8" s="277">
        <v>1</v>
      </c>
      <c r="E8" s="1771">
        <v>0</v>
      </c>
      <c r="F8" s="1772">
        <v>0</v>
      </c>
      <c r="G8" s="114"/>
      <c r="H8" s="281" t="s">
        <v>14929</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14928</v>
      </c>
      <c r="T8" s="1414" t="s">
        <v>14930</v>
      </c>
      <c r="U8" s="1268" t="s">
        <v>14931</v>
      </c>
    </row>
    <row r="9" spans="1:21" ht="15.75" customHeight="1">
      <c r="A9" s="242"/>
      <c r="B9" s="460" t="s">
        <v>14932</v>
      </c>
      <c r="C9" s="286" t="s">
        <v>4805</v>
      </c>
      <c r="D9" s="286">
        <v>1</v>
      </c>
      <c r="E9" s="1773">
        <v>0</v>
      </c>
      <c r="F9" s="1774">
        <v>0.03</v>
      </c>
      <c r="G9" s="114"/>
      <c r="H9" s="290" t="s">
        <v>14933</v>
      </c>
      <c r="I9" s="242"/>
      <c r="J9" s="1233" t="s">
        <v>18599</v>
      </c>
      <c r="K9" s="242"/>
      <c r="L9" s="238"/>
      <c r="M9" s="1232">
        <f t="shared" si="0"/>
        <v>0</v>
      </c>
      <c r="N9" s="238"/>
      <c r="O9" s="285">
        <f t="shared" ref="O9:O13" si="3" xml:space="preserve"> IF( ISNUMBER(E9 ), 0, 1 )</f>
        <v>0</v>
      </c>
      <c r="P9" s="285">
        <f t="shared" si="2"/>
        <v>0</v>
      </c>
      <c r="Q9" s="238"/>
      <c r="S9" s="460" t="s">
        <v>14932</v>
      </c>
      <c r="T9" s="1415" t="s">
        <v>14934</v>
      </c>
      <c r="U9" s="1269" t="s">
        <v>14935</v>
      </c>
    </row>
    <row r="10" spans="1:21" ht="15.75" customHeight="1">
      <c r="A10" s="242"/>
      <c r="B10" s="460" t="s">
        <v>14936</v>
      </c>
      <c r="C10" s="286" t="s">
        <v>4805</v>
      </c>
      <c r="D10" s="286">
        <v>1</v>
      </c>
      <c r="E10" s="1773">
        <v>8.0000000000000002E-3</v>
      </c>
      <c r="F10" s="1774">
        <v>0</v>
      </c>
      <c r="G10" s="114"/>
      <c r="H10" s="290" t="s">
        <v>14937</v>
      </c>
      <c r="I10" s="242"/>
      <c r="J10" s="1233"/>
      <c r="K10" s="242"/>
      <c r="L10" s="238"/>
      <c r="M10" s="1232">
        <f t="shared" si="0"/>
        <v>0</v>
      </c>
      <c r="N10" s="238"/>
      <c r="O10" s="285">
        <f t="shared" si="3"/>
        <v>0</v>
      </c>
      <c r="P10" s="285">
        <f t="shared" si="2"/>
        <v>0</v>
      </c>
      <c r="Q10" s="238"/>
      <c r="S10" s="460" t="s">
        <v>14936</v>
      </c>
      <c r="T10" s="1284" t="s">
        <v>14938</v>
      </c>
      <c r="U10" s="1269" t="s">
        <v>14939</v>
      </c>
    </row>
    <row r="11" spans="1:21" ht="15.75" customHeight="1">
      <c r="A11" s="242"/>
      <c r="B11" s="460" t="s">
        <v>14940</v>
      </c>
      <c r="C11" s="286" t="s">
        <v>4805</v>
      </c>
      <c r="D11" s="286">
        <v>1</v>
      </c>
      <c r="E11" s="1773">
        <v>0.96199999999999997</v>
      </c>
      <c r="F11" s="1774">
        <v>0</v>
      </c>
      <c r="G11" s="432"/>
      <c r="H11" s="290" t="s">
        <v>14941</v>
      </c>
      <c r="I11" s="242"/>
      <c r="J11" s="1233"/>
      <c r="K11" s="242"/>
      <c r="L11" s="238"/>
      <c r="M11" s="1232">
        <f t="shared" si="0"/>
        <v>0</v>
      </c>
      <c r="N11" s="238"/>
      <c r="O11" s="285">
        <f t="shared" si="3"/>
        <v>0</v>
      </c>
      <c r="P11" s="285">
        <f t="shared" si="2"/>
        <v>0</v>
      </c>
      <c r="Q11" s="238"/>
      <c r="S11" s="460" t="s">
        <v>14940</v>
      </c>
      <c r="T11" s="1415" t="s">
        <v>14942</v>
      </c>
      <c r="U11" s="1269" t="s">
        <v>14943</v>
      </c>
    </row>
    <row r="12" spans="1:21" ht="15.75" customHeight="1">
      <c r="A12" s="242"/>
      <c r="B12" s="460" t="s">
        <v>14944</v>
      </c>
      <c r="C12" s="286" t="s">
        <v>4805</v>
      </c>
      <c r="D12" s="286">
        <v>1</v>
      </c>
      <c r="E12" s="1773">
        <v>0</v>
      </c>
      <c r="F12" s="1774">
        <v>0</v>
      </c>
      <c r="G12" s="114"/>
      <c r="H12" s="290" t="s">
        <v>14945</v>
      </c>
      <c r="I12" s="242"/>
      <c r="J12" s="1233"/>
      <c r="K12" s="242"/>
      <c r="L12" s="238"/>
      <c r="M12" s="1232">
        <f t="shared" si="0"/>
        <v>0</v>
      </c>
      <c r="N12" s="238"/>
      <c r="O12" s="285">
        <f t="shared" si="3"/>
        <v>0</v>
      </c>
      <c r="P12" s="285">
        <f t="shared" si="2"/>
        <v>0</v>
      </c>
      <c r="Q12" s="238"/>
      <c r="S12" s="460" t="s">
        <v>14944</v>
      </c>
      <c r="T12" s="1415" t="s">
        <v>14946</v>
      </c>
      <c r="U12" s="1269" t="s">
        <v>14947</v>
      </c>
    </row>
    <row r="13" spans="1:21" ht="15.75" customHeight="1">
      <c r="A13" s="242"/>
      <c r="B13" s="460" t="s">
        <v>14948</v>
      </c>
      <c r="C13" s="286" t="s">
        <v>4805</v>
      </c>
      <c r="D13" s="286">
        <v>1</v>
      </c>
      <c r="E13" s="1773">
        <v>0</v>
      </c>
      <c r="F13" s="1774">
        <v>0</v>
      </c>
      <c r="G13" s="111"/>
      <c r="H13" s="290" t="s">
        <v>14949</v>
      </c>
      <c r="I13" s="242"/>
      <c r="J13" s="1233"/>
      <c r="K13" s="242"/>
      <c r="L13" s="238"/>
      <c r="M13" s="1232">
        <f t="shared" si="0"/>
        <v>0</v>
      </c>
      <c r="N13" s="238"/>
      <c r="O13" s="285">
        <f t="shared" si="3"/>
        <v>0</v>
      </c>
      <c r="P13" s="285">
        <f t="shared" si="2"/>
        <v>0</v>
      </c>
      <c r="Q13" s="238"/>
      <c r="S13" s="460" t="s">
        <v>14948</v>
      </c>
      <c r="T13" s="1415" t="s">
        <v>14950</v>
      </c>
      <c r="U13" s="1269" t="s">
        <v>14951</v>
      </c>
    </row>
    <row r="14" spans="1:21" ht="15.75" customHeight="1" thickBot="1">
      <c r="A14" s="242"/>
      <c r="B14" s="463" t="s">
        <v>14952</v>
      </c>
      <c r="C14" s="355" t="s">
        <v>4805</v>
      </c>
      <c r="D14" s="355">
        <v>1</v>
      </c>
      <c r="E14" s="1775">
        <f>IFERROR(SUM(E8:E13), 0)</f>
        <v>0.97</v>
      </c>
      <c r="F14" s="1776">
        <f>IFERROR(SUM(F8:F13), 0)</f>
        <v>0.03</v>
      </c>
      <c r="G14" s="111"/>
      <c r="H14" s="356" t="s">
        <v>14953</v>
      </c>
      <c r="I14" s="242"/>
      <c r="J14" s="1237"/>
      <c r="K14" s="242"/>
      <c r="L14" s="238"/>
      <c r="N14" s="238"/>
      <c r="Q14" s="238"/>
      <c r="S14" s="463" t="s">
        <v>14952</v>
      </c>
      <c r="T14" s="1416" t="s">
        <v>14954</v>
      </c>
      <c r="U14" s="1364" t="s">
        <v>14955</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14956</v>
      </c>
      <c r="C16" s="482"/>
      <c r="D16" s="482"/>
      <c r="E16" s="1778"/>
      <c r="F16" s="1777"/>
      <c r="G16" s="114"/>
      <c r="H16" s="874"/>
      <c r="I16" s="242"/>
      <c r="J16" s="242"/>
      <c r="K16" s="242"/>
      <c r="L16" s="238"/>
      <c r="N16" s="238"/>
      <c r="Q16" s="238"/>
      <c r="S16" s="393" t="s">
        <v>14956</v>
      </c>
      <c r="T16" s="482"/>
      <c r="U16" s="114"/>
    </row>
    <row r="17" spans="1:21" ht="15.75" customHeight="1" thickTop="1">
      <c r="A17" s="242"/>
      <c r="B17" s="451" t="s">
        <v>14957</v>
      </c>
      <c r="C17" s="277" t="s">
        <v>4805</v>
      </c>
      <c r="D17" s="277">
        <v>1</v>
      </c>
      <c r="E17" s="1771">
        <v>0</v>
      </c>
      <c r="F17" s="1772">
        <v>0</v>
      </c>
      <c r="G17" s="114"/>
      <c r="H17" s="281" t="s">
        <v>14958</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14957</v>
      </c>
      <c r="T17" s="1414" t="s">
        <v>14959</v>
      </c>
      <c r="U17" s="1268" t="s">
        <v>14960</v>
      </c>
    </row>
    <row r="18" spans="1:21" ht="15.75" customHeight="1">
      <c r="A18" s="242"/>
      <c r="B18" s="460" t="s">
        <v>14961</v>
      </c>
      <c r="C18" s="286" t="s">
        <v>4805</v>
      </c>
      <c r="D18" s="286">
        <v>1</v>
      </c>
      <c r="E18" s="1773">
        <v>0</v>
      </c>
      <c r="F18" s="1774">
        <v>0</v>
      </c>
      <c r="G18" s="114"/>
      <c r="H18" s="290" t="s">
        <v>14962</v>
      </c>
      <c r="I18" s="242"/>
      <c r="J18" s="1233"/>
      <c r="K18" s="242"/>
      <c r="L18" s="238"/>
      <c r="M18" s="1232">
        <f t="shared" si="4"/>
        <v>0</v>
      </c>
      <c r="N18" s="238"/>
      <c r="O18" s="285">
        <f t="shared" si="5"/>
        <v>0</v>
      </c>
      <c r="P18" s="285">
        <f t="shared" si="6"/>
        <v>0</v>
      </c>
      <c r="Q18" s="238"/>
      <c r="S18" s="460" t="s">
        <v>14961</v>
      </c>
      <c r="T18" s="1415" t="s">
        <v>14963</v>
      </c>
      <c r="U18" s="1269" t="s">
        <v>14964</v>
      </c>
    </row>
    <row r="19" spans="1:21" ht="15.75" customHeight="1">
      <c r="A19" s="242"/>
      <c r="B19" s="460" t="s">
        <v>14965</v>
      </c>
      <c r="C19" s="286" t="s">
        <v>4805</v>
      </c>
      <c r="D19" s="286">
        <v>1</v>
      </c>
      <c r="E19" s="1773">
        <v>0</v>
      </c>
      <c r="F19" s="1774">
        <v>0</v>
      </c>
      <c r="G19" s="114"/>
      <c r="H19" s="290" t="s">
        <v>14966</v>
      </c>
      <c r="I19" s="242"/>
      <c r="J19" s="1233"/>
      <c r="K19" s="242"/>
      <c r="L19" s="238"/>
      <c r="M19" s="1232">
        <f t="shared" si="4"/>
        <v>0</v>
      </c>
      <c r="N19" s="238"/>
      <c r="O19" s="285">
        <f t="shared" si="5"/>
        <v>0</v>
      </c>
      <c r="P19" s="285">
        <f t="shared" si="6"/>
        <v>0</v>
      </c>
      <c r="Q19" s="238"/>
      <c r="S19" s="460" t="s">
        <v>14965</v>
      </c>
      <c r="T19" s="1415" t="s">
        <v>14967</v>
      </c>
      <c r="U19" s="1269" t="s">
        <v>14968</v>
      </c>
    </row>
    <row r="20" spans="1:21" ht="15.75" customHeight="1">
      <c r="A20" s="242"/>
      <c r="B20" s="460" t="s">
        <v>14969</v>
      </c>
      <c r="C20" s="286" t="s">
        <v>4805</v>
      </c>
      <c r="D20" s="286">
        <v>1</v>
      </c>
      <c r="E20" s="1773">
        <v>0.94899999999999995</v>
      </c>
      <c r="F20" s="1774">
        <v>5.0999999999999997E-2</v>
      </c>
      <c r="G20" s="432"/>
      <c r="H20" s="290" t="s">
        <v>14970</v>
      </c>
      <c r="I20" s="242"/>
      <c r="J20" s="1233" t="s">
        <v>18600</v>
      </c>
      <c r="K20" s="242"/>
      <c r="L20" s="238"/>
      <c r="M20" s="1232">
        <f t="shared" si="4"/>
        <v>0</v>
      </c>
      <c r="N20" s="238"/>
      <c r="O20" s="285">
        <f t="shared" si="5"/>
        <v>0</v>
      </c>
      <c r="P20" s="285">
        <f t="shared" si="6"/>
        <v>0</v>
      </c>
      <c r="Q20" s="238"/>
      <c r="S20" s="460" t="s">
        <v>14969</v>
      </c>
      <c r="T20" s="1415" t="s">
        <v>14971</v>
      </c>
      <c r="U20" s="1269" t="s">
        <v>14972</v>
      </c>
    </row>
    <row r="21" spans="1:21" ht="15.75" customHeight="1">
      <c r="A21" s="242"/>
      <c r="B21" s="460" t="s">
        <v>14973</v>
      </c>
      <c r="C21" s="286" t="s">
        <v>4805</v>
      </c>
      <c r="D21" s="286">
        <v>1</v>
      </c>
      <c r="E21" s="1773">
        <v>0</v>
      </c>
      <c r="F21" s="1774">
        <v>0</v>
      </c>
      <c r="G21" s="114"/>
      <c r="H21" s="290" t="s">
        <v>14974</v>
      </c>
      <c r="I21" s="242"/>
      <c r="J21" s="1233"/>
      <c r="K21" s="242"/>
      <c r="L21" s="238"/>
      <c r="M21" s="1232">
        <f t="shared" si="4"/>
        <v>0</v>
      </c>
      <c r="N21" s="238"/>
      <c r="O21" s="285">
        <f t="shared" si="5"/>
        <v>0</v>
      </c>
      <c r="P21" s="285">
        <f t="shared" si="6"/>
        <v>0</v>
      </c>
      <c r="Q21" s="238"/>
      <c r="S21" s="460" t="s">
        <v>14973</v>
      </c>
      <c r="T21" s="1415" t="s">
        <v>14975</v>
      </c>
      <c r="U21" s="1269" t="s">
        <v>14976</v>
      </c>
    </row>
    <row r="22" spans="1:21" ht="15.75" customHeight="1" thickBot="1">
      <c r="A22" s="242"/>
      <c r="B22" s="463" t="s">
        <v>14977</v>
      </c>
      <c r="C22" s="355" t="s">
        <v>4805</v>
      </c>
      <c r="D22" s="355">
        <v>1</v>
      </c>
      <c r="E22" s="1775">
        <f>IFERROR(SUM(E17:E21), 0)</f>
        <v>0.94899999999999995</v>
      </c>
      <c r="F22" s="1776">
        <f>IFERROR(SUM(F17:F21), 0)</f>
        <v>5.0999999999999997E-2</v>
      </c>
      <c r="G22" s="111"/>
      <c r="H22" s="356" t="s">
        <v>14978</v>
      </c>
      <c r="I22" s="242"/>
      <c r="J22" s="1237"/>
      <c r="K22" s="242"/>
      <c r="L22" s="238"/>
      <c r="N22" s="238"/>
      <c r="Q22" s="238"/>
      <c r="S22" s="463" t="s">
        <v>14977</v>
      </c>
      <c r="T22" s="1416" t="s">
        <v>14979</v>
      </c>
      <c r="U22" s="1364" t="s">
        <v>14980</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15" zoomScale="70" zoomScaleNormal="70" zoomScaleSheetLayoutView="100" workbookViewId="0">
      <selection activeCell="P21" sqref="P21"/>
    </sheetView>
  </sheetViews>
  <sheetFormatPr defaultColWidth="9" defaultRowHeight="13.8"/>
  <cols>
    <col min="1" max="1" width="1.59765625" style="1419" customWidth="1"/>
    <col min="2" max="2" width="80.59765625" style="1419" customWidth="1"/>
    <col min="3" max="4" width="19.19921875" style="1431" customWidth="1"/>
    <col min="5" max="5" width="19.5" style="1431" bestFit="1" customWidth="1"/>
    <col min="6" max="6" width="19.19921875" style="1419" customWidth="1"/>
    <col min="7" max="7" width="14.59765625" style="1419" bestFit="1" customWidth="1"/>
    <col min="8" max="9" width="21.69921875" style="1419" bestFit="1" customWidth="1"/>
    <col min="10" max="10" width="14.59765625" style="1419" bestFit="1" customWidth="1"/>
    <col min="11" max="12" width="14.69921875" style="1419" bestFit="1" customWidth="1"/>
    <col min="13" max="13" width="14.69921875" style="1419" customWidth="1"/>
    <col min="14" max="16" width="15.09765625" style="1419" customWidth="1"/>
    <col min="17" max="17" width="12.5" style="1419" customWidth="1"/>
    <col min="18" max="18" width="1.59765625" style="1419" customWidth="1"/>
    <col min="19" max="19" width="33.59765625" style="1419" customWidth="1"/>
    <col min="20" max="20" width="1.59765625" style="1419" customWidth="1"/>
    <col min="21" max="21" width="1.59765625" style="219" customWidth="1"/>
    <col min="22" max="22" width="20.59765625" style="219" customWidth="1"/>
    <col min="23" max="23" width="1.59765625" style="219" customWidth="1"/>
    <col min="24" max="24" width="6.09765625" style="219" hidden="1" customWidth="1"/>
    <col min="25" max="25" width="7.5" style="219" hidden="1" customWidth="1"/>
    <col min="26" max="26" width="10.09765625" style="219" hidden="1" customWidth="1"/>
    <col min="27" max="27" width="7.5" style="219" hidden="1" customWidth="1"/>
    <col min="28" max="28" width="9" style="219" hidden="1" customWidth="1"/>
    <col min="29" max="33" width="9.59765625" style="219" hidden="1" customWidth="1"/>
    <col min="34" max="34" width="1.59765625" style="219" hidden="1" customWidth="1"/>
    <col min="35" max="35" width="1.59765625" style="1419" customWidth="1"/>
    <col min="36" max="36" width="44.19921875" style="1419" customWidth="1"/>
    <col min="37" max="40" width="18.09765625" style="219" customWidth="1"/>
    <col min="41" max="41" width="19.296875" style="219" bestFit="1" customWidth="1"/>
    <col min="42" max="43" width="18.09765625" style="219" customWidth="1"/>
    <col min="44" max="44" width="13.5" style="219" bestFit="1" customWidth="1"/>
    <col min="45" max="45" width="15.59765625" style="219" customWidth="1"/>
    <col min="46" max="48" width="17.09765625" style="219" customWidth="1"/>
    <col min="49" max="51" width="17.09765625" style="1419" customWidth="1"/>
    <col min="52" max="16384" width="9" style="1419"/>
  </cols>
  <sheetData>
    <row r="1" spans="1:48" ht="30.75" customHeight="1">
      <c r="B1" s="1229" t="s">
        <v>14981</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Dŵr Cymru</v>
      </c>
      <c r="C2" s="1239"/>
      <c r="D2" s="1239"/>
      <c r="E2" s="1239"/>
      <c r="F2" s="529"/>
      <c r="G2" s="529"/>
      <c r="H2" s="529"/>
      <c r="U2" s="238"/>
      <c r="W2" s="238"/>
      <c r="AH2" s="238"/>
      <c r="AJ2" s="529"/>
      <c r="AK2" s="529"/>
      <c r="AL2" s="529"/>
      <c r="AM2" s="529"/>
      <c r="AN2" s="1419"/>
      <c r="AO2" s="1419"/>
      <c r="AP2" s="1419"/>
      <c r="AQ2" s="1419"/>
    </row>
    <row r="3" spans="1:48" ht="45" customHeight="1">
      <c r="B3" s="2829" t="s">
        <v>14982</v>
      </c>
      <c r="C3" s="2829"/>
      <c r="D3" s="2829"/>
      <c r="E3" s="2829"/>
      <c r="F3" s="2829"/>
      <c r="G3" s="2829"/>
      <c r="H3" s="2829"/>
      <c r="I3" s="2829"/>
      <c r="J3" s="2829"/>
      <c r="K3" s="2829"/>
      <c r="L3" s="2829"/>
      <c r="M3" s="2829"/>
      <c r="N3" s="2829"/>
      <c r="O3" s="2829"/>
      <c r="P3" s="2829"/>
      <c r="Q3" s="2829"/>
      <c r="R3" s="2829"/>
      <c r="S3" s="2829"/>
      <c r="U3" s="238"/>
      <c r="V3" s="1240" t="s">
        <v>4200</v>
      </c>
      <c r="W3" s="238"/>
      <c r="AH3" s="238"/>
      <c r="AJ3" s="2829" t="s">
        <v>14982</v>
      </c>
      <c r="AK3" s="2829"/>
      <c r="AL3" s="2829"/>
      <c r="AM3" s="2829"/>
      <c r="AN3" s="2829"/>
      <c r="AO3" s="2829"/>
      <c r="AP3" s="2829"/>
      <c r="AQ3" s="2829"/>
      <c r="AR3" s="1419"/>
      <c r="AS3" s="1419"/>
      <c r="AT3" s="1419"/>
      <c r="AU3" s="1419"/>
      <c r="AV3" s="1419"/>
    </row>
    <row r="4" spans="1:48" ht="15.75" customHeight="1" thickBot="1">
      <c r="B4" s="690"/>
      <c r="C4" s="690"/>
      <c r="D4" s="690"/>
      <c r="E4" s="690"/>
      <c r="F4" s="690"/>
      <c r="G4" s="690"/>
      <c r="H4" s="690"/>
      <c r="U4" s="238"/>
      <c r="W4" s="238"/>
      <c r="X4" s="2942" t="s">
        <v>4201</v>
      </c>
      <c r="Y4" s="2942"/>
      <c r="Z4" s="2942"/>
      <c r="AA4" s="2942"/>
      <c r="AB4" s="2942"/>
      <c r="AC4" s="2942"/>
      <c r="AD4" s="2942"/>
      <c r="AE4" s="2942"/>
      <c r="AF4" s="2942"/>
      <c r="AG4" s="2942"/>
      <c r="AH4" s="238"/>
      <c r="AJ4" s="690"/>
      <c r="AK4" s="690"/>
      <c r="AL4" s="690"/>
      <c r="AM4" s="690"/>
      <c r="AN4" s="1419"/>
      <c r="AO4" s="1419"/>
      <c r="AP4" s="1419"/>
      <c r="AQ4" s="1419"/>
      <c r="AR4" s="1419"/>
      <c r="AS4" s="1419"/>
      <c r="AT4" s="1419"/>
      <c r="AU4" s="1419"/>
      <c r="AV4" s="1419"/>
    </row>
    <row r="5" spans="1:48" ht="50.85" customHeight="1" thickTop="1" thickBot="1">
      <c r="A5" s="1147"/>
      <c r="B5" s="445" t="s">
        <v>4202</v>
      </c>
      <c r="C5" s="446" t="s">
        <v>4203</v>
      </c>
      <c r="D5" s="446" t="s">
        <v>4204</v>
      </c>
      <c r="E5" s="2578" t="s">
        <v>4321</v>
      </c>
      <c r="F5" s="2336"/>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14983</v>
      </c>
      <c r="C7" s="482"/>
      <c r="D7" s="482"/>
      <c r="E7" s="482"/>
      <c r="F7" s="1421"/>
      <c r="G7" s="1421"/>
      <c r="H7" s="1421"/>
      <c r="I7" s="1421"/>
      <c r="J7" s="1421"/>
      <c r="K7" s="1421"/>
      <c r="L7" s="1421"/>
      <c r="M7" s="1421"/>
      <c r="N7" s="1421"/>
      <c r="O7" s="1421"/>
      <c r="P7" s="1421"/>
      <c r="Q7" s="1147"/>
      <c r="R7" s="1147"/>
      <c r="S7" s="1147"/>
      <c r="T7" s="1147"/>
      <c r="U7" s="238"/>
      <c r="W7" s="238"/>
      <c r="AH7" s="238"/>
      <c r="AJ7" s="393" t="s">
        <v>14983</v>
      </c>
      <c r="AK7" s="482"/>
      <c r="AL7" s="1421"/>
      <c r="AM7" s="1419"/>
      <c r="AN7" s="1419"/>
      <c r="AO7" s="1419"/>
      <c r="AP7" s="1419"/>
      <c r="AQ7" s="1419"/>
      <c r="AR7" s="1419"/>
      <c r="AS7" s="1419"/>
      <c r="AT7" s="1419"/>
      <c r="AU7" s="1419"/>
      <c r="AV7" s="1419"/>
    </row>
    <row r="8" spans="1:48" ht="31.2" thickTop="1" thickBot="1">
      <c r="A8" s="1147"/>
      <c r="B8" s="469" t="s">
        <v>14984</v>
      </c>
      <c r="C8" s="384" t="s">
        <v>4215</v>
      </c>
      <c r="D8" s="384">
        <v>3</v>
      </c>
      <c r="E8" s="2579">
        <v>2.9180000000000001</v>
      </c>
      <c r="F8" s="1421"/>
      <c r="G8" s="1421"/>
      <c r="H8" s="1421"/>
      <c r="I8" s="1421"/>
      <c r="J8" s="1421"/>
      <c r="K8" s="1421"/>
      <c r="L8" s="1421"/>
      <c r="M8" s="1421"/>
      <c r="N8" s="1421"/>
      <c r="O8" s="1421"/>
      <c r="P8" s="1421"/>
      <c r="Q8" s="1048" t="s">
        <v>14985</v>
      </c>
      <c r="R8" s="1147"/>
      <c r="S8" s="375"/>
      <c r="T8" s="1147"/>
      <c r="U8" s="238"/>
      <c r="V8" s="1232" t="str">
        <f>IF( SUM( X8:AG8 ) = 0, 0, $X$5 )</f>
        <v>Please complete all cells in row</v>
      </c>
      <c r="W8" s="238"/>
      <c r="Z8" s="285">
        <f xml:space="preserve"> IF( ISNUMBER(F8 ), 0, 1 )</f>
        <v>1</v>
      </c>
      <c r="AH8" s="238"/>
      <c r="AJ8" s="469" t="s">
        <v>14984</v>
      </c>
      <c r="AK8" s="2579" t="s">
        <v>14986</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14987</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14987</v>
      </c>
      <c r="AK10" s="2581"/>
      <c r="AL10" s="1421"/>
      <c r="AM10" s="1419"/>
      <c r="AN10" s="1419"/>
      <c r="AO10" s="1419"/>
      <c r="AP10" s="1419"/>
      <c r="AQ10" s="1419"/>
      <c r="AR10" s="1419"/>
      <c r="AS10" s="1419"/>
      <c r="AT10" s="1419"/>
      <c r="AU10" s="1419"/>
      <c r="AV10" s="1419"/>
    </row>
    <row r="11" spans="1:48" s="1421" customFormat="1" ht="15.75" customHeight="1" thickTop="1">
      <c r="A11" s="1147"/>
      <c r="B11" s="451" t="s">
        <v>14988</v>
      </c>
      <c r="C11" s="1424" t="s">
        <v>4215</v>
      </c>
      <c r="D11" s="1424">
        <v>3</v>
      </c>
      <c r="E11" s="2553">
        <v>2.9180000000000001</v>
      </c>
      <c r="Q11" s="281" t="s">
        <v>14989</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14988</v>
      </c>
      <c r="AK11" s="2553" t="s">
        <v>14990</v>
      </c>
    </row>
    <row r="12" spans="1:48" s="1421" customFormat="1" ht="15.75" customHeight="1">
      <c r="A12" s="1147"/>
      <c r="B12" s="460" t="s">
        <v>14991</v>
      </c>
      <c r="C12" s="1425" t="s">
        <v>4215</v>
      </c>
      <c r="D12" s="1425">
        <v>3</v>
      </c>
      <c r="E12" s="2556">
        <v>0.16300000000000001</v>
      </c>
      <c r="Q12" s="290" t="s">
        <v>14992</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14991</v>
      </c>
      <c r="AK12" s="2556" t="s">
        <v>14993</v>
      </c>
    </row>
    <row r="13" spans="1:48" s="1421" customFormat="1" ht="15.75" customHeight="1">
      <c r="A13" s="1147"/>
      <c r="B13" s="460" t="s">
        <v>14994</v>
      </c>
      <c r="C13" s="1425" t="s">
        <v>4215</v>
      </c>
      <c r="D13" s="1425">
        <v>3</v>
      </c>
      <c r="E13" s="2556">
        <v>0</v>
      </c>
      <c r="Q13" s="1041" t="s">
        <v>14995</v>
      </c>
      <c r="R13" s="1147"/>
      <c r="S13" s="558"/>
      <c r="T13" s="1147"/>
      <c r="U13" s="238"/>
      <c r="V13" s="2320"/>
      <c r="W13" s="238"/>
      <c r="X13" s="241"/>
      <c r="Y13" s="241"/>
      <c r="Z13" s="285"/>
      <c r="AA13" s="241"/>
      <c r="AB13" s="241"/>
      <c r="AC13" s="241"/>
      <c r="AD13" s="241"/>
      <c r="AE13" s="241"/>
      <c r="AF13" s="241"/>
      <c r="AG13" s="241"/>
      <c r="AH13" s="241"/>
      <c r="AI13" s="1419"/>
      <c r="AJ13" s="460" t="s">
        <v>14994</v>
      </c>
      <c r="AK13" s="2556" t="s">
        <v>17720</v>
      </c>
    </row>
    <row r="14" spans="1:48" s="1421" customFormat="1" ht="34.950000000000003" customHeight="1">
      <c r="A14" s="1147"/>
      <c r="B14" s="460" t="s">
        <v>14996</v>
      </c>
      <c r="C14" s="1425" t="s">
        <v>4215</v>
      </c>
      <c r="D14" s="1425">
        <v>3</v>
      </c>
      <c r="E14" s="2556">
        <v>2.4689999999999999</v>
      </c>
      <c r="Q14" s="290" t="s">
        <v>14997</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14996</v>
      </c>
      <c r="AK14" s="2556" t="s">
        <v>14998</v>
      </c>
    </row>
    <row r="15" spans="1:48" s="1421" customFormat="1" ht="27.45" customHeight="1">
      <c r="A15" s="1147"/>
      <c r="B15" s="460" t="s">
        <v>14999</v>
      </c>
      <c r="C15" s="1425" t="s">
        <v>4215</v>
      </c>
      <c r="D15" s="1425">
        <v>3</v>
      </c>
      <c r="E15" s="2556">
        <v>1.284</v>
      </c>
      <c r="Q15" s="290" t="s">
        <v>15000</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14999</v>
      </c>
      <c r="AK15" s="2556" t="s">
        <v>15001</v>
      </c>
    </row>
    <row r="16" spans="1:48" s="1421" customFormat="1" ht="15.75" customHeight="1" thickBot="1">
      <c r="A16" s="1147"/>
      <c r="B16" s="463" t="s">
        <v>15002</v>
      </c>
      <c r="C16" s="1426" t="s">
        <v>4215</v>
      </c>
      <c r="D16" s="1426">
        <v>3</v>
      </c>
      <c r="E16" s="2554">
        <v>0</v>
      </c>
      <c r="Q16" s="356" t="s">
        <v>15003</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15002</v>
      </c>
      <c r="AK16" s="2554" t="s">
        <v>15004</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15005</v>
      </c>
      <c r="Q18" s="1147"/>
      <c r="R18" s="1147"/>
      <c r="S18" s="1147"/>
      <c r="T18" s="1147"/>
      <c r="U18" s="238"/>
      <c r="V18" s="1232"/>
      <c r="W18" s="238"/>
      <c r="X18" s="241"/>
      <c r="Y18" s="241"/>
      <c r="Z18" s="241"/>
      <c r="AA18" s="241"/>
      <c r="AB18" s="241"/>
      <c r="AC18" s="241"/>
      <c r="AD18" s="241"/>
      <c r="AE18" s="241"/>
      <c r="AF18" s="241"/>
      <c r="AG18" s="241"/>
      <c r="AH18" s="241"/>
      <c r="AI18" s="1419"/>
      <c r="AJ18" s="393" t="s">
        <v>15005</v>
      </c>
    </row>
    <row r="19" spans="1:49" s="1421" customFormat="1" ht="15.75" customHeight="1" thickTop="1" thickBot="1">
      <c r="A19" s="1147"/>
      <c r="B19" s="469" t="s">
        <v>15006</v>
      </c>
      <c r="C19" s="2473" t="s">
        <v>4215</v>
      </c>
      <c r="D19" s="2473">
        <v>3</v>
      </c>
      <c r="E19" s="2556">
        <v>0.111</v>
      </c>
      <c r="Q19" s="1048" t="s">
        <v>15007</v>
      </c>
      <c r="R19" s="1147"/>
      <c r="S19" s="2472"/>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15006</v>
      </c>
      <c r="AK19" s="2474" t="s">
        <v>17721</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15008</v>
      </c>
      <c r="D21" s="670" t="s">
        <v>15009</v>
      </c>
      <c r="E21" s="670" t="s">
        <v>15010</v>
      </c>
      <c r="F21" s="670" t="s">
        <v>15011</v>
      </c>
      <c r="G21" s="670" t="s">
        <v>15012</v>
      </c>
      <c r="H21" s="670" t="s">
        <v>15013</v>
      </c>
      <c r="I21" s="670" t="s">
        <v>15014</v>
      </c>
      <c r="J21" s="670" t="s">
        <v>15012</v>
      </c>
      <c r="K21" s="670" t="s">
        <v>17465</v>
      </c>
      <c r="L21" s="670" t="s">
        <v>15015</v>
      </c>
      <c r="M21" s="2633" t="s">
        <v>15016</v>
      </c>
      <c r="N21" s="671" t="s">
        <v>15017</v>
      </c>
      <c r="O21" s="671" t="s">
        <v>15018</v>
      </c>
      <c r="P21" s="1421"/>
      <c r="Q21" s="1147"/>
      <c r="R21" s="1147"/>
      <c r="S21" s="1147"/>
      <c r="T21" s="1147"/>
      <c r="U21" s="238"/>
      <c r="W21" s="238"/>
      <c r="AH21" s="238"/>
      <c r="AJ21" s="652" t="s">
        <v>4202</v>
      </c>
      <c r="AK21" s="670" t="s">
        <v>15008</v>
      </c>
      <c r="AL21" s="670" t="s">
        <v>15009</v>
      </c>
      <c r="AM21" s="670" t="s">
        <v>15010</v>
      </c>
      <c r="AN21" s="670" t="s">
        <v>15011</v>
      </c>
      <c r="AO21" s="670" t="s">
        <v>15012</v>
      </c>
      <c r="AP21" s="670" t="s">
        <v>15013</v>
      </c>
      <c r="AQ21" s="670" t="s">
        <v>15014</v>
      </c>
      <c r="AR21" s="670" t="s">
        <v>15012</v>
      </c>
      <c r="AS21" s="670" t="s">
        <v>17465</v>
      </c>
      <c r="AT21" s="670" t="s">
        <v>17940</v>
      </c>
      <c r="AU21" s="670" t="s">
        <v>15016</v>
      </c>
      <c r="AV21" s="670" t="s">
        <v>15017</v>
      </c>
      <c r="AW21" s="670" t="s">
        <v>15018</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4"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5">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6"/>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18601</v>
      </c>
      <c r="C25" s="694">
        <v>0.16700000000000001</v>
      </c>
      <c r="D25" s="694">
        <v>0</v>
      </c>
      <c r="E25" s="694">
        <v>5.5E-2</v>
      </c>
      <c r="F25" s="694">
        <v>5.5E-2</v>
      </c>
      <c r="G25" s="1595">
        <f t="shared" ref="G25:G39" si="2">IFERROR(F25-E25,0)</f>
        <v>0</v>
      </c>
      <c r="H25" s="694">
        <v>0.16700000000000001</v>
      </c>
      <c r="I25" s="694">
        <v>0.16700000000000001</v>
      </c>
      <c r="J25" s="1595">
        <f t="shared" ref="J25:J39" si="3">IFERROR(I25-H25,0)</f>
        <v>0</v>
      </c>
      <c r="K25" s="694">
        <v>0</v>
      </c>
      <c r="L25" s="694">
        <v>6.0000000000000001E-3</v>
      </c>
      <c r="M25" s="2637">
        <v>0</v>
      </c>
      <c r="N25" s="695">
        <v>1.2999999999999999E-2</v>
      </c>
      <c r="O25" s="695">
        <v>6.0000000000000001E-3</v>
      </c>
      <c r="P25" s="1421"/>
      <c r="Q25" s="281" t="s">
        <v>15020</v>
      </c>
      <c r="R25" s="1147"/>
      <c r="S25" s="1233" t="s">
        <v>18604</v>
      </c>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15019</v>
      </c>
      <c r="AK25" s="694" t="s">
        <v>17722</v>
      </c>
      <c r="AL25" s="694" t="s">
        <v>17723</v>
      </c>
      <c r="AM25" s="694" t="s">
        <v>17724</v>
      </c>
      <c r="AN25" s="694" t="s">
        <v>17725</v>
      </c>
      <c r="AO25" s="1595" t="s">
        <v>17726</v>
      </c>
      <c r="AP25" s="694" t="s">
        <v>17727</v>
      </c>
      <c r="AQ25" s="694" t="s">
        <v>17728</v>
      </c>
      <c r="AR25" s="1595" t="s">
        <v>17729</v>
      </c>
      <c r="AS25" s="694" t="s">
        <v>17730</v>
      </c>
      <c r="AT25" s="694" t="s">
        <v>17731</v>
      </c>
      <c r="AU25" s="694" t="s">
        <v>17898</v>
      </c>
      <c r="AV25" s="695" t="s">
        <v>17732</v>
      </c>
      <c r="AW25" s="695" t="s">
        <v>17914</v>
      </c>
    </row>
    <row r="26" spans="1:49" ht="15.75" customHeight="1">
      <c r="A26" s="1147"/>
      <c r="B26" s="460" t="s">
        <v>18602</v>
      </c>
      <c r="C26" s="697">
        <v>0.26800000000000002</v>
      </c>
      <c r="D26" s="697">
        <v>0</v>
      </c>
      <c r="E26" s="697">
        <v>0.26800000000000002</v>
      </c>
      <c r="F26" s="697">
        <v>7.3999999999999996E-2</v>
      </c>
      <c r="G26" s="1597">
        <f t="shared" si="2"/>
        <v>-0.19400000000000001</v>
      </c>
      <c r="H26" s="697">
        <v>0.26800000000000002</v>
      </c>
      <c r="I26" s="697">
        <v>7.3999999999999996E-2</v>
      </c>
      <c r="J26" s="1597">
        <f t="shared" si="3"/>
        <v>-0.19400000000000001</v>
      </c>
      <c r="K26" s="697">
        <v>0.19400000000000001</v>
      </c>
      <c r="L26" s="697">
        <v>8.0000000000000002E-3</v>
      </c>
      <c r="M26" s="2638">
        <v>0</v>
      </c>
      <c r="N26" s="698">
        <v>8.0000000000000002E-3</v>
      </c>
      <c r="O26" s="698">
        <v>0</v>
      </c>
      <c r="P26" s="1421"/>
      <c r="Q26" s="290" t="s">
        <v>15022</v>
      </c>
      <c r="R26" s="1147"/>
      <c r="S26" s="1233" t="s">
        <v>18605</v>
      </c>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15021</v>
      </c>
      <c r="AK26" s="697" t="s">
        <v>17733</v>
      </c>
      <c r="AL26" s="697" t="s">
        <v>17734</v>
      </c>
      <c r="AM26" s="697" t="s">
        <v>17735</v>
      </c>
      <c r="AN26" s="697" t="s">
        <v>17736</v>
      </c>
      <c r="AO26" s="1597" t="s">
        <v>17737</v>
      </c>
      <c r="AP26" s="697" t="s">
        <v>17738</v>
      </c>
      <c r="AQ26" s="697" t="s">
        <v>17739</v>
      </c>
      <c r="AR26" s="1597" t="s">
        <v>17740</v>
      </c>
      <c r="AS26" s="697" t="s">
        <v>17741</v>
      </c>
      <c r="AT26" s="697" t="s">
        <v>17742</v>
      </c>
      <c r="AU26" s="697" t="s">
        <v>17899</v>
      </c>
      <c r="AV26" s="698" t="s">
        <v>17743</v>
      </c>
      <c r="AW26" s="698" t="s">
        <v>17915</v>
      </c>
    </row>
    <row r="27" spans="1:49" ht="15.75" customHeight="1">
      <c r="A27" s="1147"/>
      <c r="B27" s="460" t="s">
        <v>18603</v>
      </c>
      <c r="C27" s="697">
        <v>2.363</v>
      </c>
      <c r="D27" s="697">
        <v>0</v>
      </c>
      <c r="E27" s="697">
        <v>0.79300000000000004</v>
      </c>
      <c r="F27" s="697">
        <v>0.59299999999999997</v>
      </c>
      <c r="G27" s="1597">
        <f t="shared" si="2"/>
        <v>-0.20000000000000007</v>
      </c>
      <c r="H27" s="697">
        <v>2.363</v>
      </c>
      <c r="I27" s="697">
        <v>0.59299999999999997</v>
      </c>
      <c r="J27" s="1597">
        <f t="shared" si="3"/>
        <v>-1.77</v>
      </c>
      <c r="K27" s="697">
        <v>1.77</v>
      </c>
      <c r="L27" s="697">
        <v>0</v>
      </c>
      <c r="M27" s="2638">
        <v>0.109</v>
      </c>
      <c r="N27" s="698">
        <v>0</v>
      </c>
      <c r="O27" s="698">
        <v>0.109</v>
      </c>
      <c r="P27" s="1421"/>
      <c r="Q27" s="290" t="s">
        <v>15024</v>
      </c>
      <c r="R27" s="1147"/>
      <c r="S27" s="1233" t="s">
        <v>18606</v>
      </c>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15023</v>
      </c>
      <c r="AK27" s="697" t="s">
        <v>17744</v>
      </c>
      <c r="AL27" s="697" t="s">
        <v>17745</v>
      </c>
      <c r="AM27" s="697" t="s">
        <v>17746</v>
      </c>
      <c r="AN27" s="697" t="s">
        <v>17747</v>
      </c>
      <c r="AO27" s="1597" t="s">
        <v>17748</v>
      </c>
      <c r="AP27" s="697" t="s">
        <v>17749</v>
      </c>
      <c r="AQ27" s="697" t="s">
        <v>17750</v>
      </c>
      <c r="AR27" s="1597" t="s">
        <v>17751</v>
      </c>
      <c r="AS27" s="697" t="s">
        <v>17752</v>
      </c>
      <c r="AT27" s="697" t="s">
        <v>17753</v>
      </c>
      <c r="AU27" s="697" t="s">
        <v>17900</v>
      </c>
      <c r="AV27" s="698" t="s">
        <v>17754</v>
      </c>
      <c r="AW27" s="698" t="s">
        <v>17916</v>
      </c>
    </row>
    <row r="28" spans="1:49" ht="15.75" customHeight="1">
      <c r="A28" s="1147"/>
      <c r="B28" s="460" t="s">
        <v>15025</v>
      </c>
      <c r="C28" s="697"/>
      <c r="D28" s="697"/>
      <c r="E28" s="697"/>
      <c r="F28" s="697"/>
      <c r="G28" s="1597">
        <f t="shared" si="2"/>
        <v>0</v>
      </c>
      <c r="H28" s="697"/>
      <c r="I28" s="697"/>
      <c r="J28" s="1597">
        <f t="shared" si="3"/>
        <v>0</v>
      </c>
      <c r="K28" s="697"/>
      <c r="L28" s="697"/>
      <c r="M28" s="2638"/>
      <c r="N28" s="698"/>
      <c r="O28" s="698"/>
      <c r="P28" s="1421"/>
      <c r="Q28" s="290" t="s">
        <v>15026</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15025</v>
      </c>
      <c r="AK28" s="697" t="s">
        <v>17755</v>
      </c>
      <c r="AL28" s="697" t="s">
        <v>17756</v>
      </c>
      <c r="AM28" s="697" t="s">
        <v>17757</v>
      </c>
      <c r="AN28" s="697" t="s">
        <v>17758</v>
      </c>
      <c r="AO28" s="1597" t="s">
        <v>17759</v>
      </c>
      <c r="AP28" s="697" t="s">
        <v>17760</v>
      </c>
      <c r="AQ28" s="697" t="s">
        <v>17761</v>
      </c>
      <c r="AR28" s="1597" t="s">
        <v>17762</v>
      </c>
      <c r="AS28" s="697" t="s">
        <v>17763</v>
      </c>
      <c r="AT28" s="697" t="s">
        <v>17764</v>
      </c>
      <c r="AU28" s="697" t="s">
        <v>17901</v>
      </c>
      <c r="AV28" s="698" t="s">
        <v>17765</v>
      </c>
      <c r="AW28" s="698" t="s">
        <v>17917</v>
      </c>
    </row>
    <row r="29" spans="1:49" ht="15.75" customHeight="1">
      <c r="A29" s="1147"/>
      <c r="B29" s="460" t="s">
        <v>15027</v>
      </c>
      <c r="C29" s="697"/>
      <c r="D29" s="697"/>
      <c r="E29" s="697"/>
      <c r="F29" s="697"/>
      <c r="G29" s="1597">
        <f t="shared" si="2"/>
        <v>0</v>
      </c>
      <c r="H29" s="697"/>
      <c r="I29" s="697"/>
      <c r="J29" s="1597">
        <f t="shared" si="3"/>
        <v>0</v>
      </c>
      <c r="K29" s="697"/>
      <c r="L29" s="697"/>
      <c r="M29" s="2638"/>
      <c r="N29" s="698"/>
      <c r="O29" s="698"/>
      <c r="P29" s="1421"/>
      <c r="Q29" s="290" t="s">
        <v>15028</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15027</v>
      </c>
      <c r="AK29" s="697" t="s">
        <v>17766</v>
      </c>
      <c r="AL29" s="697" t="s">
        <v>17767</v>
      </c>
      <c r="AM29" s="697" t="s">
        <v>17768</v>
      </c>
      <c r="AN29" s="697" t="s">
        <v>17769</v>
      </c>
      <c r="AO29" s="1597" t="s">
        <v>17770</v>
      </c>
      <c r="AP29" s="697" t="s">
        <v>17771</v>
      </c>
      <c r="AQ29" s="697" t="s">
        <v>17772</v>
      </c>
      <c r="AR29" s="1597" t="s">
        <v>17773</v>
      </c>
      <c r="AS29" s="697" t="s">
        <v>17774</v>
      </c>
      <c r="AT29" s="697" t="s">
        <v>17775</v>
      </c>
      <c r="AU29" s="697" t="s">
        <v>17902</v>
      </c>
      <c r="AV29" s="698" t="s">
        <v>17776</v>
      </c>
      <c r="AW29" s="698" t="s">
        <v>17918</v>
      </c>
    </row>
    <row r="30" spans="1:49" ht="15.75" customHeight="1">
      <c r="A30" s="1147"/>
      <c r="B30" s="460" t="s">
        <v>15029</v>
      </c>
      <c r="C30" s="697"/>
      <c r="D30" s="697"/>
      <c r="E30" s="697"/>
      <c r="F30" s="697"/>
      <c r="G30" s="1597">
        <f t="shared" si="2"/>
        <v>0</v>
      </c>
      <c r="H30" s="697"/>
      <c r="I30" s="697"/>
      <c r="J30" s="1597">
        <f t="shared" si="3"/>
        <v>0</v>
      </c>
      <c r="K30" s="697"/>
      <c r="L30" s="697"/>
      <c r="M30" s="2638"/>
      <c r="N30" s="698"/>
      <c r="O30" s="698"/>
      <c r="P30" s="1421"/>
      <c r="Q30" s="290" t="s">
        <v>15030</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15029</v>
      </c>
      <c r="AK30" s="697" t="s">
        <v>17777</v>
      </c>
      <c r="AL30" s="697" t="s">
        <v>17778</v>
      </c>
      <c r="AM30" s="697" t="s">
        <v>17779</v>
      </c>
      <c r="AN30" s="697" t="s">
        <v>17780</v>
      </c>
      <c r="AO30" s="1597" t="s">
        <v>17781</v>
      </c>
      <c r="AP30" s="697" t="s">
        <v>17782</v>
      </c>
      <c r="AQ30" s="697" t="s">
        <v>17783</v>
      </c>
      <c r="AR30" s="1597" t="s">
        <v>17784</v>
      </c>
      <c r="AS30" s="697" t="s">
        <v>17785</v>
      </c>
      <c r="AT30" s="697" t="s">
        <v>17786</v>
      </c>
      <c r="AU30" s="697" t="s">
        <v>17903</v>
      </c>
      <c r="AV30" s="698" t="s">
        <v>17787</v>
      </c>
      <c r="AW30" s="698" t="s">
        <v>17919</v>
      </c>
    </row>
    <row r="31" spans="1:49" ht="15.75" customHeight="1">
      <c r="A31" s="1147"/>
      <c r="B31" s="460" t="s">
        <v>15031</v>
      </c>
      <c r="C31" s="697"/>
      <c r="D31" s="697"/>
      <c r="E31" s="697"/>
      <c r="F31" s="697"/>
      <c r="G31" s="1597">
        <f t="shared" si="2"/>
        <v>0</v>
      </c>
      <c r="H31" s="697"/>
      <c r="I31" s="697"/>
      <c r="J31" s="1597">
        <f t="shared" si="3"/>
        <v>0</v>
      </c>
      <c r="K31" s="697"/>
      <c r="L31" s="697"/>
      <c r="M31" s="2638"/>
      <c r="N31" s="698"/>
      <c r="O31" s="698"/>
      <c r="P31" s="1421"/>
      <c r="Q31" s="290" t="s">
        <v>15032</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15031</v>
      </c>
      <c r="AK31" s="697" t="s">
        <v>17788</v>
      </c>
      <c r="AL31" s="697" t="s">
        <v>17789</v>
      </c>
      <c r="AM31" s="697" t="s">
        <v>17790</v>
      </c>
      <c r="AN31" s="697" t="s">
        <v>17791</v>
      </c>
      <c r="AO31" s="1597" t="s">
        <v>17792</v>
      </c>
      <c r="AP31" s="697" t="s">
        <v>17793</v>
      </c>
      <c r="AQ31" s="697" t="s">
        <v>17794</v>
      </c>
      <c r="AR31" s="1597" t="s">
        <v>17795</v>
      </c>
      <c r="AS31" s="697" t="s">
        <v>17796</v>
      </c>
      <c r="AT31" s="697" t="s">
        <v>17797</v>
      </c>
      <c r="AU31" s="697" t="s">
        <v>17904</v>
      </c>
      <c r="AV31" s="698" t="s">
        <v>17798</v>
      </c>
      <c r="AW31" s="698" t="s">
        <v>17920</v>
      </c>
    </row>
    <row r="32" spans="1:49" ht="15.75" customHeight="1">
      <c r="A32" s="1147"/>
      <c r="B32" s="460" t="s">
        <v>15033</v>
      </c>
      <c r="C32" s="697"/>
      <c r="D32" s="697"/>
      <c r="E32" s="697"/>
      <c r="F32" s="697"/>
      <c r="G32" s="1597">
        <f t="shared" si="2"/>
        <v>0</v>
      </c>
      <c r="H32" s="697"/>
      <c r="I32" s="697"/>
      <c r="J32" s="1597">
        <f t="shared" si="3"/>
        <v>0</v>
      </c>
      <c r="K32" s="697"/>
      <c r="L32" s="697"/>
      <c r="M32" s="2638"/>
      <c r="N32" s="698"/>
      <c r="O32" s="698"/>
      <c r="P32" s="1421"/>
      <c r="Q32" s="290" t="s">
        <v>15034</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15033</v>
      </c>
      <c r="AK32" s="697" t="s">
        <v>17799</v>
      </c>
      <c r="AL32" s="697" t="s">
        <v>17800</v>
      </c>
      <c r="AM32" s="697" t="s">
        <v>17801</v>
      </c>
      <c r="AN32" s="697" t="s">
        <v>17802</v>
      </c>
      <c r="AO32" s="1597" t="s">
        <v>17803</v>
      </c>
      <c r="AP32" s="697" t="s">
        <v>17804</v>
      </c>
      <c r="AQ32" s="697" t="s">
        <v>17805</v>
      </c>
      <c r="AR32" s="1597" t="s">
        <v>17806</v>
      </c>
      <c r="AS32" s="697" t="s">
        <v>17807</v>
      </c>
      <c r="AT32" s="697" t="s">
        <v>17808</v>
      </c>
      <c r="AU32" s="697" t="s">
        <v>17905</v>
      </c>
      <c r="AV32" s="698" t="s">
        <v>17809</v>
      </c>
      <c r="AW32" s="698" t="s">
        <v>17921</v>
      </c>
    </row>
    <row r="33" spans="1:49" ht="15.75" customHeight="1">
      <c r="A33" s="1147"/>
      <c r="B33" s="460" t="s">
        <v>15035</v>
      </c>
      <c r="C33" s="697"/>
      <c r="D33" s="697"/>
      <c r="E33" s="697"/>
      <c r="F33" s="697"/>
      <c r="G33" s="1597">
        <f t="shared" si="2"/>
        <v>0</v>
      </c>
      <c r="H33" s="697"/>
      <c r="I33" s="697"/>
      <c r="J33" s="1597">
        <f t="shared" si="3"/>
        <v>0</v>
      </c>
      <c r="K33" s="697"/>
      <c r="L33" s="697"/>
      <c r="M33" s="2638"/>
      <c r="N33" s="698"/>
      <c r="O33" s="698"/>
      <c r="P33" s="1421"/>
      <c r="Q33" s="290" t="s">
        <v>15036</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15035</v>
      </c>
      <c r="AK33" s="697" t="s">
        <v>17810</v>
      </c>
      <c r="AL33" s="697" t="s">
        <v>17811</v>
      </c>
      <c r="AM33" s="697" t="s">
        <v>17812</v>
      </c>
      <c r="AN33" s="697" t="s">
        <v>17813</v>
      </c>
      <c r="AO33" s="1597" t="s">
        <v>17814</v>
      </c>
      <c r="AP33" s="697" t="s">
        <v>17815</v>
      </c>
      <c r="AQ33" s="697" t="s">
        <v>17816</v>
      </c>
      <c r="AR33" s="1597" t="s">
        <v>17817</v>
      </c>
      <c r="AS33" s="697" t="s">
        <v>17818</v>
      </c>
      <c r="AT33" s="697" t="s">
        <v>17819</v>
      </c>
      <c r="AU33" s="697" t="s">
        <v>17906</v>
      </c>
      <c r="AV33" s="698" t="s">
        <v>17820</v>
      </c>
      <c r="AW33" s="698" t="s">
        <v>17922</v>
      </c>
    </row>
    <row r="34" spans="1:49" ht="15.75" customHeight="1">
      <c r="A34" s="1147"/>
      <c r="B34" s="460" t="s">
        <v>15037</v>
      </c>
      <c r="C34" s="697"/>
      <c r="D34" s="697"/>
      <c r="E34" s="697"/>
      <c r="F34" s="697"/>
      <c r="G34" s="1597">
        <f t="shared" si="2"/>
        <v>0</v>
      </c>
      <c r="H34" s="697"/>
      <c r="I34" s="697"/>
      <c r="J34" s="1597">
        <f t="shared" si="3"/>
        <v>0</v>
      </c>
      <c r="K34" s="697"/>
      <c r="L34" s="697"/>
      <c r="M34" s="2638"/>
      <c r="N34" s="698"/>
      <c r="O34" s="698"/>
      <c r="P34" s="1421"/>
      <c r="Q34" s="290" t="s">
        <v>15038</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15037</v>
      </c>
      <c r="AK34" s="697" t="s">
        <v>17821</v>
      </c>
      <c r="AL34" s="697" t="s">
        <v>17822</v>
      </c>
      <c r="AM34" s="697" t="s">
        <v>17823</v>
      </c>
      <c r="AN34" s="697" t="s">
        <v>17824</v>
      </c>
      <c r="AO34" s="1597" t="s">
        <v>17825</v>
      </c>
      <c r="AP34" s="697" t="s">
        <v>17826</v>
      </c>
      <c r="AQ34" s="697" t="s">
        <v>17827</v>
      </c>
      <c r="AR34" s="1597" t="s">
        <v>17828</v>
      </c>
      <c r="AS34" s="697" t="s">
        <v>17829</v>
      </c>
      <c r="AT34" s="697" t="s">
        <v>17830</v>
      </c>
      <c r="AU34" s="697" t="s">
        <v>17907</v>
      </c>
      <c r="AV34" s="698" t="s">
        <v>17831</v>
      </c>
      <c r="AW34" s="698" t="s">
        <v>17923</v>
      </c>
    </row>
    <row r="35" spans="1:49" ht="15.75" customHeight="1">
      <c r="A35" s="1147"/>
      <c r="B35" s="460" t="s">
        <v>15039</v>
      </c>
      <c r="C35" s="697"/>
      <c r="D35" s="697"/>
      <c r="E35" s="697"/>
      <c r="F35" s="697"/>
      <c r="G35" s="1597">
        <f t="shared" si="2"/>
        <v>0</v>
      </c>
      <c r="H35" s="697"/>
      <c r="I35" s="697"/>
      <c r="J35" s="1597">
        <f t="shared" si="3"/>
        <v>0</v>
      </c>
      <c r="K35" s="697"/>
      <c r="L35" s="697"/>
      <c r="M35" s="2638"/>
      <c r="N35" s="698"/>
      <c r="O35" s="698"/>
      <c r="P35" s="1421"/>
      <c r="Q35" s="290" t="s">
        <v>15040</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15039</v>
      </c>
      <c r="AK35" s="697" t="s">
        <v>17832</v>
      </c>
      <c r="AL35" s="697" t="s">
        <v>17833</v>
      </c>
      <c r="AM35" s="697" t="s">
        <v>17834</v>
      </c>
      <c r="AN35" s="697" t="s">
        <v>17835</v>
      </c>
      <c r="AO35" s="1597" t="s">
        <v>17836</v>
      </c>
      <c r="AP35" s="697" t="s">
        <v>17837</v>
      </c>
      <c r="AQ35" s="697" t="s">
        <v>17838</v>
      </c>
      <c r="AR35" s="1597" t="s">
        <v>17839</v>
      </c>
      <c r="AS35" s="697" t="s">
        <v>17840</v>
      </c>
      <c r="AT35" s="697" t="s">
        <v>17841</v>
      </c>
      <c r="AU35" s="697" t="s">
        <v>17908</v>
      </c>
      <c r="AV35" s="698" t="s">
        <v>17842</v>
      </c>
      <c r="AW35" s="698" t="s">
        <v>17924</v>
      </c>
    </row>
    <row r="36" spans="1:49" ht="15.75" customHeight="1">
      <c r="A36" s="1147"/>
      <c r="B36" s="460" t="s">
        <v>15041</v>
      </c>
      <c r="C36" s="697"/>
      <c r="D36" s="697"/>
      <c r="E36" s="697"/>
      <c r="F36" s="697"/>
      <c r="G36" s="1597">
        <f t="shared" si="2"/>
        <v>0</v>
      </c>
      <c r="H36" s="697"/>
      <c r="I36" s="697"/>
      <c r="J36" s="1597">
        <f t="shared" si="3"/>
        <v>0</v>
      </c>
      <c r="K36" s="697"/>
      <c r="L36" s="697"/>
      <c r="M36" s="2638"/>
      <c r="N36" s="698"/>
      <c r="O36" s="698"/>
      <c r="P36" s="1421"/>
      <c r="Q36" s="290" t="s">
        <v>15042</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15041</v>
      </c>
      <c r="AK36" s="697" t="s">
        <v>17843</v>
      </c>
      <c r="AL36" s="697" t="s">
        <v>17844</v>
      </c>
      <c r="AM36" s="697" t="s">
        <v>17845</v>
      </c>
      <c r="AN36" s="697" t="s">
        <v>17846</v>
      </c>
      <c r="AO36" s="1597" t="s">
        <v>17847</v>
      </c>
      <c r="AP36" s="697" t="s">
        <v>17848</v>
      </c>
      <c r="AQ36" s="697" t="s">
        <v>17849</v>
      </c>
      <c r="AR36" s="1597" t="s">
        <v>17850</v>
      </c>
      <c r="AS36" s="697" t="s">
        <v>17851</v>
      </c>
      <c r="AT36" s="697" t="s">
        <v>17852</v>
      </c>
      <c r="AU36" s="697" t="s">
        <v>17909</v>
      </c>
      <c r="AV36" s="698" t="s">
        <v>17853</v>
      </c>
      <c r="AW36" s="698" t="s">
        <v>17925</v>
      </c>
    </row>
    <row r="37" spans="1:49" ht="15.75" customHeight="1">
      <c r="A37" s="1147"/>
      <c r="B37" s="460" t="s">
        <v>15043</v>
      </c>
      <c r="C37" s="697"/>
      <c r="D37" s="697"/>
      <c r="E37" s="697"/>
      <c r="F37" s="697"/>
      <c r="G37" s="1597">
        <f t="shared" si="2"/>
        <v>0</v>
      </c>
      <c r="H37" s="697"/>
      <c r="I37" s="697"/>
      <c r="J37" s="1597">
        <f t="shared" si="3"/>
        <v>0</v>
      </c>
      <c r="K37" s="697"/>
      <c r="L37" s="697"/>
      <c r="M37" s="2638"/>
      <c r="N37" s="698"/>
      <c r="O37" s="698"/>
      <c r="P37" s="1421"/>
      <c r="Q37" s="290" t="s">
        <v>15044</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15043</v>
      </c>
      <c r="AK37" s="697" t="s">
        <v>17854</v>
      </c>
      <c r="AL37" s="697" t="s">
        <v>17855</v>
      </c>
      <c r="AM37" s="697" t="s">
        <v>17856</v>
      </c>
      <c r="AN37" s="697" t="s">
        <v>17857</v>
      </c>
      <c r="AO37" s="1597" t="s">
        <v>17858</v>
      </c>
      <c r="AP37" s="697" t="s">
        <v>17859</v>
      </c>
      <c r="AQ37" s="697" t="s">
        <v>17860</v>
      </c>
      <c r="AR37" s="1597" t="s">
        <v>17861</v>
      </c>
      <c r="AS37" s="697" t="s">
        <v>17862</v>
      </c>
      <c r="AT37" s="697" t="s">
        <v>17863</v>
      </c>
      <c r="AU37" s="697" t="s">
        <v>17910</v>
      </c>
      <c r="AV37" s="698" t="s">
        <v>17864</v>
      </c>
      <c r="AW37" s="698" t="s">
        <v>17926</v>
      </c>
    </row>
    <row r="38" spans="1:49" ht="15.75" customHeight="1">
      <c r="A38" s="1147"/>
      <c r="B38" s="460" t="s">
        <v>15045</v>
      </c>
      <c r="C38" s="697"/>
      <c r="D38" s="697"/>
      <c r="E38" s="697"/>
      <c r="F38" s="697"/>
      <c r="G38" s="1597">
        <f t="shared" si="2"/>
        <v>0</v>
      </c>
      <c r="H38" s="697"/>
      <c r="I38" s="697"/>
      <c r="J38" s="1597">
        <f t="shared" si="3"/>
        <v>0</v>
      </c>
      <c r="K38" s="697"/>
      <c r="L38" s="697"/>
      <c r="M38" s="2638"/>
      <c r="N38" s="698"/>
      <c r="O38" s="698"/>
      <c r="P38" s="1421"/>
      <c r="Q38" s="290" t="s">
        <v>15046</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15045</v>
      </c>
      <c r="AK38" s="697" t="s">
        <v>17865</v>
      </c>
      <c r="AL38" s="697" t="s">
        <v>17866</v>
      </c>
      <c r="AM38" s="697" t="s">
        <v>17867</v>
      </c>
      <c r="AN38" s="697" t="s">
        <v>17868</v>
      </c>
      <c r="AO38" s="1597" t="s">
        <v>17869</v>
      </c>
      <c r="AP38" s="697" t="s">
        <v>17870</v>
      </c>
      <c r="AQ38" s="697" t="s">
        <v>17871</v>
      </c>
      <c r="AR38" s="1597" t="s">
        <v>17872</v>
      </c>
      <c r="AS38" s="697" t="s">
        <v>17873</v>
      </c>
      <c r="AT38" s="697" t="s">
        <v>17874</v>
      </c>
      <c r="AU38" s="697" t="s">
        <v>17911</v>
      </c>
      <c r="AV38" s="698" t="s">
        <v>17875</v>
      </c>
      <c r="AW38" s="698" t="s">
        <v>17927</v>
      </c>
    </row>
    <row r="39" spans="1:49" ht="15.75" customHeight="1">
      <c r="A39" s="1147"/>
      <c r="B39" s="460" t="s">
        <v>15047</v>
      </c>
      <c r="C39" s="697"/>
      <c r="D39" s="697"/>
      <c r="E39" s="697"/>
      <c r="F39" s="697"/>
      <c r="G39" s="1597">
        <f t="shared" si="2"/>
        <v>0</v>
      </c>
      <c r="H39" s="697"/>
      <c r="I39" s="697"/>
      <c r="J39" s="1597">
        <f t="shared" si="3"/>
        <v>0</v>
      </c>
      <c r="K39" s="697"/>
      <c r="L39" s="697"/>
      <c r="M39" s="2638"/>
      <c r="N39" s="698"/>
      <c r="O39" s="698"/>
      <c r="P39" s="1421"/>
      <c r="Q39" s="290" t="s">
        <v>15048</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15047</v>
      </c>
      <c r="AK39" s="697" t="s">
        <v>17876</v>
      </c>
      <c r="AL39" s="697" t="s">
        <v>17877</v>
      </c>
      <c r="AM39" s="697" t="s">
        <v>17878</v>
      </c>
      <c r="AN39" s="697" t="s">
        <v>17879</v>
      </c>
      <c r="AO39" s="1597" t="s">
        <v>17880</v>
      </c>
      <c r="AP39" s="697" t="s">
        <v>17881</v>
      </c>
      <c r="AQ39" s="697" t="s">
        <v>17882</v>
      </c>
      <c r="AR39" s="1597" t="s">
        <v>17883</v>
      </c>
      <c r="AS39" s="697" t="s">
        <v>17884</v>
      </c>
      <c r="AT39" s="697" t="s">
        <v>17885</v>
      </c>
      <c r="AU39" s="697" t="s">
        <v>17912</v>
      </c>
      <c r="AV39" s="698" t="s">
        <v>17886</v>
      </c>
      <c r="AW39" s="698" t="s">
        <v>17928</v>
      </c>
    </row>
    <row r="40" spans="1:49" ht="15.75" customHeight="1" thickBot="1">
      <c r="A40" s="1147"/>
      <c r="B40" s="463" t="s">
        <v>4425</v>
      </c>
      <c r="C40" s="1589">
        <f t="shared" ref="C40:N40" si="14">IFERROR(SUM(C25:C39),0)</f>
        <v>2.798</v>
      </c>
      <c r="D40" s="1589">
        <f>IFERROR(SUM(D25:D39),0)</f>
        <v>0</v>
      </c>
      <c r="E40" s="1589">
        <f t="shared" si="14"/>
        <v>1.1160000000000001</v>
      </c>
      <c r="F40" s="1589">
        <f t="shared" si="14"/>
        <v>0.72199999999999998</v>
      </c>
      <c r="G40" s="1589">
        <f t="shared" si="14"/>
        <v>-0.39400000000000007</v>
      </c>
      <c r="H40" s="1589">
        <f t="shared" si="14"/>
        <v>2.798</v>
      </c>
      <c r="I40" s="1589">
        <f t="shared" si="14"/>
        <v>0.83399999999999996</v>
      </c>
      <c r="J40" s="1589">
        <f t="shared" si="14"/>
        <v>-1.964</v>
      </c>
      <c r="K40" s="1589">
        <f t="shared" si="14"/>
        <v>1.964</v>
      </c>
      <c r="L40" s="1589">
        <f t="shared" si="14"/>
        <v>1.4E-2</v>
      </c>
      <c r="M40" s="1589">
        <f>IFERROR(SUM(M25:M39),0)</f>
        <v>0.109</v>
      </c>
      <c r="N40" s="1599">
        <f t="shared" si="14"/>
        <v>2.0999999999999998E-2</v>
      </c>
      <c r="O40" s="1599">
        <f>IFERROR(SUM(O25:O39),0)</f>
        <v>0.115</v>
      </c>
      <c r="P40" s="1421"/>
      <c r="Q40" s="356" t="s">
        <v>15049</v>
      </c>
      <c r="R40" s="1147"/>
      <c r="S40" s="302"/>
      <c r="T40" s="1147"/>
      <c r="U40" s="238"/>
      <c r="W40" s="238"/>
      <c r="AH40" s="238"/>
      <c r="AJ40" s="463" t="s">
        <v>4425</v>
      </c>
      <c r="AK40" s="1589" t="s">
        <v>17887</v>
      </c>
      <c r="AL40" s="1589" t="s">
        <v>17888</v>
      </c>
      <c r="AM40" s="1589" t="s">
        <v>17889</v>
      </c>
      <c r="AN40" s="1589" t="s">
        <v>17890</v>
      </c>
      <c r="AO40" s="1589" t="s">
        <v>17891</v>
      </c>
      <c r="AP40" s="1589" t="s">
        <v>17892</v>
      </c>
      <c r="AQ40" s="1589" t="s">
        <v>17893</v>
      </c>
      <c r="AR40" s="1589" t="s">
        <v>17894</v>
      </c>
      <c r="AS40" s="1589" t="s">
        <v>17895</v>
      </c>
      <c r="AT40" s="1589" t="s">
        <v>17896</v>
      </c>
      <c r="AU40" s="1589" t="s">
        <v>17913</v>
      </c>
      <c r="AV40" s="1599" t="s">
        <v>17897</v>
      </c>
      <c r="AW40" s="1599" t="s">
        <v>17929</v>
      </c>
    </row>
    <row r="41" spans="1:49" ht="16.2"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6">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6">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6">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69921875" defaultRowHeight="13.8"/>
  <cols>
    <col min="1" max="1" width="8.69921875" style="219"/>
    <col min="2" max="2" width="16.19921875" style="219" bestFit="1" customWidth="1"/>
    <col min="3" max="3" width="107.19921875" style="219" bestFit="1" customWidth="1"/>
    <col min="4" max="4" width="5.19921875" style="219" bestFit="1" customWidth="1"/>
    <col min="5" max="5" width="17.5" style="219" bestFit="1" customWidth="1"/>
    <col min="6" max="6" width="8.69921875" style="219" bestFit="1" customWidth="1"/>
    <col min="7" max="16384" width="8.69921875" style="219"/>
  </cols>
  <sheetData>
    <row r="1" spans="1:6">
      <c r="C1" s="219" t="str">
        <f>CONCATENATE(Lists!$B$60,"_APR2022_F5")</f>
        <v>WSH_APR2022_F5</v>
      </c>
    </row>
    <row r="2" spans="1:6">
      <c r="A2" s="219" t="s">
        <v>3</v>
      </c>
      <c r="B2" s="249" t="s">
        <v>628</v>
      </c>
      <c r="C2" s="249" t="s">
        <v>629</v>
      </c>
      <c r="D2" s="249" t="s">
        <v>630</v>
      </c>
      <c r="E2" s="249" t="s">
        <v>631</v>
      </c>
      <c r="F2" s="251" t="s">
        <v>632</v>
      </c>
    </row>
    <row r="3" spans="1:6">
      <c r="B3" s="239"/>
      <c r="C3" s="250"/>
      <c r="D3" s="249"/>
      <c r="E3" s="249"/>
    </row>
    <row r="4" spans="1:6">
      <c r="B4" s="219" t="str">
        <f>'5A'!R8</f>
        <v>B0009WRAVIR</v>
      </c>
      <c r="C4" s="219" t="s">
        <v>3707</v>
      </c>
      <c r="E4" s="249" t="s">
        <v>634</v>
      </c>
      <c r="F4" s="252">
        <f>IF(ISBLANK('5A'!E8),"##BLANK",'5A'!E8)</f>
        <v>677.68553466015362</v>
      </c>
    </row>
    <row r="5" spans="1:6">
      <c r="B5" s="219" t="str">
        <f>'5A'!R9</f>
        <v>B0009WRAVPSR</v>
      </c>
      <c r="C5" s="219" t="s">
        <v>3708</v>
      </c>
      <c r="E5" s="249" t="s">
        <v>634</v>
      </c>
      <c r="F5" s="252">
        <f>IF(ISBLANK('5A'!E9),"##BLANK",'5A'!E9)</f>
        <v>282.34195385505188</v>
      </c>
    </row>
    <row r="6" spans="1:6">
      <c r="B6" s="219" t="str">
        <f>'5A'!R10</f>
        <v>B0009WRAVRA</v>
      </c>
      <c r="C6" s="219" t="s">
        <v>3709</v>
      </c>
      <c r="E6" s="249" t="s">
        <v>634</v>
      </c>
      <c r="F6" s="252">
        <f>IF(ISBLANK('5A'!E10),"##BLANK",'5A'!E10)</f>
        <v>223.87589703802752</v>
      </c>
    </row>
    <row r="7" spans="1:6">
      <c r="B7" s="1781" t="str">
        <f>'5A'!R11</f>
        <v>B0009WRAVGW</v>
      </c>
      <c r="C7" s="219" t="s">
        <v>3710</v>
      </c>
      <c r="E7" s="249" t="s">
        <v>634</v>
      </c>
      <c r="F7" s="252">
        <f>IF(ISBLANK('5A'!E11),"##BLANK",'5A'!E11)</f>
        <v>29.916714477837257</v>
      </c>
    </row>
    <row r="8" spans="1:6">
      <c r="B8" s="1781" t="str">
        <f>'5A'!R12</f>
        <v>B0009WRAVAR</v>
      </c>
      <c r="C8" s="219" t="s">
        <v>3711</v>
      </c>
      <c r="E8" s="249" t="s">
        <v>634</v>
      </c>
      <c r="F8" s="252">
        <f>IF(ISBLANK('5A'!E12),"##BLANK",'5A'!E12)</f>
        <v>0</v>
      </c>
    </row>
    <row r="9" spans="1:6">
      <c r="B9" s="1781" t="str">
        <f>'5A'!R13</f>
        <v>B0009WRAVASR</v>
      </c>
      <c r="C9" s="219" t="s">
        <v>3712</v>
      </c>
      <c r="E9" s="249" t="s">
        <v>634</v>
      </c>
      <c r="F9" s="252">
        <f>IF(ISBLANK('5A'!E13),"##BLANK",'5A'!E13)</f>
        <v>0</v>
      </c>
    </row>
    <row r="10" spans="1:6">
      <c r="B10" s="1781" t="str">
        <f>'5A'!R14</f>
        <v>B0009WRAVSA</v>
      </c>
      <c r="C10" s="219" t="s">
        <v>3713</v>
      </c>
      <c r="E10" s="249" t="s">
        <v>634</v>
      </c>
      <c r="F10" s="252">
        <f>IF(ISBLANK('5A'!E14),"##BLANK",'5A'!E14)</f>
        <v>0</v>
      </c>
    </row>
    <row r="11" spans="1:6">
      <c r="B11" s="1781" t="str">
        <f>'5A'!R15</f>
        <v>B0009WRAVWRS</v>
      </c>
      <c r="C11" s="219" t="s">
        <v>3714</v>
      </c>
      <c r="E11" s="249" t="s">
        <v>634</v>
      </c>
      <c r="F11" s="252">
        <f>IF(ISBLANK('5A'!E15),"##BLANK",'5A'!E15)</f>
        <v>0</v>
      </c>
    </row>
    <row r="12" spans="1:6">
      <c r="B12" s="219" t="str">
        <f>'5A'!R16</f>
        <v>BN4830</v>
      </c>
      <c r="C12" s="219" t="s">
        <v>3715</v>
      </c>
      <c r="E12" s="249" t="s">
        <v>634</v>
      </c>
      <c r="F12" s="252">
        <f>IF(ISBLANK('5A'!E16),"##BLANK",'5A'!E16)</f>
        <v>37</v>
      </c>
    </row>
    <row r="13" spans="1:6">
      <c r="B13" s="219" t="str">
        <f>'5A'!R17</f>
        <v>BN4849</v>
      </c>
      <c r="C13" s="219" t="s">
        <v>3716</v>
      </c>
      <c r="E13" s="249" t="s">
        <v>634</v>
      </c>
      <c r="F13" s="252">
        <f>IF(ISBLANK('5A'!E17),"##BLANK",'5A'!E17)</f>
        <v>4</v>
      </c>
    </row>
    <row r="14" spans="1:6">
      <c r="B14" s="219" t="str">
        <f>'5A'!R18</f>
        <v>BN4835</v>
      </c>
      <c r="C14" s="219" t="s">
        <v>3717</v>
      </c>
      <c r="E14" s="249" t="s">
        <v>634</v>
      </c>
      <c r="F14" s="252">
        <f>IF(ISBLANK('5A'!E18),"##BLANK",'5A'!E18)</f>
        <v>26</v>
      </c>
    </row>
    <row r="15" spans="1:6">
      <c r="B15" s="219" t="str">
        <f>'5A'!R19</f>
        <v>BN4851</v>
      </c>
      <c r="C15" s="219" t="s">
        <v>3718</v>
      </c>
      <c r="E15" s="249" t="s">
        <v>634</v>
      </c>
      <c r="F15" s="252">
        <f>IF(ISBLANK('5A'!E19),"##BLANK",'5A'!E19)</f>
        <v>14</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81</v>
      </c>
    </row>
    <row r="21" spans="2:6">
      <c r="B21" s="219" t="str">
        <f>'5A'!R25</f>
        <v>BN10190</v>
      </c>
      <c r="C21" s="219" t="s">
        <v>3724</v>
      </c>
      <c r="E21" s="249" t="s">
        <v>634</v>
      </c>
      <c r="F21" s="252">
        <f>IF(ISBLANK('5A'!E25),"##BLANK",'5A'!E25)</f>
        <v>73</v>
      </c>
    </row>
    <row r="22" spans="2:6">
      <c r="B22" s="219" t="str">
        <f>'5A'!R26</f>
        <v>BN10191</v>
      </c>
      <c r="C22" s="219" t="s">
        <v>3725</v>
      </c>
      <c r="E22" s="249" t="s">
        <v>634</v>
      </c>
      <c r="F22" s="252">
        <f>IF(ISBLANK('5A'!E26),"##BLANK",'5A'!E26)</f>
        <v>459105</v>
      </c>
    </row>
    <row r="23" spans="2:6">
      <c r="B23" s="219" t="str">
        <f>'5A'!R27</f>
        <v>W5003</v>
      </c>
      <c r="C23" s="219" t="s">
        <v>3726</v>
      </c>
      <c r="E23" s="249" t="s">
        <v>634</v>
      </c>
      <c r="F23" s="252">
        <f>IF(ISBLANK('5A'!E27),"##BLANK",'5A'!E27)</f>
        <v>56</v>
      </c>
    </row>
    <row r="24" spans="2:6">
      <c r="B24" s="219" t="str">
        <f>'5A'!R28</f>
        <v>W5003CAP</v>
      </c>
      <c r="C24" s="219" t="s">
        <v>3727</v>
      </c>
      <c r="E24" s="249" t="s">
        <v>634</v>
      </c>
      <c r="F24" s="252">
        <f>IF(ISBLANK('5A'!E28),"##BLANK",'5A'!E28)</f>
        <v>32522</v>
      </c>
    </row>
    <row r="25" spans="2:6">
      <c r="B25" s="219" t="str">
        <f>'5A'!R29</f>
        <v>BN10290</v>
      </c>
      <c r="C25" s="219" t="s">
        <v>3728</v>
      </c>
      <c r="E25" s="249" t="s">
        <v>634</v>
      </c>
      <c r="F25" s="252">
        <f>IF(ISBLANK('5A'!E29),"##BLANK",'5A'!E29)</f>
        <v>78.84</v>
      </c>
    </row>
    <row r="26" spans="2:6">
      <c r="B26" s="219" t="str">
        <f>'5A'!R30</f>
        <v>BN4861</v>
      </c>
      <c r="C26" s="219" t="s">
        <v>3729</v>
      </c>
      <c r="E26" s="249" t="s">
        <v>634</v>
      </c>
      <c r="F26" s="252">
        <f>IF(ISBLANK('5A'!E30),"##BLANK",'5A'!E30)</f>
        <v>37.46</v>
      </c>
    </row>
    <row r="27" spans="2:6">
      <c r="B27" s="219" t="str">
        <f>'5A'!R31</f>
        <v>B0009WRAVEC</v>
      </c>
      <c r="C27" s="219" t="s">
        <v>3730</v>
      </c>
      <c r="E27" s="249" t="s">
        <v>634</v>
      </c>
      <c r="F27" s="252">
        <f>IF(ISBLANK('5A'!E31),"##BLANK",'5A'!E31)</f>
        <v>65162.906000000003</v>
      </c>
    </row>
    <row r="28" spans="2:6">
      <c r="B28" s="219" t="str">
        <f>'5A'!R32</f>
        <v>B0009WRAVTNI</v>
      </c>
      <c r="C28" s="219" t="s">
        <v>3731</v>
      </c>
      <c r="E28" s="249" t="s">
        <v>634</v>
      </c>
      <c r="F28" s="252">
        <f>IF(ISBLANK('5A'!E32),"##BLANK",'5A'!E32)</f>
        <v>0</v>
      </c>
    </row>
    <row r="29" spans="2:6">
      <c r="B29" s="1781" t="str">
        <f>'5A'!R33</f>
        <v>B0009WRAVWI3</v>
      </c>
      <c r="C29" s="219" t="s">
        <v>3732</v>
      </c>
      <c r="E29" s="249" t="s">
        <v>634</v>
      </c>
      <c r="F29" s="252">
        <f>IF(ISBLANK('5A'!E33),"##BLANK",'5A'!E33)</f>
        <v>0</v>
      </c>
    </row>
    <row r="30" spans="2:6">
      <c r="B30" s="219" t="str">
        <f>'5A'!R34</f>
        <v>B0009WRAVTNE</v>
      </c>
      <c r="C30" s="219" t="s">
        <v>3733</v>
      </c>
      <c r="E30" s="249" t="s">
        <v>634</v>
      </c>
      <c r="F30" s="252">
        <f>IF(ISBLANK('5A'!E34),"##BLANK",'5A'!E34)</f>
        <v>1</v>
      </c>
    </row>
    <row r="31" spans="2:6">
      <c r="B31" s="219" t="str">
        <f>'5A'!R35</f>
        <v>B0009WRAVWE3</v>
      </c>
      <c r="C31" s="219" t="s">
        <v>3734</v>
      </c>
      <c r="E31" s="249" t="s">
        <v>634</v>
      </c>
      <c r="F31" s="252">
        <f>IF(ISBLANK('5A'!E35),"##BLANK",'5A'!E35)</f>
        <v>280.57</v>
      </c>
    </row>
    <row r="32" spans="2:6">
      <c r="B32" s="1781" t="str">
        <f>'5A'!R36</f>
        <v>BN4859</v>
      </c>
      <c r="C32" s="219" t="s">
        <v>3735</v>
      </c>
      <c r="E32" s="249" t="s">
        <v>634</v>
      </c>
      <c r="F32" s="252">
        <f>IF(ISBLANK('5A'!E36),"##BLANK",'5A'!E36)</f>
        <v>932.7</v>
      </c>
    </row>
    <row r="33" spans="2:6">
      <c r="B33" s="1781" t="str">
        <f>'5A'!R37</f>
        <v>B4860_TOT</v>
      </c>
      <c r="C33" s="219" t="s">
        <v>18131</v>
      </c>
      <c r="E33" s="249" t="s">
        <v>634</v>
      </c>
      <c r="F33" s="252">
        <f>IF(ISBLANK('5A'!E37),"##BLANK",'5A'!E37)</f>
        <v>4</v>
      </c>
    </row>
    <row r="34" spans="2:6">
      <c r="B34" s="219" t="str">
        <f>'5B'!AE8</f>
        <v>BM102IR</v>
      </c>
      <c r="C34" s="219" t="s">
        <v>3736</v>
      </c>
      <c r="E34" s="249" t="s">
        <v>634</v>
      </c>
      <c r="F34" s="255">
        <f>IF(ISBLANK('5B'!E8),"##BLANK",'5B'!E8)</f>
        <v>0.55800000000000005</v>
      </c>
    </row>
    <row r="35" spans="2:6">
      <c r="B35" s="219" t="str">
        <f>'5B'!AF8</f>
        <v>BM102PS</v>
      </c>
      <c r="C35" s="219" t="s">
        <v>3737</v>
      </c>
      <c r="E35" s="249" t="s">
        <v>634</v>
      </c>
      <c r="F35" s="255">
        <f>IF(ISBLANK('5B'!F8),"##BLANK",'5B'!F8)</f>
        <v>0.57799999999999996</v>
      </c>
    </row>
    <row r="36" spans="2:6">
      <c r="B36" s="219" t="str">
        <f>'5B'!AG8</f>
        <v>BM102RS</v>
      </c>
      <c r="C36" s="219" t="s">
        <v>3738</v>
      </c>
      <c r="E36" s="249" t="s">
        <v>634</v>
      </c>
      <c r="F36" s="255">
        <f>IF(ISBLANK('5B'!G8),"##BLANK",'5B'!G8)</f>
        <v>8.9039999999999999</v>
      </c>
    </row>
    <row r="37" spans="2:6">
      <c r="B37" s="219" t="str">
        <f>'5B'!AH8</f>
        <v>BM102BO</v>
      </c>
      <c r="C37" s="219" t="s">
        <v>3739</v>
      </c>
      <c r="E37" s="249" t="s">
        <v>634</v>
      </c>
      <c r="F37" s="255">
        <f>IF(ISBLANK('5B'!H8),"##BLANK",'5B'!H8)</f>
        <v>0.73399999999999999</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10.773999999999999</v>
      </c>
    </row>
    <row r="42" spans="2:6">
      <c r="B42" s="219" t="str">
        <f>'5B'!AE9</f>
        <v>BM836IR</v>
      </c>
      <c r="C42" s="219" t="s">
        <v>3743</v>
      </c>
      <c r="E42" s="249" t="s">
        <v>634</v>
      </c>
      <c r="F42" s="255">
        <f>IF(ISBLANK('5B'!E9),"##BLANK",'5B'!E9)</f>
        <v>-6.4409999999999998</v>
      </c>
    </row>
    <row r="43" spans="2:6">
      <c r="B43" s="219" t="str">
        <f>'5B'!AF9</f>
        <v>BM836PS</v>
      </c>
      <c r="C43" s="219" t="s">
        <v>3744</v>
      </c>
      <c r="E43" s="249" t="s">
        <v>634</v>
      </c>
      <c r="F43" s="255">
        <f>IF(ISBLANK('5B'!F9),"##BLANK",'5B'!F9)</f>
        <v>-0.03</v>
      </c>
    </row>
    <row r="44" spans="2:6">
      <c r="B44" s="219" t="str">
        <f>'5B'!AG9</f>
        <v>BM836RS</v>
      </c>
      <c r="C44" s="219" t="s">
        <v>3745</v>
      </c>
      <c r="E44" s="249" t="s">
        <v>634</v>
      </c>
      <c r="F44" s="255">
        <f>IF(ISBLANK('5B'!G9),"##BLANK",'5B'!G9)</f>
        <v>-0.23699999999999999</v>
      </c>
    </row>
    <row r="45" spans="2:6">
      <c r="B45" s="219" t="str">
        <f>'5B'!AH9</f>
        <v>BM836BO</v>
      </c>
      <c r="C45" s="219" t="s">
        <v>3746</v>
      </c>
      <c r="E45" s="249" t="s">
        <v>634</v>
      </c>
      <c r="F45" s="255">
        <f>IF(ISBLANK('5B'!H9),"##BLANK",'5B'!H9)</f>
        <v>-3.4000000000000002E-2</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-6.742</v>
      </c>
    </row>
    <row r="50" spans="2:6">
      <c r="B50" s="219" t="str">
        <f>'5B'!AE10</f>
        <v>WS1003IR</v>
      </c>
      <c r="C50" s="219" t="s">
        <v>3751</v>
      </c>
      <c r="E50" s="249" t="s">
        <v>634</v>
      </c>
      <c r="F50" s="255">
        <f>IF(ISBLANK('5B'!E10),"##BLANK",'5B'!E10)</f>
        <v>2.95</v>
      </c>
    </row>
    <row r="51" spans="2:6">
      <c r="B51" s="219" t="str">
        <f>'5B'!AF10</f>
        <v>WS1003PS</v>
      </c>
      <c r="C51" s="219" t="s">
        <v>3752</v>
      </c>
      <c r="E51" s="249" t="s">
        <v>634</v>
      </c>
      <c r="F51" s="255">
        <f>IF(ISBLANK('5B'!F10),"##BLANK",'5B'!F10)</f>
        <v>0.75800000000000001</v>
      </c>
    </row>
    <row r="52" spans="2:6">
      <c r="B52" s="219" t="str">
        <f>'5B'!AG10</f>
        <v>WS1003RS</v>
      </c>
      <c r="C52" s="219" t="s">
        <v>3753</v>
      </c>
      <c r="E52" s="249" t="s">
        <v>634</v>
      </c>
      <c r="F52" s="255">
        <f>IF(ISBLANK('5B'!G10),"##BLANK",'5B'!G10)</f>
        <v>5.5709999999999997</v>
      </c>
    </row>
    <row r="53" spans="2:6">
      <c r="B53" s="219" t="str">
        <f>'5B'!AH10</f>
        <v>WS1003BO</v>
      </c>
      <c r="C53" s="219" t="s">
        <v>3754</v>
      </c>
      <c r="E53" s="249" t="s">
        <v>634</v>
      </c>
      <c r="F53" s="255">
        <f>IF(ISBLANK('5B'!H10),"##BLANK",'5B'!H10)</f>
        <v>0.38200000000000001</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9.6609999999999996</v>
      </c>
    </row>
    <row r="58" spans="2:6">
      <c r="B58" s="219" t="str">
        <f>'5B'!AE11</f>
        <v>BM240IR</v>
      </c>
      <c r="C58" s="219" t="s">
        <v>3759</v>
      </c>
      <c r="E58" s="249" t="s">
        <v>634</v>
      </c>
      <c r="F58" s="255">
        <f>IF(ISBLANK('5B'!E11),"##BLANK",'5B'!E11)</f>
        <v>0.84799999999999998</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-0.38900000000000001</v>
      </c>
    </row>
    <row r="61" spans="2:6">
      <c r="B61" s="219" t="str">
        <f>'5B'!AH11</f>
        <v>BM240BO</v>
      </c>
      <c r="C61" s="219" t="s">
        <v>3762</v>
      </c>
      <c r="E61" s="249" t="s">
        <v>634</v>
      </c>
      <c r="F61" s="255">
        <f>IF(ISBLANK('5B'!H11),"##BLANK",'5B'!H11)</f>
        <v>-0.317</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0.14199999999999996</v>
      </c>
    </row>
    <row r="66" spans="2:6">
      <c r="B66" s="219" t="str">
        <f>'5B'!AE14</f>
        <v>WS1005IR</v>
      </c>
      <c r="C66" s="219" t="s">
        <v>3767</v>
      </c>
      <c r="E66" s="249" t="s">
        <v>634</v>
      </c>
      <c r="F66" s="255">
        <f>IF(ISBLANK('5B'!E14),"##BLANK",'5B'!E14)</f>
        <v>0.65100000000000002</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0.65100000000000002</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7.7552379683597001</v>
      </c>
    </row>
    <row r="83" spans="2:6">
      <c r="B83" s="219" t="str">
        <f>'5B'!AF16</f>
        <v>BM110PS</v>
      </c>
      <c r="C83" s="219" t="s">
        <v>3784</v>
      </c>
      <c r="E83" s="249" t="s">
        <v>634</v>
      </c>
      <c r="F83" s="255">
        <f>IF(ISBLANK('5B'!F16),"##BLANK",'5B'!F16)</f>
        <v>0.85351014154870941</v>
      </c>
    </row>
    <row r="84" spans="2:6">
      <c r="B84" s="219" t="str">
        <f>'5B'!AG16</f>
        <v>BM110RS</v>
      </c>
      <c r="C84" s="219" t="s">
        <v>3785</v>
      </c>
      <c r="E84" s="249" t="s">
        <v>634</v>
      </c>
      <c r="F84" s="255">
        <f>IF(ISBLANK('5B'!G16),"##BLANK",'5B'!G16)</f>
        <v>3.7737191340549545</v>
      </c>
    </row>
    <row r="85" spans="2:6">
      <c r="B85" s="219" t="str">
        <f>'5B'!AH16</f>
        <v>BM110BO</v>
      </c>
      <c r="C85" s="219" t="s">
        <v>3786</v>
      </c>
      <c r="E85" s="249" t="s">
        <v>634</v>
      </c>
      <c r="F85" s="255">
        <f>IF(ISBLANK('5B'!H16),"##BLANK",'5B'!H16)</f>
        <v>1.8925327560366361</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14.275000000000002</v>
      </c>
    </row>
    <row r="90" spans="2:6">
      <c r="B90" s="219" t="str">
        <f>'5B'!AE17</f>
        <v>BM817IR</v>
      </c>
      <c r="C90" s="219" t="s">
        <v>3791</v>
      </c>
      <c r="E90" s="249" t="s">
        <v>634</v>
      </c>
      <c r="F90" s="255">
        <f>IF(ISBLANK('5B'!E17),"##BLANK",'5B'!E17)</f>
        <v>2.1070000000000002</v>
      </c>
    </row>
    <row r="91" spans="2:6">
      <c r="B91" s="219" t="str">
        <f>'5B'!AF17</f>
        <v>BM817PS</v>
      </c>
      <c r="C91" s="219" t="s">
        <v>3792</v>
      </c>
      <c r="E91" s="249" t="s">
        <v>634</v>
      </c>
      <c r="F91" s="255">
        <f>IF(ISBLANK('5B'!F17),"##BLANK",'5B'!F17)</f>
        <v>2E-3</v>
      </c>
    </row>
    <row r="92" spans="2:6">
      <c r="B92" s="219" t="str">
        <f>'5B'!AG17</f>
        <v>BM817RS</v>
      </c>
      <c r="C92" s="219" t="s">
        <v>3793</v>
      </c>
      <c r="E92" s="249" t="s">
        <v>634</v>
      </c>
      <c r="F92" s="255">
        <f>IF(ISBLANK('5B'!G17),"##BLANK",'5B'!G17)</f>
        <v>7.3999999999999996E-2</v>
      </c>
    </row>
    <row r="93" spans="2:6">
      <c r="B93" s="219" t="str">
        <f>'5B'!AH17</f>
        <v>BM817BO</v>
      </c>
      <c r="C93" s="219" t="s">
        <v>3794</v>
      </c>
      <c r="E93" s="249" t="s">
        <v>634</v>
      </c>
      <c r="F93" s="255">
        <f>IF(ISBLANK('5B'!H17),"##BLANK",'5B'!H17)</f>
        <v>4.9000000000000002E-2</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2.2319999999999998</v>
      </c>
    </row>
    <row r="98" spans="2:6">
      <c r="B98" s="219" t="str">
        <f>'5B'!AE18</f>
        <v>BM316IR</v>
      </c>
      <c r="C98" s="219" t="s">
        <v>3798</v>
      </c>
      <c r="E98" s="249" t="s">
        <v>634</v>
      </c>
      <c r="F98" s="255">
        <f>IF(ISBLANK('5B'!E18),"##BLANK",'5B'!E18)</f>
        <v>8.4282379683596993</v>
      </c>
    </row>
    <row r="99" spans="2:6">
      <c r="B99" s="219" t="str">
        <f>'5B'!AF18</f>
        <v>BM316PS</v>
      </c>
      <c r="C99" s="219" t="s">
        <v>3799</v>
      </c>
      <c r="E99" s="249" t="s">
        <v>634</v>
      </c>
      <c r="F99" s="255">
        <f>IF(ISBLANK('5B'!F18),"##BLANK",'5B'!F18)</f>
        <v>2.1615101415487095</v>
      </c>
    </row>
    <row r="100" spans="2:6">
      <c r="B100" s="219" t="str">
        <f>'5B'!AG18</f>
        <v>BM316RS</v>
      </c>
      <c r="C100" s="219" t="s">
        <v>3800</v>
      </c>
      <c r="E100" s="249" t="s">
        <v>634</v>
      </c>
      <c r="F100" s="255">
        <f>IF(ISBLANK('5B'!G18),"##BLANK",'5B'!G18)</f>
        <v>17.696719134054955</v>
      </c>
    </row>
    <row r="101" spans="2:6">
      <c r="B101" s="219" t="str">
        <f>'5B'!AH18</f>
        <v>BM316BO</v>
      </c>
      <c r="C101" s="219" t="s">
        <v>3801</v>
      </c>
      <c r="E101" s="249" t="s">
        <v>634</v>
      </c>
      <c r="F101" s="255">
        <f>IF(ISBLANK('5B'!H18),"##BLANK",'5B'!H18)</f>
        <v>2.7065327560366357</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30.993000000000002</v>
      </c>
    </row>
  </sheetData>
  <sheetProtection sort="0"/>
  <conditionalFormatting sqref="B2">
    <cfRule type="duplicateValues" dxfId="231" priority="1"/>
    <cfRule type="duplicateValues" dxfId="230" priority="3"/>
    <cfRule type="duplicateValues" dxfId="229" priority="4"/>
  </conditionalFormatting>
  <conditionalFormatting sqref="B4:B33">
    <cfRule type="expression" dxfId="228" priority="8">
      <formula>$C4="New Bon"</formula>
    </cfRule>
  </conditionalFormatting>
  <conditionalFormatting sqref="B34:B43">
    <cfRule type="expression" dxfId="227" priority="219">
      <formula>#REF!="New Bon"</formula>
    </cfRule>
  </conditionalFormatting>
  <conditionalFormatting sqref="B44:B53">
    <cfRule type="expression" dxfId="226" priority="220">
      <formula>#REF!="New Bon"</formula>
    </cfRule>
  </conditionalFormatting>
  <conditionalFormatting sqref="B54:B105">
    <cfRule type="expression" dxfId="225" priority="221">
      <formula>#REF!="New Bon"</formula>
    </cfRule>
  </conditionalFormatting>
  <conditionalFormatting sqref="B2:F2">
    <cfRule type="expression" dxfId="224" priority="2">
      <formula>$C2="New Bon"</formula>
    </cfRule>
  </conditionalFormatting>
  <conditionalFormatting sqref="C4:E105">
    <cfRule type="expression" dxfId="223" priority="5">
      <formula>$C4="New Bon"</formula>
    </cfRule>
  </conditionalFormatting>
  <conditionalFormatting sqref="F4:F33">
    <cfRule type="expression" dxfId="222"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G16" zoomScaleNormal="100" zoomScaleSheetLayoutView="100" workbookViewId="0"/>
  </sheetViews>
  <sheetFormatPr defaultColWidth="9" defaultRowHeight="13.8"/>
  <cols>
    <col min="1" max="1" width="6" style="1433" customWidth="1"/>
    <col min="2" max="2" width="83.09765625" style="1433" bestFit="1" customWidth="1"/>
    <col min="3" max="3" width="5.5" style="1433" bestFit="1" customWidth="1"/>
    <col min="4" max="4" width="3.69921875" style="1433" bestFit="1" customWidth="1"/>
    <col min="5" max="5" width="11.19921875" style="1433" bestFit="1" customWidth="1"/>
    <col min="6" max="6" width="10.69921875" style="1433" bestFit="1" customWidth="1"/>
    <col min="7" max="7" width="10" style="1433" bestFit="1" customWidth="1"/>
    <col min="8" max="8" width="1.69921875" style="1433" customWidth="1"/>
    <col min="9" max="9" width="9.5" style="1433" bestFit="1" customWidth="1"/>
    <col min="10" max="10" width="1.69921875" style="1433" customWidth="1"/>
    <col min="11" max="11" width="10.09765625" style="1433" customWidth="1"/>
    <col min="12" max="12" width="3.5" style="1433" customWidth="1"/>
    <col min="13" max="13" width="1.59765625" style="219" customWidth="1"/>
    <col min="14" max="14" width="20.59765625" style="219" customWidth="1"/>
    <col min="15" max="15" width="1.59765625" style="219" customWidth="1"/>
    <col min="16" max="16" width="7.19921875" style="219" hidden="1" customWidth="1"/>
    <col min="17" max="17" width="8.19921875" style="219" hidden="1" customWidth="1"/>
    <col min="18" max="18" width="10.59765625" style="219" hidden="1" customWidth="1"/>
    <col min="19" max="19" width="1.59765625" style="219" hidden="1" customWidth="1"/>
    <col min="20" max="20" width="2" style="1433" customWidth="1"/>
    <col min="21" max="21" width="98.796875" style="1433" customWidth="1"/>
    <col min="22" max="22" width="18.69921875" style="1433" bestFit="1" customWidth="1"/>
    <col min="23" max="23" width="17" style="1433" bestFit="1" customWidth="1"/>
    <col min="24" max="24" width="19.796875" style="1433" bestFit="1" customWidth="1"/>
    <col min="25" max="16384" width="9" style="1433"/>
  </cols>
  <sheetData>
    <row r="1" spans="2:24" ht="35.25" customHeight="1">
      <c r="B1" s="1229" t="s">
        <v>15050</v>
      </c>
      <c r="C1" s="1432"/>
      <c r="D1" s="1432"/>
      <c r="E1" s="1432"/>
      <c r="F1" s="1432"/>
      <c r="G1" s="1432"/>
      <c r="H1" s="1432"/>
      <c r="I1" s="1432"/>
      <c r="M1" s="238"/>
      <c r="O1" s="238"/>
      <c r="S1" s="238"/>
      <c r="U1" s="1229" t="s">
        <v>4198</v>
      </c>
    </row>
    <row r="2" spans="2:24" ht="35.25" customHeight="1">
      <c r="B2" s="1229" t="str">
        <f>SelectCompany!B4</f>
        <v>Dŵr Cymru</v>
      </c>
      <c r="C2" s="1432"/>
      <c r="D2" s="1432"/>
      <c r="E2" s="1432"/>
      <c r="F2" s="1432"/>
      <c r="G2" s="1432"/>
      <c r="H2" s="1432"/>
      <c r="I2" s="1432"/>
      <c r="M2" s="238"/>
      <c r="O2" s="238"/>
      <c r="S2" s="238"/>
      <c r="U2" s="1432"/>
    </row>
    <row r="3" spans="2:24" ht="48.75" customHeight="1">
      <c r="B3" s="2829" t="s">
        <v>15051</v>
      </c>
      <c r="C3" s="2829"/>
      <c r="D3" s="2829"/>
      <c r="E3" s="2829"/>
      <c r="F3" s="2829"/>
      <c r="G3" s="2829"/>
      <c r="M3" s="238"/>
      <c r="N3" s="1240" t="s">
        <v>4200</v>
      </c>
      <c r="O3" s="238"/>
      <c r="S3" s="238"/>
      <c r="U3" s="2829" t="s">
        <v>15051</v>
      </c>
      <c r="V3" s="2829"/>
      <c r="W3" s="2829"/>
      <c r="X3" s="2829"/>
    </row>
    <row r="4" spans="2:24" ht="18.75" customHeight="1">
      <c r="H4" s="1434"/>
      <c r="I4" s="105"/>
      <c r="J4" s="105"/>
      <c r="K4" s="105"/>
      <c r="M4" s="238"/>
      <c r="O4" s="238"/>
      <c r="P4" s="2917" t="s">
        <v>4201</v>
      </c>
      <c r="Q4" s="2917"/>
      <c r="R4" s="2917"/>
      <c r="S4" s="238"/>
    </row>
    <row r="5" spans="2:24" ht="34.5" customHeight="1" thickBot="1">
      <c r="B5" s="2943" t="s">
        <v>15052</v>
      </c>
      <c r="C5" s="2943"/>
      <c r="D5" s="2943"/>
      <c r="E5" s="2943"/>
      <c r="F5" s="2943"/>
      <c r="G5" s="2943"/>
      <c r="H5" s="1434"/>
      <c r="I5" s="105"/>
      <c r="J5" s="105"/>
      <c r="K5" s="105"/>
      <c r="M5" s="238"/>
      <c r="O5" s="238"/>
      <c r="P5" s="219" t="s">
        <v>4210</v>
      </c>
      <c r="S5" s="238"/>
      <c r="U5" s="2943" t="s">
        <v>15052</v>
      </c>
      <c r="V5" s="2943"/>
      <c r="W5" s="2943"/>
      <c r="X5" s="2943"/>
    </row>
    <row r="6" spans="2:24" ht="31.2" thickTop="1" thickBot="1">
      <c r="B6" s="1435"/>
      <c r="C6" s="1435"/>
      <c r="D6" s="1435"/>
      <c r="E6" s="1435"/>
      <c r="F6" s="1435"/>
      <c r="G6" s="1435"/>
      <c r="H6" s="1434"/>
      <c r="I6" s="145" t="s">
        <v>4208</v>
      </c>
      <c r="J6" s="105"/>
      <c r="K6" s="145" t="s">
        <v>15053</v>
      </c>
      <c r="M6" s="238"/>
      <c r="O6" s="238"/>
      <c r="S6" s="238"/>
      <c r="U6" s="1435"/>
      <c r="V6" s="1435"/>
      <c r="W6" s="1435"/>
      <c r="X6" s="1435"/>
    </row>
    <row r="7" spans="2:24" ht="15.75" customHeight="1" thickTop="1" thickBot="1">
      <c r="B7" s="212" t="s">
        <v>15054</v>
      </c>
      <c r="J7" s="105"/>
      <c r="K7" s="105"/>
      <c r="M7" s="238"/>
      <c r="O7" s="238"/>
      <c r="S7" s="238"/>
      <c r="U7" s="212" t="s">
        <v>15054</v>
      </c>
    </row>
    <row r="8" spans="2:24" ht="15.75" customHeight="1" thickTop="1" thickBot="1">
      <c r="B8" s="215" t="s">
        <v>4722</v>
      </c>
      <c r="C8" s="216" t="s">
        <v>15055</v>
      </c>
      <c r="D8" s="216" t="s">
        <v>15056</v>
      </c>
      <c r="E8" s="217" t="s">
        <v>12497</v>
      </c>
      <c r="F8" s="103"/>
      <c r="G8" s="108"/>
      <c r="H8" s="108"/>
      <c r="I8" s="108"/>
      <c r="J8" s="108"/>
      <c r="K8" s="108"/>
      <c r="M8" s="238"/>
      <c r="O8" s="238"/>
      <c r="S8" s="238"/>
      <c r="U8" s="215" t="s">
        <v>4722</v>
      </c>
      <c r="V8" s="217" t="s">
        <v>12497</v>
      </c>
      <c r="W8" s="103"/>
    </row>
    <row r="9" spans="2:24" ht="15.75" customHeight="1" thickTop="1">
      <c r="B9" s="115" t="s">
        <v>13109</v>
      </c>
      <c r="C9" s="116" t="s">
        <v>12566</v>
      </c>
      <c r="D9" s="116">
        <v>1</v>
      </c>
      <c r="E9" s="2118"/>
      <c r="F9" s="104"/>
      <c r="G9" s="108"/>
      <c r="H9" s="108"/>
      <c r="I9" s="43" t="s">
        <v>15057</v>
      </c>
      <c r="J9" s="105"/>
      <c r="K9" s="43" t="s">
        <v>13110</v>
      </c>
      <c r="M9" s="238"/>
      <c r="N9" s="1232" t="str">
        <f>IF( SUM( P9:R9 ) = 0, 0, $P$5 )</f>
        <v>Please complete all cells in row</v>
      </c>
      <c r="O9" s="238"/>
      <c r="P9" s="241">
        <f xml:space="preserve"> IF( ISNUMBER(E9 ), 0, 1 )</f>
        <v>1</v>
      </c>
      <c r="S9" s="238"/>
      <c r="U9" s="115" t="s">
        <v>13109</v>
      </c>
      <c r="V9" s="117" t="s">
        <v>15058</v>
      </c>
      <c r="W9" s="104"/>
    </row>
    <row r="10" spans="2:24" ht="15.75" customHeight="1" thickBot="1">
      <c r="B10" s="100" t="s">
        <v>15059</v>
      </c>
      <c r="C10" s="101" t="s">
        <v>4843</v>
      </c>
      <c r="D10" s="101">
        <v>0</v>
      </c>
      <c r="E10" s="2119"/>
      <c r="F10" s="106"/>
      <c r="G10" s="108"/>
      <c r="H10" s="108"/>
      <c r="I10" s="54" t="s">
        <v>15060</v>
      </c>
      <c r="J10" s="105"/>
      <c r="K10" s="54" t="s">
        <v>13165</v>
      </c>
      <c r="M10" s="238"/>
      <c r="N10" s="1232" t="str">
        <f>IF( SUM( P10:R10 ) = 0, 0, $P$5 )</f>
        <v>Please complete all cells in row</v>
      </c>
      <c r="O10" s="238"/>
      <c r="P10" s="241">
        <f xml:space="preserve"> IF( ISNUMBER(E10 ), 0, 1 )</f>
        <v>1</v>
      </c>
      <c r="S10" s="238"/>
      <c r="U10" s="100" t="s">
        <v>15059</v>
      </c>
      <c r="V10" s="99" t="s">
        <v>15061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15062</v>
      </c>
      <c r="C12" s="108"/>
      <c r="D12" s="108"/>
      <c r="E12" s="108"/>
      <c r="F12" s="108"/>
      <c r="G12" s="108"/>
      <c r="H12" s="108"/>
      <c r="I12" s="108"/>
      <c r="J12" s="108"/>
      <c r="K12" s="108"/>
      <c r="M12" s="238"/>
      <c r="O12" s="238"/>
      <c r="S12" s="238"/>
      <c r="U12" s="212" t="s">
        <v>15062</v>
      </c>
    </row>
    <row r="13" spans="2:24" ht="31.2" thickTop="1" thickBot="1">
      <c r="B13" s="118"/>
      <c r="C13" s="119" t="s">
        <v>4203</v>
      </c>
      <c r="D13" s="120" t="s">
        <v>15056</v>
      </c>
      <c r="E13" s="119" t="s">
        <v>11624</v>
      </c>
      <c r="F13" s="120" t="s">
        <v>11625</v>
      </c>
      <c r="G13" s="121" t="s">
        <v>13182</v>
      </c>
      <c r="H13" s="105"/>
      <c r="I13" s="108"/>
      <c r="J13" s="108"/>
      <c r="K13" s="108"/>
      <c r="M13" s="238"/>
      <c r="O13" s="238"/>
      <c r="S13" s="238"/>
      <c r="U13" s="118"/>
      <c r="V13" s="119" t="s">
        <v>11624</v>
      </c>
      <c r="W13" s="120" t="s">
        <v>11625</v>
      </c>
      <c r="X13" s="121" t="s">
        <v>13182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13183</v>
      </c>
      <c r="C15" s="123"/>
      <c r="D15" s="123"/>
      <c r="E15" s="109"/>
      <c r="F15" s="109"/>
      <c r="G15" s="109"/>
      <c r="H15" s="105"/>
      <c r="I15" s="108"/>
      <c r="J15" s="105"/>
      <c r="K15" s="105"/>
      <c r="M15" s="238"/>
      <c r="O15" s="238"/>
      <c r="S15" s="238"/>
      <c r="U15" s="122" t="s">
        <v>13183</v>
      </c>
      <c r="V15" s="109"/>
      <c r="W15" s="109"/>
      <c r="X15" s="109"/>
    </row>
    <row r="16" spans="2:24" ht="15.75" customHeight="1" thickTop="1">
      <c r="B16" s="124" t="s">
        <v>13189</v>
      </c>
      <c r="C16" s="125" t="s">
        <v>4215</v>
      </c>
      <c r="D16" s="125">
        <v>3</v>
      </c>
      <c r="E16" s="126"/>
      <c r="F16" s="126"/>
      <c r="G16" s="2104"/>
      <c r="H16" s="105"/>
      <c r="I16" s="128" t="s">
        <v>15063</v>
      </c>
      <c r="J16" s="105"/>
      <c r="K16" s="128" t="s">
        <v>13190</v>
      </c>
      <c r="M16" s="238"/>
      <c r="N16" s="1232" t="str">
        <f t="shared" ref="N16:N19" si="0">IF( SUM( P16:R16 ) = 0, 0, $P$5 )</f>
        <v>Please complete all cells in row</v>
      </c>
      <c r="O16" s="238"/>
      <c r="R16" s="241">
        <f t="shared" ref="R16:R19" si="1" xml:space="preserve"> IF( ISNUMBER(G16 ), 0, 1 )</f>
        <v>1</v>
      </c>
      <c r="S16" s="238"/>
      <c r="U16" s="124" t="s">
        <v>15064</v>
      </c>
      <c r="V16" s="126"/>
      <c r="W16" s="126"/>
      <c r="X16" s="127" t="s">
        <v>15065</v>
      </c>
    </row>
    <row r="17" spans="2:24" ht="15.75" customHeight="1">
      <c r="B17" s="129" t="s">
        <v>13194</v>
      </c>
      <c r="C17" s="130" t="s">
        <v>4215</v>
      </c>
      <c r="D17" s="130">
        <v>3</v>
      </c>
      <c r="E17" s="131"/>
      <c r="F17" s="131"/>
      <c r="G17" s="2107"/>
      <c r="H17" s="105"/>
      <c r="I17" s="133" t="s">
        <v>15066</v>
      </c>
      <c r="J17" s="105"/>
      <c r="K17" s="133" t="s">
        <v>13195</v>
      </c>
      <c r="M17" s="238"/>
      <c r="N17" s="1232" t="str">
        <f t="shared" si="0"/>
        <v>Please complete all cells in row</v>
      </c>
      <c r="O17" s="238"/>
      <c r="R17" s="241">
        <f t="shared" si="1"/>
        <v>1</v>
      </c>
      <c r="S17" s="238"/>
      <c r="U17" s="129" t="s">
        <v>15067</v>
      </c>
      <c r="V17" s="131"/>
      <c r="W17" s="131"/>
      <c r="X17" s="132" t="s">
        <v>15068</v>
      </c>
    </row>
    <row r="18" spans="2:24" ht="15.75" customHeight="1">
      <c r="B18" s="129" t="s">
        <v>13199</v>
      </c>
      <c r="C18" s="130" t="s">
        <v>4215</v>
      </c>
      <c r="D18" s="130">
        <v>3</v>
      </c>
      <c r="E18" s="131"/>
      <c r="F18" s="131"/>
      <c r="G18" s="2107"/>
      <c r="H18" s="105"/>
      <c r="I18" s="133" t="s">
        <v>15069</v>
      </c>
      <c r="J18" s="105"/>
      <c r="K18" s="133" t="s">
        <v>13200</v>
      </c>
      <c r="M18" s="238"/>
      <c r="N18" s="1232" t="str">
        <f t="shared" si="0"/>
        <v>Please complete all cells in row</v>
      </c>
      <c r="O18" s="238"/>
      <c r="R18" s="241">
        <f t="shared" si="1"/>
        <v>1</v>
      </c>
      <c r="S18" s="238"/>
      <c r="U18" s="129" t="s">
        <v>13199</v>
      </c>
      <c r="V18" s="131"/>
      <c r="W18" s="131"/>
      <c r="X18" s="132" t="s">
        <v>15070</v>
      </c>
    </row>
    <row r="19" spans="2:24" ht="15.75" customHeight="1" thickBot="1">
      <c r="B19" s="134" t="s">
        <v>13204</v>
      </c>
      <c r="C19" s="135" t="s">
        <v>4215</v>
      </c>
      <c r="D19" s="135">
        <v>3</v>
      </c>
      <c r="E19" s="136"/>
      <c r="F19" s="136"/>
      <c r="G19" s="2120"/>
      <c r="H19" s="105"/>
      <c r="I19" s="138" t="s">
        <v>15071</v>
      </c>
      <c r="J19" s="105"/>
      <c r="K19" s="138" t="s">
        <v>13205</v>
      </c>
      <c r="M19" s="238"/>
      <c r="N19" s="1232" t="str">
        <f t="shared" si="0"/>
        <v>Please complete all cells in row</v>
      </c>
      <c r="O19" s="238"/>
      <c r="R19" s="241">
        <f t="shared" si="1"/>
        <v>1</v>
      </c>
      <c r="S19" s="238"/>
      <c r="U19" s="134" t="s">
        <v>13204</v>
      </c>
      <c r="V19" s="136"/>
      <c r="W19" s="136"/>
      <c r="X19" s="137" t="s">
        <v>15072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15056</v>
      </c>
      <c r="E21" s="109"/>
      <c r="F21" s="109"/>
      <c r="G21" s="1780"/>
      <c r="H21" s="108"/>
      <c r="I21" s="108"/>
      <c r="J21" s="108"/>
      <c r="K21" s="108"/>
      <c r="M21" s="238"/>
      <c r="O21" s="238"/>
      <c r="S21" s="238"/>
      <c r="U21" s="139" t="s">
        <v>4191</v>
      </c>
      <c r="V21" s="109"/>
      <c r="W21" s="109"/>
      <c r="X21" s="109"/>
    </row>
    <row r="22" spans="2:24" ht="15.75" customHeight="1" thickTop="1">
      <c r="B22" s="124" t="s">
        <v>13214</v>
      </c>
      <c r="C22" s="125" t="s">
        <v>5981</v>
      </c>
      <c r="D22" s="125">
        <v>3</v>
      </c>
      <c r="E22" s="126"/>
      <c r="F22" s="126"/>
      <c r="G22" s="2104"/>
      <c r="H22" s="108"/>
      <c r="I22" s="128" t="s">
        <v>15073</v>
      </c>
      <c r="J22" s="113"/>
      <c r="K22" s="128" t="s">
        <v>13215</v>
      </c>
      <c r="M22" s="238"/>
      <c r="N22" s="1232" t="str">
        <f t="shared" ref="N22:N35" si="2">IF( SUM( P22:R22 ) = 0, 0, $P$5 )</f>
        <v>Please complete all cells in row</v>
      </c>
      <c r="O22" s="238"/>
      <c r="R22" s="241">
        <f t="shared" ref="R22:R35" si="3" xml:space="preserve"> IF( ISNUMBER(G22 ), 0, 1 )</f>
        <v>1</v>
      </c>
      <c r="S22" s="238"/>
      <c r="U22" s="124" t="s">
        <v>13214</v>
      </c>
      <c r="V22" s="126"/>
      <c r="W22" s="126"/>
      <c r="X22" s="127" t="s">
        <v>15074</v>
      </c>
    </row>
    <row r="23" spans="2:24" ht="15.75" customHeight="1">
      <c r="B23" s="129" t="s">
        <v>13219</v>
      </c>
      <c r="C23" s="130" t="s">
        <v>5981</v>
      </c>
      <c r="D23" s="130">
        <v>3</v>
      </c>
      <c r="E23" s="131"/>
      <c r="F23" s="131"/>
      <c r="G23" s="2107"/>
      <c r="H23" s="108"/>
      <c r="I23" s="133" t="s">
        <v>15075</v>
      </c>
      <c r="J23" s="113"/>
      <c r="K23" s="133" t="s">
        <v>13220</v>
      </c>
      <c r="M23" s="238"/>
      <c r="N23" s="1232" t="str">
        <f t="shared" si="2"/>
        <v>Please complete all cells in row</v>
      </c>
      <c r="O23" s="238"/>
      <c r="R23" s="241">
        <f t="shared" si="3"/>
        <v>1</v>
      </c>
      <c r="S23" s="238"/>
      <c r="U23" s="129" t="s">
        <v>13219</v>
      </c>
      <c r="V23" s="131"/>
      <c r="W23" s="131"/>
      <c r="X23" s="132" t="s">
        <v>15076</v>
      </c>
    </row>
    <row r="24" spans="2:24" ht="15.75" customHeight="1">
      <c r="B24" s="129" t="s">
        <v>13224</v>
      </c>
      <c r="C24" s="130" t="s">
        <v>5981</v>
      </c>
      <c r="D24" s="130">
        <v>3</v>
      </c>
      <c r="E24" s="131"/>
      <c r="F24" s="131"/>
      <c r="G24" s="2107"/>
      <c r="H24" s="108"/>
      <c r="I24" s="133" t="s">
        <v>15077</v>
      </c>
      <c r="J24" s="113"/>
      <c r="K24" s="133" t="s">
        <v>13225</v>
      </c>
      <c r="M24" s="238"/>
      <c r="N24" s="1232" t="str">
        <f t="shared" si="2"/>
        <v>Please complete all cells in row</v>
      </c>
      <c r="O24" s="238"/>
      <c r="R24" s="241">
        <f t="shared" si="3"/>
        <v>1</v>
      </c>
      <c r="S24" s="238"/>
      <c r="U24" s="129" t="s">
        <v>13224</v>
      </c>
      <c r="V24" s="131"/>
      <c r="W24" s="131"/>
      <c r="X24" s="132" t="s">
        <v>15078</v>
      </c>
    </row>
    <row r="25" spans="2:24" ht="15.75" customHeight="1">
      <c r="B25" s="129" t="s">
        <v>13229</v>
      </c>
      <c r="C25" s="130" t="s">
        <v>5981</v>
      </c>
      <c r="D25" s="130">
        <v>3</v>
      </c>
      <c r="E25" s="131"/>
      <c r="F25" s="131"/>
      <c r="G25" s="2107"/>
      <c r="H25" s="108"/>
      <c r="I25" s="133" t="s">
        <v>15079</v>
      </c>
      <c r="J25" s="113"/>
      <c r="K25" s="133" t="s">
        <v>13230</v>
      </c>
      <c r="M25" s="238"/>
      <c r="N25" s="1232" t="str">
        <f t="shared" si="2"/>
        <v>Please complete all cells in row</v>
      </c>
      <c r="O25" s="238"/>
      <c r="R25" s="241">
        <f t="shared" si="3"/>
        <v>1</v>
      </c>
      <c r="S25" s="238"/>
      <c r="U25" s="129" t="s">
        <v>13229</v>
      </c>
      <c r="V25" s="131"/>
      <c r="W25" s="131"/>
      <c r="X25" s="132" t="s">
        <v>15080</v>
      </c>
    </row>
    <row r="26" spans="2:24" ht="15.75" customHeight="1">
      <c r="B26" s="2606" t="s">
        <v>13234</v>
      </c>
      <c r="C26" s="2517" t="s">
        <v>5981</v>
      </c>
      <c r="D26" s="2517">
        <v>3</v>
      </c>
      <c r="E26" s="131"/>
      <c r="F26" s="2518"/>
      <c r="G26" s="2519"/>
      <c r="H26" s="108"/>
      <c r="I26" s="133" t="s">
        <v>15081</v>
      </c>
      <c r="J26" s="113"/>
      <c r="K26" s="2625" t="s">
        <v>13235</v>
      </c>
      <c r="M26" s="238"/>
      <c r="N26" s="1232">
        <f>IF( SUM( P26:R26 ) = 0, 0, $P$5 )</f>
        <v>0</v>
      </c>
      <c r="O26" s="238"/>
      <c r="Q26" s="2525">
        <f xml:space="preserve"> IF( ISNUMBER(F26 ), 0, 1 )</f>
        <v>0</v>
      </c>
      <c r="R26" s="241">
        <f xml:space="preserve"> IF( ISNUMBER(G26 ), 0, 1 )</f>
        <v>0</v>
      </c>
      <c r="S26" s="238"/>
      <c r="U26" s="129" t="s">
        <v>13234</v>
      </c>
      <c r="V26" s="131"/>
      <c r="W26" s="2518" t="s">
        <v>18475</v>
      </c>
      <c r="X26" s="2521" t="s">
        <v>18478</v>
      </c>
    </row>
    <row r="27" spans="2:24" ht="15.75" customHeight="1">
      <c r="B27" s="2606" t="s">
        <v>13237</v>
      </c>
      <c r="C27" s="2517" t="s">
        <v>5981</v>
      </c>
      <c r="D27" s="2517">
        <v>3</v>
      </c>
      <c r="E27" s="131"/>
      <c r="F27" s="2520"/>
      <c r="G27" s="2519"/>
      <c r="H27" s="108"/>
      <c r="I27" s="133" t="s">
        <v>15082</v>
      </c>
      <c r="J27" s="113"/>
      <c r="K27" s="2625" t="s">
        <v>13238</v>
      </c>
      <c r="M27" s="238"/>
      <c r="N27" s="1232">
        <f>IF( SUM( P27:R27 ) = 0, 0, $P$5 )</f>
        <v>0</v>
      </c>
      <c r="O27" s="238"/>
      <c r="Q27" s="2516"/>
      <c r="R27" s="241">
        <f xml:space="preserve"> IF( ISNUMBER(G27 ), 0, 1 )</f>
        <v>0</v>
      </c>
      <c r="S27" s="238"/>
      <c r="U27" s="129" t="s">
        <v>13237</v>
      </c>
      <c r="V27" s="131"/>
      <c r="W27" s="2520"/>
      <c r="X27" s="2521" t="s">
        <v>18479</v>
      </c>
    </row>
    <row r="28" spans="2:24" ht="15.75" customHeight="1">
      <c r="B28" s="2606" t="s">
        <v>13240</v>
      </c>
      <c r="C28" s="2517" t="s">
        <v>5981</v>
      </c>
      <c r="D28" s="2517">
        <v>3</v>
      </c>
      <c r="E28" s="131"/>
      <c r="F28" s="2518"/>
      <c r="G28" s="2107"/>
      <c r="H28" s="108"/>
      <c r="I28" s="133" t="s">
        <v>15083</v>
      </c>
      <c r="J28" s="113"/>
      <c r="K28" s="2625" t="s">
        <v>13241</v>
      </c>
      <c r="M28" s="238"/>
      <c r="N28" s="1232">
        <f>IF( SUM( P28:R28 ) = 0, 0, $P$5 )</f>
        <v>0</v>
      </c>
      <c r="O28" s="238"/>
      <c r="Q28" s="2525">
        <f xml:space="preserve"> IF( ISNUMBER(F28 ), 0, 1 )</f>
        <v>0</v>
      </c>
      <c r="R28" s="241">
        <f xml:space="preserve"> IF( ISNUMBER(G28 ), 0, 1 )</f>
        <v>0</v>
      </c>
      <c r="S28" s="238"/>
      <c r="U28" s="129" t="s">
        <v>13240</v>
      </c>
      <c r="V28" s="131"/>
      <c r="W28" s="2518" t="s">
        <v>18476</v>
      </c>
      <c r="X28" s="2521" t="s">
        <v>18480</v>
      </c>
    </row>
    <row r="29" spans="2:24" ht="15.75" customHeight="1">
      <c r="B29" s="2606" t="s">
        <v>13242</v>
      </c>
      <c r="C29" s="2517" t="s">
        <v>5981</v>
      </c>
      <c r="D29" s="2517">
        <v>3</v>
      </c>
      <c r="E29" s="131"/>
      <c r="F29" s="131"/>
      <c r="G29" s="2107"/>
      <c r="H29" s="108"/>
      <c r="I29" s="133" t="s">
        <v>15084</v>
      </c>
      <c r="J29" s="113"/>
      <c r="K29" s="2625" t="s">
        <v>13243</v>
      </c>
      <c r="M29" s="238"/>
      <c r="N29" s="1232">
        <f>IF( SUM( P29:R29 ) = 0, 0, $P$5 )</f>
        <v>0</v>
      </c>
      <c r="O29" s="238"/>
      <c r="R29" s="241">
        <f xml:space="preserve"> IF( ISNUMBER(G29 ), 0, 1 )</f>
        <v>0</v>
      </c>
      <c r="S29" s="238"/>
      <c r="U29" s="129" t="s">
        <v>13242</v>
      </c>
      <c r="V29" s="131"/>
      <c r="W29" s="2522"/>
      <c r="X29" s="2521" t="s">
        <v>18481</v>
      </c>
    </row>
    <row r="30" spans="2:24" ht="15.75" customHeight="1">
      <c r="B30" s="129" t="s">
        <v>15085</v>
      </c>
      <c r="C30" s="130" t="s">
        <v>12500</v>
      </c>
      <c r="D30" s="130">
        <v>2</v>
      </c>
      <c r="E30" s="131"/>
      <c r="F30" s="131"/>
      <c r="G30" s="2121"/>
      <c r="H30" s="108"/>
      <c r="I30" s="133" t="s">
        <v>15086</v>
      </c>
      <c r="J30" s="113"/>
      <c r="K30" s="2625" t="s">
        <v>13245</v>
      </c>
      <c r="M30" s="238"/>
      <c r="N30" s="1232" t="str">
        <f t="shared" si="2"/>
        <v>Please complete all cells in row</v>
      </c>
      <c r="O30" s="238"/>
      <c r="R30" s="241">
        <f t="shared" si="3"/>
        <v>1</v>
      </c>
      <c r="S30" s="238"/>
      <c r="U30" s="129" t="s">
        <v>15085</v>
      </c>
      <c r="V30" s="131"/>
      <c r="W30" s="131"/>
      <c r="X30" s="2521" t="s">
        <v>15087</v>
      </c>
    </row>
    <row r="31" spans="2:24" ht="15.75" customHeight="1">
      <c r="B31" s="129" t="s">
        <v>15088</v>
      </c>
      <c r="C31" s="130" t="s">
        <v>12500</v>
      </c>
      <c r="D31" s="130">
        <v>2</v>
      </c>
      <c r="E31" s="131"/>
      <c r="F31" s="131"/>
      <c r="G31" s="2121"/>
      <c r="H31" s="108"/>
      <c r="I31" s="133" t="s">
        <v>15089</v>
      </c>
      <c r="J31" s="113"/>
      <c r="K31" s="2625" t="s">
        <v>13250</v>
      </c>
      <c r="M31" s="238"/>
      <c r="N31" s="1232" t="str">
        <f t="shared" si="2"/>
        <v>Please complete all cells in row</v>
      </c>
      <c r="O31" s="238"/>
      <c r="R31" s="241">
        <f t="shared" si="3"/>
        <v>1</v>
      </c>
      <c r="S31" s="238"/>
      <c r="U31" s="129" t="s">
        <v>15088</v>
      </c>
      <c r="V31" s="131"/>
      <c r="W31" s="131"/>
      <c r="X31" s="2521" t="s">
        <v>15090</v>
      </c>
    </row>
    <row r="32" spans="2:24" ht="30">
      <c r="B32" s="2606" t="s">
        <v>13254</v>
      </c>
      <c r="C32" s="130" t="s">
        <v>12500</v>
      </c>
      <c r="D32" s="130">
        <v>2</v>
      </c>
      <c r="E32" s="131"/>
      <c r="F32" s="2518"/>
      <c r="G32" s="2523"/>
      <c r="H32" s="108"/>
      <c r="I32" s="2626" t="s">
        <v>15091</v>
      </c>
      <c r="J32" s="113"/>
      <c r="K32" s="2625" t="s">
        <v>13255</v>
      </c>
      <c r="M32" s="238"/>
      <c r="N32" s="1232">
        <f>IF( SUM( P32:R32 ) = 0, 0, $P$5 )</f>
        <v>0</v>
      </c>
      <c r="O32" s="238"/>
      <c r="Q32" s="2525">
        <f xml:space="preserve"> IF( ISNUMBER(F32 ), 0, 1 )</f>
        <v>0</v>
      </c>
      <c r="R32" s="241">
        <f xml:space="preserve"> IF( ISNUMBER(G32 ), 0, 1 )</f>
        <v>0</v>
      </c>
      <c r="S32" s="238"/>
      <c r="U32" s="129" t="s">
        <v>13254</v>
      </c>
      <c r="V32" s="131"/>
      <c r="W32" s="2518" t="s">
        <v>18477</v>
      </c>
      <c r="X32" s="2521" t="s">
        <v>18482</v>
      </c>
    </row>
    <row r="33" spans="2:31" ht="30">
      <c r="B33" s="2606" t="s">
        <v>13257</v>
      </c>
      <c r="C33" s="130" t="s">
        <v>12500</v>
      </c>
      <c r="D33" s="130">
        <v>2</v>
      </c>
      <c r="E33" s="131"/>
      <c r="F33" s="2520"/>
      <c r="G33" s="2523"/>
      <c r="H33" s="108"/>
      <c r="I33" s="2626" t="s">
        <v>15092</v>
      </c>
      <c r="J33" s="113"/>
      <c r="K33" s="2625" t="s">
        <v>13258</v>
      </c>
      <c r="M33" s="238"/>
      <c r="N33" s="1232">
        <f>IF( SUM( P33:R33 ) = 0, 0, $P$5 )</f>
        <v>0</v>
      </c>
      <c r="O33" s="238"/>
      <c r="R33" s="241">
        <f xml:space="preserve"> IF( ISNUMBER(G33 ), 0, 1 )</f>
        <v>0</v>
      </c>
      <c r="S33" s="238"/>
      <c r="U33" s="129" t="s">
        <v>13257</v>
      </c>
      <c r="V33" s="131"/>
      <c r="W33" s="2520"/>
      <c r="X33" s="2521" t="s">
        <v>18483</v>
      </c>
    </row>
    <row r="34" spans="2:31" ht="30">
      <c r="B34" s="2606" t="s">
        <v>13260</v>
      </c>
      <c r="C34" s="130" t="s">
        <v>12500</v>
      </c>
      <c r="D34" s="130">
        <v>2</v>
      </c>
      <c r="E34" s="131"/>
      <c r="F34" s="2518"/>
      <c r="G34" s="2523"/>
      <c r="H34" s="108"/>
      <c r="I34" s="2626" t="s">
        <v>15093</v>
      </c>
      <c r="J34" s="113"/>
      <c r="K34" s="2625" t="s">
        <v>13261</v>
      </c>
      <c r="M34" s="238"/>
      <c r="N34" s="1232" t="str">
        <f t="shared" si="2"/>
        <v>Please complete all cells in row</v>
      </c>
      <c r="O34" s="238"/>
      <c r="Q34" s="2525">
        <f xml:space="preserve"> IF( ISNUMBER(F34 ), 0, 1 )</f>
        <v>0</v>
      </c>
      <c r="R34" s="241">
        <f t="shared" si="3"/>
        <v>1</v>
      </c>
      <c r="S34" s="238"/>
      <c r="U34" s="129" t="s">
        <v>13260</v>
      </c>
      <c r="V34" s="131"/>
      <c r="W34" s="2518" t="s">
        <v>18484</v>
      </c>
      <c r="X34" s="2521" t="s">
        <v>18485</v>
      </c>
    </row>
    <row r="35" spans="2:31" ht="30.6" thickBot="1">
      <c r="B35" s="2624" t="s">
        <v>13262</v>
      </c>
      <c r="C35" s="135" t="s">
        <v>12500</v>
      </c>
      <c r="D35" s="135">
        <v>2</v>
      </c>
      <c r="E35" s="136"/>
      <c r="F35" s="2524"/>
      <c r="G35" s="2526"/>
      <c r="H35" s="108"/>
      <c r="I35" s="138" t="s">
        <v>15094</v>
      </c>
      <c r="J35" s="113"/>
      <c r="K35" s="2627" t="s">
        <v>13263</v>
      </c>
      <c r="M35" s="238"/>
      <c r="N35" s="1232" t="str">
        <f t="shared" si="2"/>
        <v>Please complete all cells in row</v>
      </c>
      <c r="O35" s="238"/>
      <c r="R35" s="241">
        <f t="shared" si="3"/>
        <v>1</v>
      </c>
      <c r="S35" s="238"/>
      <c r="U35" s="134" t="s">
        <v>13262</v>
      </c>
      <c r="V35" s="136"/>
      <c r="W35" s="2524"/>
      <c r="X35" s="2630" t="s">
        <v>18486</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13269</v>
      </c>
      <c r="C37" s="140" t="s">
        <v>4203</v>
      </c>
      <c r="D37" s="141" t="s">
        <v>15056</v>
      </c>
      <c r="E37" s="112"/>
      <c r="F37" s="112"/>
      <c r="G37" s="112"/>
      <c r="H37" s="108"/>
      <c r="I37" s="113"/>
      <c r="J37" s="113"/>
      <c r="K37" s="113"/>
      <c r="M37" s="238"/>
      <c r="O37" s="238"/>
      <c r="S37" s="238"/>
      <c r="U37" s="139" t="s">
        <v>13269</v>
      </c>
      <c r="V37" s="112"/>
      <c r="W37" s="112"/>
      <c r="X37" s="112"/>
    </row>
    <row r="38" spans="2:31" ht="15.75" customHeight="1" thickTop="1" thickBot="1">
      <c r="B38" s="142" t="s">
        <v>13279</v>
      </c>
      <c r="C38" s="143" t="s">
        <v>12500</v>
      </c>
      <c r="D38" s="143">
        <v>2</v>
      </c>
      <c r="E38" s="2122"/>
      <c r="F38" s="104"/>
      <c r="G38" s="108"/>
      <c r="H38" s="108"/>
      <c r="I38" s="2628" t="s">
        <v>15095</v>
      </c>
      <c r="J38" s="105"/>
      <c r="K38" s="2628" t="s">
        <v>13280</v>
      </c>
      <c r="M38" s="238"/>
      <c r="N38" s="1232" t="str">
        <f t="shared" ref="N38" si="4">IF( SUM( P38:R38 ) = 0, 0, $P$5 )</f>
        <v>Please complete all cells in row</v>
      </c>
      <c r="O38" s="238"/>
      <c r="P38" s="241">
        <f t="shared" ref="P38" si="5" xml:space="preserve"> IF( ISNUMBER(E38 ), 0, 1 )</f>
        <v>1</v>
      </c>
      <c r="S38" s="238"/>
      <c r="U38" s="142" t="s">
        <v>13279</v>
      </c>
      <c r="V38" s="144" t="s">
        <v>15096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44" t="s">
        <v>15097</v>
      </c>
      <c r="C40" s="2944"/>
      <c r="D40" s="2944"/>
      <c r="E40" s="2944"/>
      <c r="F40" s="2944"/>
      <c r="G40" s="112"/>
      <c r="H40" s="108"/>
      <c r="I40" s="108"/>
      <c r="J40" s="108"/>
      <c r="K40" s="108"/>
      <c r="M40" s="238"/>
      <c r="O40" s="238"/>
      <c r="S40" s="238"/>
      <c r="U40" s="2944" t="s">
        <v>15097</v>
      </c>
      <c r="V40" s="2944"/>
      <c r="W40" s="2944"/>
      <c r="X40" s="112"/>
    </row>
    <row r="41" spans="2:31" ht="16.2" thickBot="1">
      <c r="B41" s="212" t="s">
        <v>15098</v>
      </c>
      <c r="C41" s="108"/>
      <c r="D41" s="108"/>
      <c r="E41" s="108"/>
      <c r="F41" s="108"/>
      <c r="G41" s="108"/>
      <c r="H41" s="108"/>
      <c r="I41" s="108"/>
      <c r="J41" s="108"/>
      <c r="K41" s="108"/>
      <c r="M41" s="238"/>
      <c r="O41" s="238"/>
      <c r="S41" s="238"/>
      <c r="U41" s="212" t="s">
        <v>15098</v>
      </c>
      <c r="V41" s="108"/>
      <c r="W41" s="108"/>
    </row>
    <row r="42" spans="2:31" ht="15.75" customHeight="1" thickTop="1" thickBot="1">
      <c r="B42" s="139"/>
      <c r="C42" s="140" t="s">
        <v>4203</v>
      </c>
      <c r="D42" s="141" t="s">
        <v>15056</v>
      </c>
      <c r="E42" s="108"/>
      <c r="F42" s="108"/>
      <c r="G42" s="108"/>
      <c r="H42" s="108"/>
      <c r="I42" s="108"/>
      <c r="J42" s="108"/>
      <c r="K42" s="108"/>
      <c r="M42" s="238"/>
      <c r="O42" s="238"/>
      <c r="S42" s="238"/>
      <c r="U42" s="122"/>
    </row>
    <row r="43" spans="2:31" ht="15.75" customHeight="1" thickTop="1">
      <c r="B43" s="2527" t="s">
        <v>14043</v>
      </c>
      <c r="C43" s="2528" t="s">
        <v>13312</v>
      </c>
      <c r="D43" s="2528">
        <v>3</v>
      </c>
      <c r="E43" s="2529"/>
      <c r="F43" s="2530"/>
      <c r="G43" s="2531"/>
      <c r="H43" s="2531"/>
      <c r="I43" s="2629" t="s">
        <v>15099</v>
      </c>
      <c r="J43" s="2531"/>
      <c r="K43" s="2629" t="s">
        <v>14042</v>
      </c>
      <c r="L43" s="2531"/>
      <c r="M43" s="2532"/>
      <c r="N43" s="2533">
        <f>IF( SUM( P43:R43 ) = 0, 0, $P$5 )</f>
        <v>0</v>
      </c>
      <c r="O43" s="2532"/>
      <c r="P43" s="2525">
        <f xml:space="preserve"> IF( ISNUMBER(E43 ), 0, 1 )</f>
        <v>0</v>
      </c>
      <c r="Q43" s="2516"/>
      <c r="R43" s="2516"/>
      <c r="S43" s="2532"/>
      <c r="T43" s="2531"/>
      <c r="U43" s="2527" t="s">
        <v>14043</v>
      </c>
      <c r="V43" s="2631" t="s">
        <v>18487</v>
      </c>
      <c r="W43" s="2534"/>
      <c r="X43" s="2531"/>
      <c r="Y43" s="2531"/>
      <c r="Z43" s="2531"/>
      <c r="AA43" s="2531"/>
      <c r="AB43" s="2531"/>
      <c r="AC43" s="2531"/>
      <c r="AD43" s="2531"/>
      <c r="AE43" s="2513"/>
    </row>
    <row r="44" spans="2:31" ht="40.950000000000003" customHeight="1">
      <c r="B44" s="2535" t="s">
        <v>14046</v>
      </c>
      <c r="C44" s="2517" t="s">
        <v>13312</v>
      </c>
      <c r="D44" s="2517">
        <v>3</v>
      </c>
      <c r="E44" s="2523"/>
      <c r="F44" s="2530"/>
      <c r="G44" s="2530"/>
      <c r="H44" s="2530"/>
      <c r="I44" s="2626" t="s">
        <v>15100</v>
      </c>
      <c r="J44" s="2530"/>
      <c r="K44" s="2626" t="s">
        <v>14045</v>
      </c>
      <c r="L44" s="2534"/>
      <c r="M44" s="2532"/>
      <c r="N44" s="2533">
        <f>IF( SUM( P44:R44 ) = 0, 0, $P$5 )</f>
        <v>0</v>
      </c>
      <c r="O44" s="2532"/>
      <c r="P44" s="2525">
        <f xml:space="preserve"> IF( ISNUMBER(E44 ), 0, 1 )</f>
        <v>0</v>
      </c>
      <c r="Q44" s="2516"/>
      <c r="R44" s="2516"/>
      <c r="S44" s="2532"/>
      <c r="T44" s="2534"/>
      <c r="U44" s="2535" t="s">
        <v>14046</v>
      </c>
      <c r="V44" s="2521" t="s">
        <v>18488</v>
      </c>
      <c r="W44" s="2534"/>
      <c r="X44" s="2534"/>
      <c r="Y44" s="2534"/>
      <c r="Z44" s="2534"/>
      <c r="AA44" s="2534"/>
      <c r="AB44" s="2534"/>
      <c r="AC44" s="2534"/>
      <c r="AD44" s="2534"/>
      <c r="AE44" s="2534"/>
    </row>
    <row r="45" spans="2:31" ht="30">
      <c r="B45" s="2535" t="s">
        <v>15101</v>
      </c>
      <c r="C45" s="2517" t="s">
        <v>13312</v>
      </c>
      <c r="D45" s="2517">
        <v>3</v>
      </c>
      <c r="E45" s="2523"/>
      <c r="F45" s="108"/>
      <c r="G45" s="114"/>
      <c r="H45" s="114"/>
      <c r="I45" s="2626" t="s">
        <v>15102</v>
      </c>
      <c r="J45" s="114"/>
      <c r="K45" s="2626" t="s">
        <v>14049</v>
      </c>
      <c r="L45" s="114"/>
      <c r="M45" s="238"/>
      <c r="N45" s="1232" t="str">
        <f t="shared" ref="N45:N46" si="6">IF( SUM( P45:R45 ) = 0, 0, $P$5 )</f>
        <v>Please complete all cells in row</v>
      </c>
      <c r="O45" s="238"/>
      <c r="P45" s="241">
        <f t="shared" ref="P45:P46" si="7" xml:space="preserve"> IF( ISNUMBER(E45 ), 0, 1 )</f>
        <v>1</v>
      </c>
      <c r="S45" s="238"/>
      <c r="T45" s="114"/>
      <c r="U45" s="2535" t="s">
        <v>15101</v>
      </c>
      <c r="V45" s="2521" t="s">
        <v>18489</v>
      </c>
      <c r="X45" s="114"/>
      <c r="Y45" s="114"/>
      <c r="Z45" s="114"/>
      <c r="AA45" s="114"/>
      <c r="AB45" s="114"/>
      <c r="AC45" s="114"/>
      <c r="AD45" s="114"/>
      <c r="AE45" s="197"/>
    </row>
    <row r="46" spans="2:31" ht="15.6" thickBot="1">
      <c r="B46" s="134" t="s">
        <v>15103</v>
      </c>
      <c r="C46" s="135" t="s">
        <v>13312</v>
      </c>
      <c r="D46" s="135">
        <v>3</v>
      </c>
      <c r="E46" s="2120"/>
      <c r="F46" s="108"/>
      <c r="G46" s="108"/>
      <c r="H46" s="108"/>
      <c r="I46" s="138" t="s">
        <v>15104</v>
      </c>
      <c r="J46" s="108"/>
      <c r="K46" s="2627" t="s">
        <v>14052</v>
      </c>
      <c r="M46" s="238"/>
      <c r="N46" s="1232" t="str">
        <f t="shared" si="6"/>
        <v>Please complete all cells in row</v>
      </c>
      <c r="O46" s="238"/>
      <c r="P46" s="241">
        <f t="shared" si="7"/>
        <v>1</v>
      </c>
      <c r="S46" s="238"/>
      <c r="U46" s="134" t="s">
        <v>15103</v>
      </c>
      <c r="V46" s="2630" t="s">
        <v>18490</v>
      </c>
    </row>
    <row r="47" spans="2:31" ht="15.6"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3.8" zeroHeight="1"/>
  <cols>
    <col min="1" max="1" width="4.19921875" style="1438" customWidth="1"/>
    <col min="2" max="2" width="83.19921875" style="1438" customWidth="1"/>
    <col min="3" max="3" width="15.19921875" style="1438" customWidth="1"/>
    <col min="4" max="4" width="4.69921875" style="1438" bestFit="1" customWidth="1"/>
    <col min="5" max="5" width="25.19921875" style="1438" customWidth="1"/>
    <col min="6" max="6" width="15.5" style="1438" customWidth="1"/>
    <col min="7" max="7" width="28.69921875" style="1438" customWidth="1"/>
    <col min="8" max="8" width="24.09765625" style="1438" customWidth="1"/>
    <col min="9" max="9" width="15.09765625" style="1438" customWidth="1"/>
    <col min="10" max="15" width="9.5" style="1438" customWidth="1"/>
    <col min="16" max="16" width="2.19921875" style="1438" customWidth="1"/>
    <col min="17" max="17" width="10.59765625" style="1438" customWidth="1"/>
    <col min="18" max="18" width="1.5" style="1438" customWidth="1"/>
    <col min="19" max="19" width="11.69921875" style="1438" customWidth="1"/>
    <col min="20" max="20" width="1.19921875" style="1438" customWidth="1"/>
    <col min="21" max="21" width="1.59765625" style="219" customWidth="1"/>
    <col min="22" max="22" width="20.59765625" style="219" customWidth="1"/>
    <col min="23" max="23" width="1.59765625" style="219" customWidth="1"/>
    <col min="24" max="35" width="8" style="219" hidden="1" customWidth="1"/>
    <col min="36" max="36" width="3.09765625" style="1438" customWidth="1"/>
    <col min="37" max="37" width="90.5" style="1438" bestFit="1" customWidth="1"/>
    <col min="38" max="44" width="26" style="1438" customWidth="1"/>
    <col min="45" max="51" width="9.19921875" style="1438" customWidth="1"/>
    <col min="52" max="16384" width="24" style="1438"/>
  </cols>
  <sheetData>
    <row r="1" spans="2:50" s="104" customFormat="1" ht="22.8">
      <c r="B1" s="1229" t="s">
        <v>15105</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2.8">
      <c r="B2" s="1229" t="str">
        <f>SelectCompany!B4</f>
        <v>Dŵr Cymru</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29" t="s">
        <v>15106</v>
      </c>
      <c r="C3" s="2829"/>
      <c r="D3" s="2829"/>
      <c r="E3" s="2829"/>
      <c r="F3" s="2829"/>
      <c r="G3" s="2829"/>
      <c r="H3" s="2829"/>
      <c r="I3" s="2829"/>
      <c r="J3" s="2829"/>
      <c r="K3" s="2829"/>
      <c r="L3" s="2829"/>
      <c r="M3" s="2829"/>
      <c r="N3" s="2829"/>
      <c r="O3" s="2829"/>
      <c r="U3" s="238"/>
      <c r="V3" s="1240" t="s">
        <v>4200</v>
      </c>
      <c r="W3" s="238"/>
      <c r="AI3" s="238"/>
      <c r="AK3" s="2829" t="s">
        <v>15106</v>
      </c>
      <c r="AL3" s="2829"/>
      <c r="AM3" s="2829"/>
      <c r="AN3" s="2829"/>
      <c r="AO3" s="2829"/>
      <c r="AP3" s="2829"/>
      <c r="AQ3" s="2829"/>
      <c r="AR3" s="2829"/>
      <c r="AS3" s="2829"/>
      <c r="AT3" s="2829"/>
      <c r="AU3" s="2829"/>
      <c r="AV3" s="2829"/>
      <c r="AW3" s="2829"/>
      <c r="AX3" s="2829"/>
    </row>
    <row r="4" spans="2:50" ht="28.5" customHeight="1">
      <c r="U4" s="238"/>
      <c r="W4" s="238"/>
      <c r="X4" s="2917" t="s">
        <v>4201</v>
      </c>
      <c r="Y4" s="2917"/>
      <c r="Z4" s="2917"/>
      <c r="AA4" s="2917"/>
      <c r="AB4" s="2917"/>
      <c r="AC4" s="2917"/>
      <c r="AD4" s="2917"/>
      <c r="AE4" s="2917"/>
      <c r="AF4" s="2917"/>
      <c r="AG4" s="2917"/>
      <c r="AH4" s="2917"/>
      <c r="AI4" s="238"/>
    </row>
    <row r="5" spans="2:50" ht="26.25" customHeight="1">
      <c r="B5" s="2829" t="s">
        <v>15107</v>
      </c>
      <c r="C5" s="2829"/>
      <c r="D5" s="2829"/>
      <c r="E5" s="2829"/>
      <c r="F5" s="2829"/>
      <c r="G5" s="2829"/>
      <c r="H5" s="2829"/>
      <c r="I5" s="2829"/>
      <c r="J5" s="2829"/>
      <c r="K5" s="2829"/>
      <c r="L5" s="2829"/>
      <c r="M5" s="2829"/>
      <c r="N5" s="2829"/>
      <c r="O5" s="2829"/>
      <c r="U5" s="238"/>
      <c r="W5" s="238"/>
      <c r="X5" s="219" t="s">
        <v>4210</v>
      </c>
      <c r="Y5" s="1438"/>
      <c r="Z5" s="1438"/>
      <c r="AA5" s="1438"/>
      <c r="AB5" s="1438"/>
      <c r="AC5" s="1438"/>
      <c r="AD5" s="1438"/>
      <c r="AE5" s="1438"/>
      <c r="AF5" s="1438"/>
      <c r="AG5" s="1438"/>
      <c r="AH5" s="1438"/>
      <c r="AI5" s="238"/>
      <c r="AK5" s="2829" t="s">
        <v>15107</v>
      </c>
      <c r="AL5" s="2829"/>
      <c r="AM5" s="2829"/>
      <c r="AN5" s="2829"/>
      <c r="AO5" s="2829"/>
      <c r="AP5" s="2829"/>
      <c r="AQ5" s="2829"/>
      <c r="AR5" s="2829"/>
      <c r="AS5" s="2829"/>
      <c r="AT5" s="2829"/>
      <c r="AU5" s="2829"/>
      <c r="AV5" s="2829"/>
      <c r="AW5" s="2829"/>
      <c r="AX5" s="2829"/>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4202</v>
      </c>
      <c r="C7" s="148" t="s">
        <v>15108</v>
      </c>
      <c r="D7" s="148" t="s">
        <v>630</v>
      </c>
      <c r="E7" s="148" t="s">
        <v>15109</v>
      </c>
      <c r="F7" s="148" t="s">
        <v>15110</v>
      </c>
      <c r="G7" s="148" t="s">
        <v>15111</v>
      </c>
      <c r="H7" s="149" t="s">
        <v>15112</v>
      </c>
      <c r="I7" s="150"/>
      <c r="J7" s="150"/>
      <c r="K7" s="150"/>
      <c r="L7" s="150"/>
      <c r="M7" s="74"/>
      <c r="N7" s="151"/>
      <c r="O7" s="151"/>
      <c r="P7" s="151"/>
      <c r="Q7" s="145" t="s">
        <v>4208</v>
      </c>
      <c r="R7" s="105"/>
      <c r="S7" s="145" t="s">
        <v>15053</v>
      </c>
      <c r="U7" s="238"/>
      <c r="W7" s="238"/>
      <c r="AI7" s="238"/>
      <c r="AK7" s="147" t="s">
        <v>4202</v>
      </c>
      <c r="AL7" s="148" t="s">
        <v>15108</v>
      </c>
      <c r="AM7" s="148" t="s">
        <v>630</v>
      </c>
      <c r="AN7" s="148" t="s">
        <v>15109</v>
      </c>
      <c r="AO7" s="148" t="s">
        <v>15110</v>
      </c>
      <c r="AP7" s="148" t="s">
        <v>15111</v>
      </c>
      <c r="AQ7" s="149" t="s">
        <v>15112</v>
      </c>
      <c r="AR7" s="150"/>
      <c r="AS7" s="1440"/>
      <c r="AT7" s="1440"/>
      <c r="AU7" s="1440"/>
      <c r="AV7" s="1297"/>
    </row>
    <row r="8" spans="2:50" ht="16.8"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15113</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15113</v>
      </c>
      <c r="AL9" s="146"/>
      <c r="AM9" s="146"/>
      <c r="AN9" s="146"/>
      <c r="AO9" s="146"/>
      <c r="AP9" s="146"/>
      <c r="AQ9" s="146"/>
      <c r="AR9" s="150"/>
      <c r="AV9" s="1443"/>
      <c r="AX9" s="1438"/>
    </row>
    <row r="10" spans="2:50" s="1440" customFormat="1" ht="45.6" customHeight="1" thickTop="1" thickBot="1">
      <c r="B10" s="154" t="s">
        <v>15114</v>
      </c>
      <c r="C10" s="2210"/>
      <c r="D10" s="155" t="s">
        <v>15115</v>
      </c>
      <c r="E10" s="155" t="s">
        <v>15116</v>
      </c>
      <c r="F10" s="156" t="s">
        <v>15117</v>
      </c>
      <c r="G10" s="2123"/>
      <c r="H10" s="2207">
        <f>IFERROR(G10/F10*1000,0)</f>
        <v>0</v>
      </c>
      <c r="I10" s="150"/>
      <c r="J10" s="153"/>
      <c r="K10" s="153"/>
      <c r="L10" s="153"/>
      <c r="M10" s="153"/>
      <c r="N10" s="150"/>
      <c r="O10" s="150"/>
      <c r="P10" s="150"/>
      <c r="Q10" s="1941" t="s">
        <v>15118</v>
      </c>
      <c r="R10" s="1942"/>
      <c r="S10" s="1941" t="s">
        <v>15119</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15114</v>
      </c>
      <c r="AL10" s="157" t="s">
        <v>15120</v>
      </c>
      <c r="AM10" s="155" t="s">
        <v>15115</v>
      </c>
      <c r="AN10" s="155" t="s">
        <v>15116</v>
      </c>
      <c r="AO10" s="156"/>
      <c r="AP10" s="157" t="s">
        <v>15121</v>
      </c>
      <c r="AQ10" s="158" t="s">
        <v>15122</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2" thickTop="1" thickBot="1">
      <c r="B12" s="147" t="s">
        <v>4202</v>
      </c>
      <c r="C12" s="148" t="s">
        <v>15108</v>
      </c>
      <c r="D12" s="148" t="s">
        <v>630</v>
      </c>
      <c r="E12" s="148" t="s">
        <v>15123</v>
      </c>
      <c r="F12" s="148" t="s">
        <v>15124</v>
      </c>
      <c r="G12" s="148" t="s">
        <v>15125</v>
      </c>
      <c r="H12" s="148" t="s">
        <v>15126</v>
      </c>
      <c r="I12" s="149" t="s">
        <v>15127</v>
      </c>
      <c r="J12" s="161"/>
      <c r="K12" s="161"/>
      <c r="L12" s="161"/>
      <c r="M12" s="161"/>
      <c r="N12" s="161"/>
      <c r="O12" s="161"/>
      <c r="P12" s="151"/>
      <c r="Q12" s="1942"/>
      <c r="R12" s="1942"/>
      <c r="S12" s="1942"/>
      <c r="U12" s="238"/>
      <c r="W12" s="238"/>
      <c r="AI12" s="238"/>
      <c r="AK12" s="147" t="s">
        <v>4202</v>
      </c>
      <c r="AL12" s="148" t="s">
        <v>15108</v>
      </c>
      <c r="AM12" s="148" t="s">
        <v>630</v>
      </c>
      <c r="AN12" s="148" t="s">
        <v>15123</v>
      </c>
      <c r="AO12" s="148" t="s">
        <v>15124</v>
      </c>
      <c r="AP12" s="148" t="s">
        <v>15125</v>
      </c>
      <c r="AQ12" s="148" t="s">
        <v>15126</v>
      </c>
      <c r="AR12" s="149" t="s">
        <v>15127</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15128</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15128</v>
      </c>
      <c r="AL14" s="146"/>
      <c r="AM14" s="146"/>
      <c r="AN14" s="162"/>
      <c r="AO14" s="162"/>
      <c r="AP14" s="162"/>
      <c r="AQ14" s="150"/>
      <c r="AR14" s="150"/>
      <c r="AS14" s="1446"/>
      <c r="AT14" s="1446"/>
    </row>
    <row r="15" spans="2:50" s="1440" customFormat="1" ht="36.75" customHeight="1" thickTop="1">
      <c r="B15" s="164" t="s">
        <v>15129</v>
      </c>
      <c r="C15" s="2211"/>
      <c r="D15" s="166" t="s">
        <v>12500</v>
      </c>
      <c r="E15" s="2124"/>
      <c r="F15" s="2124"/>
      <c r="G15" s="2145"/>
      <c r="H15" s="2145"/>
      <c r="I15" s="2146"/>
      <c r="J15" s="163"/>
      <c r="K15" s="163"/>
      <c r="L15" s="163"/>
      <c r="M15" s="163"/>
      <c r="N15" s="163"/>
      <c r="O15" s="163"/>
      <c r="P15" s="150"/>
      <c r="Q15" s="919" t="s">
        <v>15130</v>
      </c>
      <c r="R15" s="1942"/>
      <c r="S15" s="919" t="s">
        <v>15131</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15129</v>
      </c>
      <c r="AL15" s="167" t="s">
        <v>15132</v>
      </c>
      <c r="AM15" s="166" t="s">
        <v>12500</v>
      </c>
      <c r="AN15" s="167" t="s">
        <v>15133</v>
      </c>
      <c r="AO15" s="167"/>
      <c r="AP15" s="2151"/>
      <c r="AQ15" s="2151"/>
      <c r="AR15" s="2152"/>
      <c r="AS15" s="1447"/>
      <c r="AT15" s="1447"/>
      <c r="AU15" s="1447"/>
      <c r="AV15" s="1447"/>
      <c r="AW15" s="1447"/>
      <c r="AX15" s="1447"/>
    </row>
    <row r="16" spans="2:50" s="1440" customFormat="1" ht="36.75" customHeight="1">
      <c r="B16" s="183" t="s">
        <v>15134</v>
      </c>
      <c r="C16" s="2212"/>
      <c r="D16" s="185" t="s">
        <v>12500</v>
      </c>
      <c r="E16" s="2126"/>
      <c r="F16" s="2126"/>
      <c r="G16" s="2147"/>
      <c r="H16" s="2147"/>
      <c r="I16" s="2148"/>
      <c r="J16" s="163"/>
      <c r="K16" s="163"/>
      <c r="L16" s="163"/>
      <c r="M16" s="163"/>
      <c r="N16" s="163"/>
      <c r="O16" s="163"/>
      <c r="P16" s="150"/>
      <c r="Q16" s="926" t="s">
        <v>15130</v>
      </c>
      <c r="R16" s="1942"/>
      <c r="S16" s="926" t="s">
        <v>15131</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15134</v>
      </c>
      <c r="AL16" s="187" t="s">
        <v>15135</v>
      </c>
      <c r="AM16" s="185" t="s">
        <v>12500</v>
      </c>
      <c r="AN16" s="187" t="s">
        <v>15136</v>
      </c>
      <c r="AO16" s="187"/>
      <c r="AP16" s="2153"/>
      <c r="AQ16" s="2153"/>
      <c r="AR16" s="2154"/>
      <c r="AS16" s="1447"/>
      <c r="AT16" s="1447"/>
      <c r="AU16" s="1447"/>
      <c r="AV16" s="1447"/>
      <c r="AW16" s="1447"/>
      <c r="AX16" s="1447"/>
    </row>
    <row r="17" spans="2:51" ht="36.75" customHeight="1" thickBot="1">
      <c r="B17" s="169" t="s">
        <v>15137</v>
      </c>
      <c r="C17" s="2213"/>
      <c r="D17" s="171" t="s">
        <v>15115</v>
      </c>
      <c r="E17" s="2128"/>
      <c r="F17" s="2128"/>
      <c r="G17" s="2149"/>
      <c r="H17" s="2149"/>
      <c r="I17" s="2150"/>
      <c r="J17" s="163"/>
      <c r="K17" s="163"/>
      <c r="L17" s="163"/>
      <c r="M17" s="163"/>
      <c r="N17" s="163"/>
      <c r="O17" s="174"/>
      <c r="P17" s="150"/>
      <c r="Q17" s="941" t="s">
        <v>15138</v>
      </c>
      <c r="R17" s="1942"/>
      <c r="S17" s="941" t="s">
        <v>15139</v>
      </c>
      <c r="U17" s="238"/>
      <c r="V17" s="1232" t="str">
        <f t="shared" si="0"/>
        <v>Please complete all cells in row</v>
      </c>
      <c r="W17" s="238"/>
      <c r="X17" s="241">
        <f t="shared" si="3"/>
        <v>1</v>
      </c>
      <c r="Y17" s="241">
        <f t="shared" si="4"/>
        <v>1</v>
      </c>
      <c r="AI17" s="238"/>
      <c r="AK17" s="169" t="s">
        <v>15137</v>
      </c>
      <c r="AL17" s="172" t="s">
        <v>15140</v>
      </c>
      <c r="AM17" s="171" t="s">
        <v>15115</v>
      </c>
      <c r="AN17" s="172" t="s">
        <v>15141</v>
      </c>
      <c r="AO17" s="172"/>
      <c r="AP17" s="2155"/>
      <c r="AQ17" s="2155"/>
      <c r="AR17" s="2156"/>
      <c r="AS17" s="1447"/>
      <c r="AT17" s="1447"/>
      <c r="AU17" s="1447"/>
      <c r="AV17" s="1447"/>
      <c r="AW17" s="1447"/>
      <c r="AX17" s="1450"/>
      <c r="AY17" s="1440"/>
    </row>
    <row r="18" spans="2:51" s="1440" customFormat="1" ht="15.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3.8"/>
  <cols>
    <col min="1" max="1" width="9" style="1297"/>
    <col min="2" max="2" width="38.19921875" style="1438" customWidth="1"/>
    <col min="3" max="3" width="17.09765625" style="1438" bestFit="1" customWidth="1"/>
    <col min="4" max="4" width="30.09765625" style="1438" bestFit="1" customWidth="1"/>
    <col min="5" max="5" width="42.69921875" style="1438" bestFit="1" customWidth="1"/>
    <col min="6" max="6" width="20" style="1438" customWidth="1"/>
    <col min="7" max="7" width="35.09765625" style="1438" customWidth="1"/>
    <col min="8" max="8" width="29.69921875" style="1438" bestFit="1" customWidth="1"/>
    <col min="9" max="9" width="17.09765625" style="1438" bestFit="1" customWidth="1"/>
    <col min="10" max="10" width="29.69921875" style="1438" bestFit="1" customWidth="1"/>
    <col min="11" max="13" width="13.19921875" style="1438" customWidth="1"/>
    <col min="14" max="14" width="1.59765625" style="1438" customWidth="1"/>
    <col min="15" max="15" width="12.5" style="1438" customWidth="1"/>
    <col min="16" max="16" width="1.69921875" style="1297" customWidth="1"/>
    <col min="17" max="17" width="14.59765625" style="1297" customWidth="1"/>
    <col min="18" max="18" width="2.69921875" style="1297" customWidth="1"/>
    <col min="19" max="19" width="1.59765625" style="219" customWidth="1"/>
    <col min="20" max="20" width="20.59765625" style="219" bestFit="1" customWidth="1"/>
    <col min="21" max="21" width="1.59765625" style="219" customWidth="1"/>
    <col min="22" max="22" width="28" style="1297" hidden="1" customWidth="1"/>
    <col min="23" max="24" width="9" style="1297" hidden="1" customWidth="1"/>
    <col min="25" max="26" width="2.09765625" style="1297" hidden="1" customWidth="1"/>
    <col min="27" max="27" width="9" style="1297" hidden="1" customWidth="1"/>
    <col min="28" max="28" width="2.09765625" style="1297" hidden="1" customWidth="1"/>
    <col min="29" max="29" width="9" style="1297" hidden="1" customWidth="1"/>
    <col min="30" max="32" width="2.09765625" style="1297" hidden="1" customWidth="1"/>
    <col min="33" max="33" width="4.69921875" style="1297" hidden="1" customWidth="1"/>
    <col min="34" max="34" width="9" style="1297"/>
    <col min="35" max="35" width="30.19921875" style="1297" bestFit="1" customWidth="1"/>
    <col min="36" max="36" width="14.19921875" style="1297" bestFit="1" customWidth="1"/>
    <col min="37" max="37" width="30.09765625" style="1297" bestFit="1" customWidth="1"/>
    <col min="38" max="38" width="42.69921875" style="1297" bestFit="1" customWidth="1"/>
    <col min="39" max="39" width="8.69921875" style="1297" bestFit="1" customWidth="1"/>
    <col min="40" max="40" width="17.09765625" style="1297" bestFit="1" customWidth="1"/>
    <col min="41" max="41" width="21.19921875" style="1297" customWidth="1"/>
    <col min="42" max="42" width="17.09765625" style="1297" bestFit="1" customWidth="1"/>
    <col min="43" max="43" width="29.69921875" style="1297" bestFit="1" customWidth="1"/>
    <col min="44" max="44" width="4.5" style="1297" bestFit="1" customWidth="1"/>
    <col min="45" max="45" width="8" style="1297" bestFit="1" customWidth="1"/>
    <col min="46" max="46" width="5.09765625" style="1297" bestFit="1" customWidth="1"/>
    <col min="47" max="51" width="9" style="1297"/>
    <col min="52" max="52" width="9" style="1297" customWidth="1"/>
    <col min="53" max="16384" width="9" style="1297"/>
  </cols>
  <sheetData>
    <row r="1" spans="2:46" s="104" customFormat="1" ht="22.8">
      <c r="B1" s="2901" t="s">
        <v>15142</v>
      </c>
      <c r="C1" s="2901"/>
      <c r="D1" s="2901"/>
      <c r="E1" s="2901"/>
      <c r="F1" s="1437"/>
      <c r="G1" s="1437"/>
      <c r="H1" s="1437"/>
      <c r="I1" s="1437"/>
      <c r="J1" s="1437"/>
      <c r="K1" s="1437"/>
      <c r="L1" s="1438"/>
      <c r="M1" s="1438"/>
      <c r="N1" s="1438"/>
      <c r="O1" s="1438"/>
      <c r="S1" s="238"/>
      <c r="T1" s="219"/>
      <c r="U1" s="238"/>
      <c r="AG1" s="1451"/>
      <c r="AI1" s="1229" t="s">
        <v>4198</v>
      </c>
    </row>
    <row r="2" spans="2:46" s="104" customFormat="1" ht="22.8">
      <c r="B2" s="1229" t="str">
        <f>SelectCompany!B4</f>
        <v>Dŵr Cymru</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29" t="s">
        <v>15143</v>
      </c>
      <c r="C3" s="2829"/>
      <c r="D3" s="2829"/>
      <c r="E3" s="2829"/>
      <c r="F3" s="2829"/>
      <c r="G3" s="2829"/>
      <c r="H3" s="2829"/>
      <c r="I3" s="2829"/>
      <c r="J3" s="2829"/>
      <c r="K3" s="2829"/>
      <c r="L3" s="2829"/>
      <c r="M3" s="2829"/>
      <c r="P3" s="104"/>
      <c r="Q3" s="104"/>
      <c r="R3" s="1297"/>
      <c r="S3" s="238"/>
      <c r="T3" s="1240" t="s">
        <v>4200</v>
      </c>
      <c r="U3" s="238"/>
      <c r="V3" s="1297"/>
      <c r="W3" s="1297"/>
      <c r="X3" s="1297"/>
      <c r="Y3" s="1297"/>
      <c r="Z3" s="1297"/>
      <c r="AA3" s="1297"/>
      <c r="AB3" s="1297"/>
      <c r="AC3" s="1297"/>
      <c r="AD3" s="1297"/>
      <c r="AE3" s="1297"/>
      <c r="AF3" s="1297"/>
      <c r="AG3" s="1452"/>
      <c r="AH3" s="1297"/>
      <c r="AI3" s="2829" t="s">
        <v>15144</v>
      </c>
      <c r="AJ3" s="2829"/>
      <c r="AK3" s="2829"/>
      <c r="AL3" s="2829"/>
      <c r="AM3" s="2829"/>
      <c r="AN3" s="2829"/>
      <c r="AO3" s="2829"/>
      <c r="AP3" s="2829"/>
      <c r="AQ3" s="2829"/>
      <c r="AR3" s="2829"/>
      <c r="AS3" s="2829"/>
      <c r="AT3" s="2829"/>
    </row>
    <row r="4" spans="2:46" s="1438" customFormat="1" ht="22.8">
      <c r="K4" s="1453"/>
      <c r="L4" s="1453"/>
      <c r="M4" s="1453"/>
      <c r="P4" s="104"/>
      <c r="Q4" s="104"/>
      <c r="R4" s="1297"/>
      <c r="S4" s="238"/>
      <c r="T4" s="219"/>
      <c r="U4" s="238"/>
      <c r="V4" s="2917" t="s">
        <v>4201</v>
      </c>
      <c r="W4" s="2917"/>
      <c r="X4" s="2917"/>
      <c r="Y4" s="2917"/>
      <c r="Z4" s="2917"/>
      <c r="AA4" s="2917"/>
      <c r="AB4" s="2917"/>
      <c r="AC4" s="2917"/>
      <c r="AD4" s="2917"/>
      <c r="AE4" s="2917"/>
      <c r="AF4" s="2917"/>
      <c r="AG4" s="1452"/>
      <c r="AH4" s="1297"/>
      <c r="AI4" s="1297"/>
      <c r="AJ4" s="1297"/>
      <c r="AK4" s="1297"/>
      <c r="AL4" s="1297"/>
    </row>
    <row r="5" spans="2:46" s="1438" customFormat="1" ht="19.350000000000001" customHeight="1">
      <c r="B5" s="2829" t="s">
        <v>15145</v>
      </c>
      <c r="C5" s="2829"/>
      <c r="D5" s="2829"/>
      <c r="E5" s="2829"/>
      <c r="F5" s="2829"/>
      <c r="G5" s="2829"/>
      <c r="H5" s="2829"/>
      <c r="I5" s="2829"/>
      <c r="J5" s="2829"/>
      <c r="K5" s="2829"/>
      <c r="L5" s="2829"/>
      <c r="M5" s="2829"/>
      <c r="P5" s="104"/>
      <c r="Q5" s="104"/>
      <c r="R5" s="1297"/>
      <c r="S5" s="238"/>
      <c r="T5" s="219"/>
      <c r="U5" s="238"/>
      <c r="V5" s="219" t="s">
        <v>4210</v>
      </c>
      <c r="W5" s="1297"/>
      <c r="X5" s="1297"/>
      <c r="Y5" s="1297"/>
      <c r="Z5" s="1297"/>
      <c r="AA5" s="1297"/>
      <c r="AB5" s="1297"/>
      <c r="AC5" s="1297"/>
      <c r="AD5" s="1297"/>
      <c r="AE5" s="1297"/>
      <c r="AF5" s="1297"/>
      <c r="AG5" s="1452"/>
      <c r="AH5" s="1297"/>
      <c r="AI5" s="2829" t="s">
        <v>15145</v>
      </c>
      <c r="AJ5" s="2829"/>
      <c r="AK5" s="2829"/>
      <c r="AL5" s="2829"/>
      <c r="AM5" s="2829"/>
      <c r="AN5" s="2829"/>
      <c r="AO5" s="2829"/>
      <c r="AP5" s="2829"/>
      <c r="AQ5" s="2829"/>
      <c r="AR5" s="2829"/>
      <c r="AS5" s="2829"/>
      <c r="AT5" s="2829"/>
    </row>
    <row r="6" spans="2:46" ht="16.2"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2" thickTop="1" thickBot="1">
      <c r="B7" s="179" t="s">
        <v>4202</v>
      </c>
      <c r="C7" s="148" t="s">
        <v>15108</v>
      </c>
      <c r="D7" s="148" t="s">
        <v>630</v>
      </c>
      <c r="E7" s="148" t="s">
        <v>15109</v>
      </c>
      <c r="F7" s="148" t="s">
        <v>15146</v>
      </c>
      <c r="G7" s="148" t="s">
        <v>15111</v>
      </c>
      <c r="H7" s="149" t="s">
        <v>15112</v>
      </c>
      <c r="I7" s="150"/>
      <c r="J7" s="151"/>
      <c r="K7" s="105"/>
      <c r="L7" s="151"/>
      <c r="M7" s="151"/>
      <c r="N7" s="151"/>
      <c r="O7" s="145" t="s">
        <v>4208</v>
      </c>
      <c r="P7" s="74"/>
      <c r="Q7" s="145" t="s">
        <v>15053</v>
      </c>
      <c r="S7" s="238"/>
      <c r="U7" s="238"/>
      <c r="AG7" s="1452"/>
      <c r="AI7" s="179" t="s">
        <v>4202</v>
      </c>
      <c r="AJ7" s="148" t="s">
        <v>15108</v>
      </c>
      <c r="AK7" s="148" t="s">
        <v>630</v>
      </c>
      <c r="AL7" s="148" t="s">
        <v>15109</v>
      </c>
      <c r="AM7" s="148" t="s">
        <v>15146</v>
      </c>
      <c r="AN7" s="148" t="s">
        <v>15111</v>
      </c>
      <c r="AO7" s="149" t="s">
        <v>15112</v>
      </c>
      <c r="AP7" s="150"/>
      <c r="AQ7" s="151"/>
      <c r="AR7" s="105"/>
      <c r="AS7" s="151"/>
      <c r="AT7" s="151"/>
    </row>
    <row r="8" spans="2:46" ht="16.2"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2" thickTop="1" thickBot="1">
      <c r="B9" s="122" t="s">
        <v>15147</v>
      </c>
      <c r="C9" s="150"/>
      <c r="D9" s="150"/>
      <c r="E9" s="150"/>
      <c r="F9" s="150"/>
      <c r="G9" s="150"/>
      <c r="H9" s="150"/>
      <c r="I9" s="150"/>
      <c r="J9" s="151"/>
      <c r="K9" s="151"/>
      <c r="L9" s="151"/>
      <c r="M9" s="151"/>
      <c r="N9" s="151"/>
      <c r="O9" s="180"/>
      <c r="P9" s="74"/>
      <c r="Q9" s="180"/>
      <c r="S9" s="238"/>
      <c r="U9" s="238"/>
      <c r="AG9" s="1452"/>
      <c r="AI9" s="122" t="s">
        <v>15147</v>
      </c>
      <c r="AJ9" s="150"/>
      <c r="AK9" s="150"/>
      <c r="AL9" s="150"/>
      <c r="AM9" s="150"/>
      <c r="AN9" s="150"/>
      <c r="AO9" s="150"/>
      <c r="AP9" s="150"/>
      <c r="AQ9" s="151"/>
      <c r="AR9" s="151"/>
      <c r="AS9" s="151"/>
      <c r="AT9" s="151"/>
    </row>
    <row r="10" spans="2:46" ht="65.849999999999994" customHeight="1" thickTop="1">
      <c r="B10" s="164" t="s">
        <v>15148</v>
      </c>
      <c r="C10" s="2124"/>
      <c r="D10" s="166" t="s">
        <v>15149</v>
      </c>
      <c r="E10" s="166" t="s">
        <v>15150</v>
      </c>
      <c r="F10" s="181" t="s">
        <v>15151</v>
      </c>
      <c r="G10" s="2124"/>
      <c r="H10" s="182">
        <f>IFERROR(G10/(F10*1000)*10000,0)</f>
        <v>0</v>
      </c>
      <c r="I10" s="150"/>
      <c r="J10" s="151"/>
      <c r="K10" s="150"/>
      <c r="L10" s="151"/>
      <c r="M10" s="150"/>
      <c r="N10" s="151"/>
      <c r="O10" s="43" t="s">
        <v>15152</v>
      </c>
      <c r="P10" s="74"/>
      <c r="Q10" s="43" t="s">
        <v>15153</v>
      </c>
      <c r="S10" s="238"/>
      <c r="T10" s="1232" t="str">
        <f xml:space="preserve"> IF( SUM( V10:AF10 ) = 0, 0,$V$5 )</f>
        <v>Please complete all cells in row</v>
      </c>
      <c r="U10" s="238"/>
      <c r="Z10" s="1455">
        <f xml:space="preserve"> IF( ISNUMBER(G10 ), 0, 1 )</f>
        <v>1</v>
      </c>
      <c r="AG10" s="1452"/>
      <c r="AI10" s="164" t="s">
        <v>15148</v>
      </c>
      <c r="AJ10" s="167" t="s">
        <v>15154</v>
      </c>
      <c r="AK10" s="166" t="s">
        <v>15149</v>
      </c>
      <c r="AL10" s="166" t="s">
        <v>15150</v>
      </c>
      <c r="AM10" s="181"/>
      <c r="AN10" s="167" t="s">
        <v>15155</v>
      </c>
      <c r="AO10" s="182" t="s">
        <v>15156</v>
      </c>
      <c r="AP10" s="150"/>
      <c r="AQ10" s="151"/>
      <c r="AR10" s="150"/>
      <c r="AS10" s="151"/>
      <c r="AT10" s="150"/>
    </row>
    <row r="11" spans="2:46" ht="65.849999999999994" customHeight="1">
      <c r="B11" s="183" t="s">
        <v>15157</v>
      </c>
      <c r="C11" s="2126"/>
      <c r="D11" s="185" t="s">
        <v>15149</v>
      </c>
      <c r="E11" s="185" t="s">
        <v>15150</v>
      </c>
      <c r="F11" s="186" t="s">
        <v>15158</v>
      </c>
      <c r="G11" s="2126"/>
      <c r="H11" s="188">
        <f>IFERROR(G11/(F11*1000)*10000,0)</f>
        <v>0</v>
      </c>
      <c r="I11" s="150"/>
      <c r="J11" s="151"/>
      <c r="K11" s="150"/>
      <c r="L11" s="151"/>
      <c r="M11" s="150"/>
      <c r="N11" s="151"/>
      <c r="O11" s="52" t="s">
        <v>15159</v>
      </c>
      <c r="P11" s="74"/>
      <c r="Q11" s="52" t="s">
        <v>15160</v>
      </c>
      <c r="S11" s="238"/>
      <c r="T11" s="1232" t="str">
        <f t="shared" ref="T11:T13" si="0" xml:space="preserve"> IF( SUM( V11:AF11 ) = 0, 0,$V$5 )</f>
        <v>Please complete all cells in row</v>
      </c>
      <c r="U11" s="238"/>
      <c r="Z11" s="1455">
        <f t="shared" ref="Z11:Z13" si="1" xml:space="preserve"> IF( ISNUMBER(G11 ), 0, 1 )</f>
        <v>1</v>
      </c>
      <c r="AG11" s="1452"/>
      <c r="AI11" s="183" t="s">
        <v>15157</v>
      </c>
      <c r="AJ11" s="187" t="s">
        <v>15161</v>
      </c>
      <c r="AK11" s="185" t="s">
        <v>15149</v>
      </c>
      <c r="AL11" s="185" t="s">
        <v>15150</v>
      </c>
      <c r="AM11" s="186"/>
      <c r="AN11" s="187" t="s">
        <v>15162</v>
      </c>
      <c r="AO11" s="188" t="s">
        <v>15163</v>
      </c>
      <c r="AP11" s="150"/>
      <c r="AQ11" s="151"/>
      <c r="AR11" s="150"/>
      <c r="AS11" s="151"/>
      <c r="AT11" s="150"/>
    </row>
    <row r="12" spans="2:46" ht="65.849999999999994" customHeight="1">
      <c r="B12" s="183" t="s">
        <v>15164</v>
      </c>
      <c r="C12" s="2126"/>
      <c r="D12" s="185" t="s">
        <v>15149</v>
      </c>
      <c r="E12" s="185" t="s">
        <v>15150</v>
      </c>
      <c r="F12" s="186" t="s">
        <v>15165</v>
      </c>
      <c r="G12" s="2126"/>
      <c r="H12" s="188">
        <f>IFERROR(G12/(F12*1000)*10000,0)</f>
        <v>0</v>
      </c>
      <c r="I12" s="150"/>
      <c r="J12" s="151"/>
      <c r="K12" s="150"/>
      <c r="L12" s="151"/>
      <c r="M12" s="150"/>
      <c r="N12" s="151"/>
      <c r="O12" s="52" t="s">
        <v>15166</v>
      </c>
      <c r="P12" s="74"/>
      <c r="Q12" s="52" t="s">
        <v>15167</v>
      </c>
      <c r="S12" s="238"/>
      <c r="T12" s="1232" t="str">
        <f t="shared" si="0"/>
        <v>Please complete all cells in row</v>
      </c>
      <c r="U12" s="238"/>
      <c r="Z12" s="1455">
        <f t="shared" si="1"/>
        <v>1</v>
      </c>
      <c r="AG12" s="1452"/>
      <c r="AI12" s="183" t="s">
        <v>15164</v>
      </c>
      <c r="AJ12" s="187" t="s">
        <v>15168</v>
      </c>
      <c r="AK12" s="185" t="s">
        <v>15149</v>
      </c>
      <c r="AL12" s="185" t="s">
        <v>15150</v>
      </c>
      <c r="AM12" s="186"/>
      <c r="AN12" s="187" t="s">
        <v>15169</v>
      </c>
      <c r="AO12" s="188" t="s">
        <v>15170</v>
      </c>
      <c r="AP12" s="150"/>
      <c r="AQ12" s="151"/>
      <c r="AR12" s="150"/>
      <c r="AS12" s="151"/>
      <c r="AT12" s="150"/>
    </row>
    <row r="13" spans="2:46" ht="65.849999999999994" customHeight="1" thickBot="1">
      <c r="B13" s="169" t="s">
        <v>15171</v>
      </c>
      <c r="C13" s="2128"/>
      <c r="D13" s="171" t="s">
        <v>15172</v>
      </c>
      <c r="E13" s="171" t="s">
        <v>15173</v>
      </c>
      <c r="F13" s="189" t="s">
        <v>15174</v>
      </c>
      <c r="G13" s="2128"/>
      <c r="H13" s="190">
        <f>IFERROR(G13/F13*10000,0)</f>
        <v>0</v>
      </c>
      <c r="I13" s="150"/>
      <c r="J13" s="151"/>
      <c r="K13" s="150"/>
      <c r="L13" s="151"/>
      <c r="M13" s="150"/>
      <c r="N13" s="151"/>
      <c r="O13" s="54" t="s">
        <v>15175</v>
      </c>
      <c r="P13" s="74"/>
      <c r="Q13" s="54" t="s">
        <v>15176</v>
      </c>
      <c r="S13" s="238"/>
      <c r="T13" s="1232" t="str">
        <f t="shared" si="0"/>
        <v>Please complete all cells in row</v>
      </c>
      <c r="U13" s="238"/>
      <c r="Z13" s="1455">
        <f t="shared" si="1"/>
        <v>1</v>
      </c>
      <c r="AG13" s="1452"/>
      <c r="AI13" s="169" t="s">
        <v>15171</v>
      </c>
      <c r="AJ13" s="172" t="s">
        <v>15177</v>
      </c>
      <c r="AK13" s="171" t="s">
        <v>15172</v>
      </c>
      <c r="AL13" s="171" t="s">
        <v>15173</v>
      </c>
      <c r="AM13" s="189"/>
      <c r="AN13" s="172" t="s">
        <v>15178</v>
      </c>
      <c r="AO13" s="190" t="s">
        <v>15179</v>
      </c>
      <c r="AP13" s="150"/>
      <c r="AQ13" s="151"/>
      <c r="AR13" s="150"/>
      <c r="AS13" s="151"/>
      <c r="AT13" s="150"/>
    </row>
    <row r="14" spans="2:46" ht="16.2"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15108</v>
      </c>
      <c r="D15" s="120" t="s">
        <v>630</v>
      </c>
      <c r="E15" s="120" t="s">
        <v>15180</v>
      </c>
      <c r="F15" s="149" t="s">
        <v>15111</v>
      </c>
      <c r="G15" s="161"/>
      <c r="H15" s="151"/>
      <c r="I15" s="151"/>
      <c r="J15" s="151"/>
      <c r="K15" s="151"/>
      <c r="L15" s="151"/>
      <c r="M15" s="151"/>
      <c r="N15" s="151"/>
      <c r="O15" s="151"/>
      <c r="P15" s="74"/>
      <c r="Q15" s="151"/>
      <c r="S15" s="238"/>
      <c r="T15" s="1297"/>
      <c r="U15" s="238"/>
      <c r="AG15" s="1452"/>
      <c r="AI15" s="191"/>
      <c r="AJ15" s="120" t="s">
        <v>15108</v>
      </c>
      <c r="AK15" s="120" t="s">
        <v>630</v>
      </c>
      <c r="AL15" s="120" t="s">
        <v>15180</v>
      </c>
      <c r="AM15" s="149" t="s">
        <v>15111</v>
      </c>
      <c r="AN15" s="161"/>
      <c r="AO15" s="151"/>
      <c r="AP15" s="151"/>
      <c r="AQ15" s="151"/>
      <c r="AR15" s="151"/>
      <c r="AS15" s="151"/>
      <c r="AT15" s="151"/>
    </row>
    <row r="16" spans="2:46" ht="31.2" thickTop="1" thickBot="1">
      <c r="B16" s="192" t="s">
        <v>15181</v>
      </c>
      <c r="C16" s="156" t="s">
        <v>15182</v>
      </c>
      <c r="D16" s="156" t="s">
        <v>15183</v>
      </c>
      <c r="E16" s="156" t="s">
        <v>15184</v>
      </c>
      <c r="F16" s="2137"/>
      <c r="G16" s="83"/>
      <c r="H16" s="178"/>
      <c r="I16" s="151"/>
      <c r="J16" s="151"/>
      <c r="K16" s="151"/>
      <c r="L16" s="151"/>
      <c r="M16" s="151"/>
      <c r="N16" s="151"/>
      <c r="O16" s="194" t="s">
        <v>15185</v>
      </c>
      <c r="P16" s="74"/>
      <c r="Q16" s="194" t="s">
        <v>15186</v>
      </c>
      <c r="S16" s="238"/>
      <c r="T16" s="1232" t="str">
        <f xml:space="preserve"> IF( SUM( V16:AF16 ) = 0, 0,$V$5 )</f>
        <v>Please complete all cells in row</v>
      </c>
      <c r="U16" s="238"/>
      <c r="Y16" s="1455">
        <f t="shared" ref="Y16" si="2" xml:space="preserve"> IF( ISNUMBER(F16 ), 0, 1 )</f>
        <v>1</v>
      </c>
      <c r="AG16" s="1452"/>
      <c r="AI16" s="192" t="s">
        <v>15181</v>
      </c>
      <c r="AJ16" s="156"/>
      <c r="AK16" s="156"/>
      <c r="AL16" s="156"/>
      <c r="AM16" s="193" t="s">
        <v>15187</v>
      </c>
      <c r="AN16" s="83"/>
      <c r="AO16" s="178"/>
      <c r="AP16" s="151"/>
      <c r="AQ16" s="151"/>
      <c r="AR16" s="151"/>
      <c r="AS16" s="151"/>
      <c r="AT16" s="151"/>
    </row>
    <row r="17" spans="2:46" ht="16.2"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2" thickTop="1" thickBot="1">
      <c r="B18" s="195"/>
      <c r="C18" s="196"/>
      <c r="D18" s="196"/>
      <c r="E18" s="196"/>
      <c r="F18" s="197"/>
      <c r="G18" s="2948" t="s">
        <v>15188</v>
      </c>
      <c r="H18" s="2949"/>
      <c r="I18" s="2949"/>
      <c r="J18" s="2949"/>
      <c r="K18" s="2949"/>
      <c r="L18" s="2949"/>
      <c r="M18" s="2950"/>
      <c r="N18" s="74"/>
      <c r="O18" s="74"/>
      <c r="P18" s="74"/>
      <c r="Q18" s="197"/>
      <c r="S18" s="238"/>
      <c r="T18" s="1297"/>
      <c r="U18" s="238"/>
      <c r="AG18" s="1452"/>
      <c r="AI18" s="195"/>
      <c r="AJ18" s="196"/>
      <c r="AK18" s="196"/>
      <c r="AL18" s="196"/>
      <c r="AM18" s="197"/>
      <c r="AN18" s="2948" t="s">
        <v>15188</v>
      </c>
      <c r="AO18" s="2949"/>
      <c r="AP18" s="2949"/>
      <c r="AQ18" s="2949"/>
      <c r="AR18" s="2949"/>
      <c r="AS18" s="2949"/>
      <c r="AT18" s="2950"/>
    </row>
    <row r="19" spans="2:46" ht="15.6" thickTop="1">
      <c r="B19" s="2863"/>
      <c r="C19" s="2865" t="s">
        <v>15189</v>
      </c>
      <c r="D19" s="2865" t="s">
        <v>15190</v>
      </c>
      <c r="E19" s="2953" t="s">
        <v>15191</v>
      </c>
      <c r="F19" s="197"/>
      <c r="G19" s="2951" t="s">
        <v>15192</v>
      </c>
      <c r="H19" s="2945" t="s">
        <v>15193</v>
      </c>
      <c r="I19" s="2945" t="s">
        <v>15194</v>
      </c>
      <c r="J19" s="2945" t="s">
        <v>15195</v>
      </c>
      <c r="K19" s="2945" t="s">
        <v>15196</v>
      </c>
      <c r="L19" s="2945"/>
      <c r="M19" s="2946"/>
      <c r="N19" s="74"/>
      <c r="O19" s="74"/>
      <c r="P19" s="74"/>
      <c r="Q19" s="197"/>
      <c r="S19" s="238"/>
      <c r="T19" s="1297"/>
      <c r="U19" s="238"/>
      <c r="AG19" s="1452"/>
      <c r="AI19" s="2863"/>
      <c r="AJ19" s="2865" t="s">
        <v>15189</v>
      </c>
      <c r="AK19" s="2865" t="s">
        <v>15190</v>
      </c>
      <c r="AL19" s="2953" t="s">
        <v>15191</v>
      </c>
      <c r="AM19" s="197"/>
      <c r="AN19" s="2951" t="s">
        <v>15192</v>
      </c>
      <c r="AO19" s="2945" t="s">
        <v>15193</v>
      </c>
      <c r="AP19" s="2945" t="s">
        <v>15194</v>
      </c>
      <c r="AQ19" s="2945" t="s">
        <v>15195</v>
      </c>
      <c r="AR19" s="2945" t="s">
        <v>15196</v>
      </c>
      <c r="AS19" s="2945"/>
      <c r="AT19" s="2946"/>
    </row>
    <row r="20" spans="2:46" ht="30">
      <c r="B20" s="2951"/>
      <c r="C20" s="2945"/>
      <c r="D20" s="2945"/>
      <c r="E20" s="2946"/>
      <c r="F20" s="197"/>
      <c r="G20" s="2951"/>
      <c r="H20" s="2945"/>
      <c r="I20" s="2945"/>
      <c r="J20" s="2945"/>
      <c r="K20" s="213" t="s">
        <v>15197</v>
      </c>
      <c r="L20" s="213" t="s">
        <v>15198</v>
      </c>
      <c r="M20" s="214" t="s">
        <v>15199</v>
      </c>
      <c r="N20" s="74"/>
      <c r="O20" s="74"/>
      <c r="P20" s="74"/>
      <c r="Q20" s="197"/>
      <c r="S20" s="238"/>
      <c r="T20" s="1297"/>
      <c r="U20" s="238"/>
      <c r="AG20" s="1452"/>
      <c r="AI20" s="2951"/>
      <c r="AJ20" s="2945"/>
      <c r="AK20" s="2945"/>
      <c r="AL20" s="2946"/>
      <c r="AM20" s="197"/>
      <c r="AN20" s="2951"/>
      <c r="AO20" s="2945"/>
      <c r="AP20" s="2945"/>
      <c r="AQ20" s="2945"/>
      <c r="AR20" s="213" t="s">
        <v>15197</v>
      </c>
      <c r="AS20" s="213" t="s">
        <v>15198</v>
      </c>
      <c r="AT20" s="214" t="s">
        <v>15199</v>
      </c>
    </row>
    <row r="21" spans="2:46" ht="56.1" customHeight="1" thickBot="1">
      <c r="B21" s="2952"/>
      <c r="C21" s="2866"/>
      <c r="D21" s="2866"/>
      <c r="E21" s="2947"/>
      <c r="F21" s="197"/>
      <c r="G21" s="2952"/>
      <c r="H21" s="2866"/>
      <c r="I21" s="2866"/>
      <c r="J21" s="2866"/>
      <c r="K21" s="2866" t="s">
        <v>15200</v>
      </c>
      <c r="L21" s="2866"/>
      <c r="M21" s="2947"/>
      <c r="N21" s="74"/>
      <c r="O21" s="74"/>
      <c r="P21" s="74"/>
      <c r="Q21" s="197"/>
      <c r="S21" s="238"/>
      <c r="T21" s="1297"/>
      <c r="U21" s="238"/>
      <c r="AG21" s="1452"/>
      <c r="AI21" s="2952"/>
      <c r="AJ21" s="2866"/>
      <c r="AK21" s="2866"/>
      <c r="AL21" s="2947"/>
      <c r="AM21" s="197"/>
      <c r="AN21" s="2952"/>
      <c r="AO21" s="2866"/>
      <c r="AP21" s="2866"/>
      <c r="AQ21" s="2866"/>
      <c r="AR21" s="2866" t="s">
        <v>15200</v>
      </c>
      <c r="AS21" s="2866"/>
      <c r="AT21" s="2947"/>
    </row>
    <row r="22" spans="2:46" ht="16.8"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15181</v>
      </c>
      <c r="C23" s="146"/>
      <c r="D23" s="146"/>
      <c r="E23" s="146"/>
      <c r="F23" s="197"/>
      <c r="G23" s="151"/>
      <c r="H23" s="151"/>
      <c r="I23" s="74"/>
      <c r="J23" s="74"/>
      <c r="K23" s="74"/>
      <c r="L23" s="74"/>
      <c r="M23" s="74"/>
      <c r="N23" s="74"/>
      <c r="O23" s="74"/>
      <c r="P23" s="74"/>
      <c r="Q23" s="197"/>
      <c r="S23" s="238"/>
      <c r="T23" s="1297"/>
      <c r="U23" s="238"/>
      <c r="AG23" s="1452"/>
      <c r="AI23" s="33" t="s">
        <v>15181</v>
      </c>
      <c r="AJ23" s="146"/>
      <c r="AK23" s="146"/>
      <c r="AL23" s="146"/>
      <c r="AM23" s="197"/>
      <c r="AN23" s="151"/>
      <c r="AO23" s="151"/>
      <c r="AP23" s="74"/>
      <c r="AQ23" s="74"/>
      <c r="AR23" s="74"/>
      <c r="AS23" s="74"/>
      <c r="AT23" s="74"/>
    </row>
    <row r="24" spans="2:46" ht="76.2" thickTop="1" thickBot="1">
      <c r="B24" s="198" t="s">
        <v>15181</v>
      </c>
      <c r="C24" s="156" t="s">
        <v>15201</v>
      </c>
      <c r="D24" s="156" t="s">
        <v>15202</v>
      </c>
      <c r="E24" s="199" t="s">
        <v>15203</v>
      </c>
      <c r="F24" s="200"/>
      <c r="G24" s="2138"/>
      <c r="H24" s="202">
        <f>IFERROR(G24/D24,0)</f>
        <v>0</v>
      </c>
      <c r="I24" s="1020"/>
      <c r="J24" s="202">
        <f>IFERROR(I24/D24,0)</f>
        <v>0</v>
      </c>
      <c r="K24" s="2139"/>
      <c r="L24" s="2139"/>
      <c r="M24" s="2140"/>
      <c r="N24" s="74"/>
      <c r="O24" s="59" t="s">
        <v>15204</v>
      </c>
      <c r="P24" s="74"/>
      <c r="Q24" s="59" t="s">
        <v>15205</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15181</v>
      </c>
      <c r="AJ24" s="156"/>
      <c r="AK24" s="156"/>
      <c r="AL24" s="199"/>
      <c r="AM24" s="200"/>
      <c r="AN24" s="201" t="s">
        <v>15206</v>
      </c>
      <c r="AO24" s="202" t="s">
        <v>15207</v>
      </c>
      <c r="AP24" s="203" t="s">
        <v>15208</v>
      </c>
      <c r="AQ24" s="202" t="s">
        <v>15209</v>
      </c>
      <c r="AR24" s="204" t="s">
        <v>15210</v>
      </c>
      <c r="AS24" s="204" t="s">
        <v>15211</v>
      </c>
      <c r="AT24" s="205" t="s">
        <v>15212</v>
      </c>
    </row>
    <row r="25" spans="2:46" ht="14.4"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3.8"/>
  <cols>
    <col min="1" max="1" width="9" style="219"/>
    <col min="2" max="2" width="31.5" style="219" bestFit="1" customWidth="1"/>
    <col min="3" max="3" width="16.19921875" style="219" bestFit="1" customWidth="1"/>
    <col min="4" max="4" width="9" style="219" customWidth="1"/>
    <col min="5" max="5" width="14.19921875" style="219" bestFit="1" customWidth="1"/>
    <col min="6" max="6" width="13.69921875" style="219" customWidth="1"/>
    <col min="7" max="7" width="56.5" style="219" customWidth="1"/>
    <col min="8" max="8" width="2.19921875" style="219" customWidth="1"/>
    <col min="9" max="9" width="15.69921875" style="219" bestFit="1" customWidth="1"/>
    <col min="10" max="10" width="1.69921875" style="219" customWidth="1"/>
    <col min="11" max="11" width="47.69921875" style="219" bestFit="1" customWidth="1"/>
    <col min="12" max="12" width="2.09765625" style="219" customWidth="1"/>
    <col min="13" max="13" width="1.59765625" style="219" customWidth="1"/>
    <col min="14" max="14" width="20.796875" style="219" customWidth="1"/>
    <col min="15" max="15" width="1.59765625" style="219" customWidth="1"/>
    <col min="16" max="16" width="25.69921875" style="219" hidden="1" customWidth="1"/>
    <col min="17" max="19" width="1.69921875" style="219" hidden="1" customWidth="1"/>
    <col min="20" max="20" width="3.59765625" style="219" hidden="1" customWidth="1"/>
    <col min="21" max="21" width="31.5" style="219" bestFit="1" customWidth="1"/>
    <col min="22" max="22" width="18.19921875" style="219" bestFit="1" customWidth="1"/>
    <col min="23" max="23" width="4.5" style="219" bestFit="1" customWidth="1"/>
    <col min="24" max="24" width="14.19921875" style="219" bestFit="1" customWidth="1"/>
    <col min="25" max="25" width="8.69921875" style="219" bestFit="1" customWidth="1"/>
    <col min="26" max="26" width="16.19921875" style="219" bestFit="1" customWidth="1"/>
    <col min="27" max="16384" width="9" style="219"/>
  </cols>
  <sheetData>
    <row r="1" spans="2:26" ht="34.35" customHeight="1">
      <c r="B1" s="2901" t="s">
        <v>15213</v>
      </c>
      <c r="C1" s="2901"/>
      <c r="D1" s="2901"/>
      <c r="E1" s="2901"/>
      <c r="F1" s="2901"/>
      <c r="G1" s="2901"/>
      <c r="M1" s="238"/>
      <c r="O1" s="238"/>
      <c r="T1" s="238"/>
      <c r="U1" s="1229" t="s">
        <v>4198</v>
      </c>
    </row>
    <row r="2" spans="2:26" ht="22.8">
      <c r="B2" s="1229" t="str">
        <f>SelectCompany!B4</f>
        <v>Dŵr Cymru</v>
      </c>
      <c r="M2" s="238"/>
      <c r="O2" s="238"/>
      <c r="T2" s="238"/>
      <c r="U2" s="1457"/>
    </row>
    <row r="3" spans="2:26" ht="19.350000000000001" customHeight="1">
      <c r="B3" s="2829" t="s">
        <v>15106</v>
      </c>
      <c r="C3" s="2829"/>
      <c r="D3" s="2829"/>
      <c r="E3" s="2829"/>
      <c r="F3" s="2829"/>
      <c r="G3" s="2829"/>
      <c r="M3" s="238"/>
      <c r="N3" s="1240" t="s">
        <v>4200</v>
      </c>
      <c r="O3" s="238"/>
      <c r="T3" s="238"/>
      <c r="U3" s="2829" t="s">
        <v>15214</v>
      </c>
      <c r="V3" s="2829"/>
      <c r="W3" s="2829"/>
      <c r="X3" s="2829"/>
      <c r="Y3" s="2829"/>
      <c r="Z3" s="2829"/>
    </row>
    <row r="4" spans="2:26" ht="22.8">
      <c r="B4" s="1457"/>
      <c r="M4" s="238"/>
      <c r="O4" s="238"/>
      <c r="P4" s="2917" t="s">
        <v>4201</v>
      </c>
      <c r="Q4" s="2917"/>
      <c r="R4" s="2917"/>
      <c r="S4" s="2917"/>
      <c r="T4" s="238"/>
      <c r="U4" s="1457"/>
    </row>
    <row r="5" spans="2:26" ht="19.350000000000001" customHeight="1">
      <c r="B5" s="2829" t="s">
        <v>15215</v>
      </c>
      <c r="C5" s="2829"/>
      <c r="D5" s="2829"/>
      <c r="E5" s="2829"/>
      <c r="F5" s="2829"/>
      <c r="G5" s="2829"/>
      <c r="M5" s="238"/>
      <c r="O5" s="238"/>
      <c r="P5" s="219" t="s">
        <v>4210</v>
      </c>
      <c r="T5" s="238"/>
      <c r="U5" s="2829" t="s">
        <v>15215</v>
      </c>
      <c r="V5" s="2829"/>
      <c r="W5" s="2829"/>
      <c r="X5" s="2829"/>
      <c r="Y5" s="2829"/>
      <c r="Z5" s="2829"/>
    </row>
    <row r="6" spans="2:26" ht="19.2" thickBot="1">
      <c r="B6" s="1458"/>
      <c r="C6" s="1458"/>
      <c r="D6" s="1458"/>
      <c r="E6" s="1458"/>
      <c r="F6" s="1458"/>
      <c r="G6" s="1458"/>
      <c r="H6" s="1458"/>
      <c r="I6" s="1458"/>
      <c r="J6" s="1458"/>
      <c r="K6" s="1438"/>
      <c r="L6" s="1438"/>
      <c r="M6" s="238"/>
      <c r="O6" s="238"/>
      <c r="T6" s="238"/>
      <c r="U6" s="1458"/>
      <c r="V6" s="1458"/>
      <c r="W6" s="1458"/>
      <c r="X6" s="1458"/>
      <c r="Y6" s="1458"/>
      <c r="Z6" s="1458"/>
    </row>
    <row r="7" spans="2:26" ht="15.6" thickTop="1">
      <c r="B7" s="2956"/>
      <c r="C7" s="2958" t="s">
        <v>15108</v>
      </c>
      <c r="D7" s="2958" t="s">
        <v>630</v>
      </c>
      <c r="E7" s="2958" t="s">
        <v>15180</v>
      </c>
      <c r="F7" s="2958" t="s">
        <v>15216</v>
      </c>
      <c r="G7" s="2960"/>
      <c r="H7" s="206"/>
      <c r="I7" s="2954" t="s">
        <v>4208</v>
      </c>
      <c r="J7" s="114"/>
      <c r="K7" s="2954" t="s">
        <v>15217</v>
      </c>
      <c r="M7" s="238"/>
      <c r="O7" s="238"/>
      <c r="T7" s="238"/>
      <c r="U7" s="2956"/>
      <c r="V7" s="2958" t="s">
        <v>15108</v>
      </c>
      <c r="W7" s="2958" t="s">
        <v>630</v>
      </c>
      <c r="X7" s="2958" t="s">
        <v>15180</v>
      </c>
      <c r="Y7" s="2958" t="s">
        <v>15216</v>
      </c>
      <c r="Z7" s="2960"/>
    </row>
    <row r="8" spans="2:26" ht="45.6" thickBot="1">
      <c r="B8" s="2957"/>
      <c r="C8" s="2959"/>
      <c r="D8" s="2959"/>
      <c r="E8" s="2959"/>
      <c r="F8" s="207" t="s">
        <v>15218</v>
      </c>
      <c r="G8" s="208" t="s">
        <v>15219</v>
      </c>
      <c r="H8" s="206"/>
      <c r="I8" s="2955"/>
      <c r="J8" s="114"/>
      <c r="K8" s="2955"/>
      <c r="M8" s="238"/>
      <c r="N8" s="1232"/>
      <c r="O8" s="238"/>
      <c r="T8" s="238"/>
      <c r="U8" s="2957"/>
      <c r="V8" s="2959"/>
      <c r="W8" s="2959"/>
      <c r="X8" s="2959"/>
      <c r="Y8" s="207" t="s">
        <v>15218</v>
      </c>
      <c r="Z8" s="208" t="s">
        <v>15219</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2" thickTop="1">
      <c r="B10" s="164" t="s">
        <v>15220</v>
      </c>
      <c r="C10" s="2124"/>
      <c r="D10" s="2124"/>
      <c r="E10" s="2124"/>
      <c r="F10" s="2124"/>
      <c r="G10" s="2125"/>
      <c r="H10" s="206"/>
      <c r="I10" s="43" t="s">
        <v>15221</v>
      </c>
      <c r="J10" s="206"/>
      <c r="K10" s="43" t="s">
        <v>15222</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15220</v>
      </c>
      <c r="V10" s="165" t="s">
        <v>15223</v>
      </c>
      <c r="W10" s="167" t="s">
        <v>15224</v>
      </c>
      <c r="X10" s="167" t="s">
        <v>15224</v>
      </c>
      <c r="Y10" s="167" t="s">
        <v>15224</v>
      </c>
      <c r="Z10" s="168" t="s">
        <v>15224</v>
      </c>
    </row>
    <row r="11" spans="2:26" ht="15.75" customHeight="1">
      <c r="B11" s="183" t="s">
        <v>15220</v>
      </c>
      <c r="C11" s="2126"/>
      <c r="D11" s="2126"/>
      <c r="E11" s="2126"/>
      <c r="F11" s="2126"/>
      <c r="G11" s="2127"/>
      <c r="H11" s="206"/>
      <c r="I11" s="52" t="s">
        <v>15225</v>
      </c>
      <c r="J11" s="206"/>
      <c r="K11" s="52" t="s">
        <v>15222</v>
      </c>
      <c r="M11" s="238"/>
      <c r="N11" s="1232" t="str">
        <f t="shared" ref="N11:N17" si="2" xml:space="preserve"> IF( SUM( P11:S11 ) = 0, 0,$P$5 )</f>
        <v>Please complete all cells in row</v>
      </c>
      <c r="O11" s="238"/>
      <c r="P11" s="1455"/>
      <c r="Q11" s="1455"/>
      <c r="R11" s="1455">
        <f t="shared" si="0"/>
        <v>1</v>
      </c>
      <c r="S11" s="1455">
        <f t="shared" si="1"/>
        <v>1</v>
      </c>
      <c r="T11" s="238"/>
      <c r="U11" s="183" t="s">
        <v>15220</v>
      </c>
      <c r="V11" s="184" t="s">
        <v>15223</v>
      </c>
      <c r="W11" s="187" t="s">
        <v>15224</v>
      </c>
      <c r="X11" s="187" t="s">
        <v>15224</v>
      </c>
      <c r="Y11" s="187" t="s">
        <v>15224</v>
      </c>
      <c r="Z11" s="209" t="s">
        <v>15224</v>
      </c>
    </row>
    <row r="12" spans="2:26" ht="15.75" customHeight="1">
      <c r="B12" s="183" t="s">
        <v>15220</v>
      </c>
      <c r="C12" s="2126"/>
      <c r="D12" s="2126"/>
      <c r="E12" s="2126"/>
      <c r="F12" s="2126"/>
      <c r="G12" s="2127"/>
      <c r="H12" s="206"/>
      <c r="I12" s="52" t="s">
        <v>15226</v>
      </c>
      <c r="J12" s="206"/>
      <c r="K12" s="52" t="s">
        <v>15222</v>
      </c>
      <c r="M12" s="238"/>
      <c r="N12" s="1232" t="str">
        <f t="shared" si="2"/>
        <v>Please complete all cells in row</v>
      </c>
      <c r="O12" s="238"/>
      <c r="P12" s="1455"/>
      <c r="Q12" s="1455"/>
      <c r="R12" s="1455">
        <f t="shared" si="0"/>
        <v>1</v>
      </c>
      <c r="S12" s="1455">
        <f t="shared" si="1"/>
        <v>1</v>
      </c>
      <c r="T12" s="238"/>
      <c r="U12" s="183" t="s">
        <v>15220</v>
      </c>
      <c r="V12" s="184" t="s">
        <v>15223</v>
      </c>
      <c r="W12" s="187" t="s">
        <v>15224</v>
      </c>
      <c r="X12" s="187" t="s">
        <v>15224</v>
      </c>
      <c r="Y12" s="187" t="s">
        <v>15224</v>
      </c>
      <c r="Z12" s="209" t="s">
        <v>15224</v>
      </c>
    </row>
    <row r="13" spans="2:26" ht="15.75" customHeight="1">
      <c r="B13" s="183" t="s">
        <v>15220</v>
      </c>
      <c r="C13" s="2126"/>
      <c r="D13" s="2126"/>
      <c r="E13" s="2126"/>
      <c r="F13" s="2126"/>
      <c r="G13" s="2127"/>
      <c r="H13" s="206"/>
      <c r="I13" s="52" t="s">
        <v>15227</v>
      </c>
      <c r="J13" s="206"/>
      <c r="K13" s="52" t="s">
        <v>15222</v>
      </c>
      <c r="M13" s="238"/>
      <c r="N13" s="1232" t="str">
        <f t="shared" si="2"/>
        <v>Please complete all cells in row</v>
      </c>
      <c r="O13" s="238"/>
      <c r="P13" s="1455"/>
      <c r="Q13" s="1455"/>
      <c r="R13" s="1455">
        <f t="shared" si="0"/>
        <v>1</v>
      </c>
      <c r="S13" s="1455">
        <f t="shared" si="1"/>
        <v>1</v>
      </c>
      <c r="T13" s="238"/>
      <c r="U13" s="183" t="s">
        <v>15220</v>
      </c>
      <c r="V13" s="184" t="s">
        <v>15223</v>
      </c>
      <c r="W13" s="187" t="s">
        <v>15224</v>
      </c>
      <c r="X13" s="187" t="s">
        <v>15224</v>
      </c>
      <c r="Y13" s="187" t="s">
        <v>15224</v>
      </c>
      <c r="Z13" s="209" t="s">
        <v>15224</v>
      </c>
    </row>
    <row r="14" spans="2:26" ht="15.75" customHeight="1">
      <c r="B14" s="183" t="s">
        <v>15220</v>
      </c>
      <c r="C14" s="2126"/>
      <c r="D14" s="2126"/>
      <c r="E14" s="2126"/>
      <c r="F14" s="2126"/>
      <c r="G14" s="2127"/>
      <c r="H14" s="206"/>
      <c r="I14" s="52" t="s">
        <v>15228</v>
      </c>
      <c r="J14" s="206"/>
      <c r="K14" s="52" t="s">
        <v>15222</v>
      </c>
      <c r="M14" s="238"/>
      <c r="N14" s="1232" t="str">
        <f t="shared" si="2"/>
        <v>Please complete all cells in row</v>
      </c>
      <c r="O14" s="238"/>
      <c r="P14" s="1455"/>
      <c r="Q14" s="1455"/>
      <c r="R14" s="1455">
        <f t="shared" si="0"/>
        <v>1</v>
      </c>
      <c r="S14" s="1455">
        <f t="shared" si="1"/>
        <v>1</v>
      </c>
      <c r="T14" s="238"/>
      <c r="U14" s="183" t="s">
        <v>15220</v>
      </c>
      <c r="V14" s="184" t="s">
        <v>15223</v>
      </c>
      <c r="W14" s="187" t="s">
        <v>15224</v>
      </c>
      <c r="X14" s="187" t="s">
        <v>15224</v>
      </c>
      <c r="Y14" s="187" t="s">
        <v>15224</v>
      </c>
      <c r="Z14" s="209" t="s">
        <v>15224</v>
      </c>
    </row>
    <row r="15" spans="2:26" ht="15.75" customHeight="1">
      <c r="B15" s="183" t="s">
        <v>15220</v>
      </c>
      <c r="C15" s="2126"/>
      <c r="D15" s="2126"/>
      <c r="E15" s="2126"/>
      <c r="F15" s="2126"/>
      <c r="G15" s="2127"/>
      <c r="H15" s="206"/>
      <c r="I15" s="52" t="s">
        <v>15229</v>
      </c>
      <c r="J15" s="206"/>
      <c r="K15" s="52" t="s">
        <v>15222</v>
      </c>
      <c r="M15" s="238"/>
      <c r="N15" s="1232" t="str">
        <f t="shared" si="2"/>
        <v>Please complete all cells in row</v>
      </c>
      <c r="O15" s="238"/>
      <c r="P15" s="1455"/>
      <c r="Q15" s="1455"/>
      <c r="R15" s="1455">
        <f t="shared" si="0"/>
        <v>1</v>
      </c>
      <c r="S15" s="1455">
        <f t="shared" si="1"/>
        <v>1</v>
      </c>
      <c r="T15" s="238"/>
      <c r="U15" s="183" t="s">
        <v>15220</v>
      </c>
      <c r="V15" s="184" t="s">
        <v>15223</v>
      </c>
      <c r="W15" s="187" t="s">
        <v>15224</v>
      </c>
      <c r="X15" s="187" t="s">
        <v>15224</v>
      </c>
      <c r="Y15" s="187" t="s">
        <v>15224</v>
      </c>
      <c r="Z15" s="209" t="s">
        <v>15224</v>
      </c>
    </row>
    <row r="16" spans="2:26" ht="15.75" customHeight="1">
      <c r="B16" s="183" t="s">
        <v>15220</v>
      </c>
      <c r="C16" s="2126"/>
      <c r="D16" s="2126"/>
      <c r="E16" s="2126"/>
      <c r="F16" s="2126"/>
      <c r="G16" s="2127"/>
      <c r="H16" s="206"/>
      <c r="I16" s="52" t="s">
        <v>15230</v>
      </c>
      <c r="J16" s="206"/>
      <c r="K16" s="52" t="s">
        <v>15222</v>
      </c>
      <c r="M16" s="238"/>
      <c r="N16" s="1232" t="str">
        <f t="shared" si="2"/>
        <v>Please complete all cells in row</v>
      </c>
      <c r="O16" s="238"/>
      <c r="P16" s="1455"/>
      <c r="Q16" s="1455"/>
      <c r="R16" s="1455">
        <f t="shared" si="0"/>
        <v>1</v>
      </c>
      <c r="S16" s="1455">
        <f t="shared" si="1"/>
        <v>1</v>
      </c>
      <c r="T16" s="238"/>
      <c r="U16" s="183" t="s">
        <v>15220</v>
      </c>
      <c r="V16" s="184" t="s">
        <v>15223</v>
      </c>
      <c r="W16" s="187" t="s">
        <v>15224</v>
      </c>
      <c r="X16" s="187" t="s">
        <v>15224</v>
      </c>
      <c r="Y16" s="187" t="s">
        <v>15224</v>
      </c>
      <c r="Z16" s="209" t="s">
        <v>15224</v>
      </c>
    </row>
    <row r="17" spans="2:26" ht="15.75" customHeight="1" thickBot="1">
      <c r="B17" s="169" t="s">
        <v>15220</v>
      </c>
      <c r="C17" s="2128"/>
      <c r="D17" s="2128"/>
      <c r="E17" s="2128"/>
      <c r="F17" s="2128"/>
      <c r="G17" s="2129"/>
      <c r="H17" s="206"/>
      <c r="I17" s="54" t="s">
        <v>15231</v>
      </c>
      <c r="J17" s="206"/>
      <c r="K17" s="54" t="s">
        <v>15222</v>
      </c>
      <c r="M17" s="238"/>
      <c r="N17" s="1232" t="str">
        <f t="shared" si="2"/>
        <v>Please complete all cells in row</v>
      </c>
      <c r="O17" s="238"/>
      <c r="P17" s="1455"/>
      <c r="Q17" s="1455"/>
      <c r="R17" s="1455">
        <f t="shared" si="0"/>
        <v>1</v>
      </c>
      <c r="S17" s="1455">
        <f t="shared" si="1"/>
        <v>1</v>
      </c>
      <c r="T17" s="238"/>
      <c r="U17" s="169" t="s">
        <v>15220</v>
      </c>
      <c r="V17" s="170" t="s">
        <v>15223</v>
      </c>
      <c r="W17" s="172" t="s">
        <v>15224</v>
      </c>
      <c r="X17" s="172" t="s">
        <v>15224</v>
      </c>
      <c r="Y17" s="172" t="s">
        <v>15224</v>
      </c>
      <c r="Z17" s="173" t="s">
        <v>15224</v>
      </c>
    </row>
    <row r="18" spans="2:26" ht="14.4"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E94" zoomScaleNormal="100" zoomScaleSheetLayoutView="70" workbookViewId="0"/>
  </sheetViews>
  <sheetFormatPr defaultColWidth="9" defaultRowHeight="13.8"/>
  <cols>
    <col min="1" max="1" width="9" style="219"/>
    <col min="2" max="2" width="25.69921875" style="219" customWidth="1"/>
    <col min="3" max="3" width="20.5" style="219" customWidth="1"/>
    <col min="4" max="4" width="13.69921875" style="219" customWidth="1"/>
    <col min="5" max="6" width="9" style="219"/>
    <col min="7" max="7" width="11.09765625" style="219" bestFit="1" customWidth="1"/>
    <col min="8" max="8" width="2.09765625" style="219" customWidth="1"/>
    <col min="9" max="9" width="9" style="219"/>
    <col min="10" max="10" width="10.59765625" style="219" bestFit="1" customWidth="1"/>
    <col min="11" max="11" width="2.09765625" style="219" customWidth="1"/>
    <col min="12" max="13" width="9" style="219"/>
    <col min="14" max="14" width="2.09765625" style="219" customWidth="1"/>
    <col min="15" max="16" width="9" style="219"/>
    <col min="17" max="17" width="2.09765625" style="219" customWidth="1"/>
    <col min="18" max="19" width="9" style="219"/>
    <col min="20" max="20" width="2.09765625" style="219" customWidth="1"/>
    <col min="21" max="22" width="9" style="219"/>
    <col min="23" max="23" width="2.19921875" style="219" customWidth="1"/>
    <col min="24" max="24" width="9" style="219"/>
    <col min="25" max="25" width="1.5" style="219" customWidth="1"/>
    <col min="26" max="26" width="1.59765625" style="219" customWidth="1"/>
    <col min="27" max="27" width="20.59765625" style="219" customWidth="1"/>
    <col min="28" max="28" width="1.59765625" style="219" customWidth="1"/>
    <col min="29" max="16384" width="9" style="219"/>
  </cols>
  <sheetData>
    <row r="1" spans="2:28" ht="32.25" customHeight="1">
      <c r="B1" s="2901" t="s">
        <v>15232</v>
      </c>
      <c r="C1" s="2901"/>
      <c r="D1" s="2901"/>
      <c r="E1" s="2901"/>
      <c r="F1" s="2901"/>
      <c r="G1" s="2901"/>
      <c r="H1" s="2901"/>
      <c r="I1" s="2901"/>
      <c r="J1" s="2901"/>
      <c r="K1" s="2901"/>
      <c r="L1" s="1463"/>
      <c r="M1" s="1463"/>
      <c r="N1" s="1463"/>
      <c r="O1" s="1463"/>
      <c r="P1" s="1463"/>
      <c r="Q1" s="1463"/>
      <c r="R1" s="1463"/>
      <c r="S1" s="1463"/>
      <c r="T1" s="1463"/>
      <c r="U1" s="1463"/>
      <c r="V1" s="1463"/>
      <c r="W1" s="1463"/>
      <c r="Z1" s="238"/>
      <c r="AB1" s="238"/>
    </row>
    <row r="2" spans="2:28" ht="32.25" customHeight="1">
      <c r="B2" s="1229" t="str">
        <f>SelectCompany!B4</f>
        <v>Dŵr Cymru</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29" t="s">
        <v>15233</v>
      </c>
      <c r="C4" s="2829"/>
      <c r="D4" s="2829"/>
      <c r="E4" s="2829"/>
      <c r="F4" s="2829"/>
      <c r="G4" s="2829"/>
      <c r="H4" s="2829"/>
      <c r="I4" s="2829"/>
      <c r="J4" s="2829"/>
      <c r="K4" s="2829"/>
      <c r="L4" s="2829"/>
      <c r="M4" s="2829"/>
      <c r="N4" s="2829"/>
      <c r="O4" s="2829"/>
      <c r="P4" s="2829"/>
      <c r="Q4" s="2829"/>
      <c r="R4" s="2829"/>
      <c r="S4" s="2829"/>
      <c r="T4" s="2829"/>
      <c r="U4" s="2829"/>
      <c r="V4" s="2829"/>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15234</v>
      </c>
      <c r="C8" s="1468" t="s">
        <v>15235</v>
      </c>
      <c r="G8" s="1458"/>
      <c r="H8" s="1458"/>
      <c r="I8" s="1458"/>
      <c r="J8" s="1458"/>
      <c r="K8" s="1458"/>
      <c r="L8" s="1465"/>
      <c r="M8" s="1465"/>
      <c r="N8" s="1465"/>
      <c r="O8" s="1465"/>
      <c r="P8" s="1465"/>
      <c r="Q8" s="1465"/>
      <c r="R8" s="1465"/>
      <c r="S8" s="1465"/>
      <c r="T8" s="1465"/>
      <c r="U8" s="1465"/>
      <c r="V8" s="1465"/>
      <c r="W8" s="1466"/>
      <c r="X8" s="1438"/>
      <c r="Y8" s="1438"/>
      <c r="Z8" s="238"/>
      <c r="AB8" s="238"/>
    </row>
    <row r="9" spans="2:28" ht="27" thickBot="1">
      <c r="B9" s="1469" t="s">
        <v>15236</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65" t="s">
        <v>632</v>
      </c>
      <c r="J11" s="2966"/>
      <c r="K11" s="1458"/>
      <c r="L11" s="2967" t="s">
        <v>13301</v>
      </c>
      <c r="M11" s="2968"/>
      <c r="N11" s="1465"/>
      <c r="O11" s="2967" t="s">
        <v>13302</v>
      </c>
      <c r="P11" s="2968"/>
      <c r="Q11" s="1465"/>
      <c r="R11" s="2967" t="s">
        <v>13303</v>
      </c>
      <c r="S11" s="2968"/>
      <c r="T11" s="1465"/>
      <c r="U11" s="2967" t="s">
        <v>15237</v>
      </c>
      <c r="V11" s="2968"/>
      <c r="W11" s="1463"/>
      <c r="Z11" s="238"/>
      <c r="AA11" s="1232">
        <f xml:space="preserve"> IF( SUM( AC11:AE11 ) = 0, 0,#REF! )</f>
        <v>0</v>
      </c>
      <c r="AB11" s="238"/>
    </row>
    <row r="12" spans="2:28" ht="52.5" customHeight="1" thickTop="1" thickBot="1">
      <c r="C12" s="1472" t="s">
        <v>2</v>
      </c>
      <c r="D12" s="1473" t="s">
        <v>15238</v>
      </c>
      <c r="E12" s="1473" t="s">
        <v>630</v>
      </c>
      <c r="F12" s="1473" t="s">
        <v>15180</v>
      </c>
      <c r="G12" s="1474" t="s">
        <v>15239</v>
      </c>
      <c r="H12" s="1458"/>
      <c r="I12" s="1475" t="s">
        <v>15240</v>
      </c>
      <c r="J12" s="1476" t="s">
        <v>15241</v>
      </c>
      <c r="K12" s="1458"/>
      <c r="L12" s="1477" t="s">
        <v>15240</v>
      </c>
      <c r="M12" s="1478" t="s">
        <v>15241</v>
      </c>
      <c r="N12" s="1465"/>
      <c r="O12" s="1477" t="s">
        <v>15240</v>
      </c>
      <c r="P12" s="1478" t="s">
        <v>15241</v>
      </c>
      <c r="Q12" s="1465"/>
      <c r="R12" s="1477" t="s">
        <v>15240</v>
      </c>
      <c r="S12" s="1478" t="s">
        <v>15241</v>
      </c>
      <c r="T12" s="1465"/>
      <c r="U12" s="1477" t="s">
        <v>15240</v>
      </c>
      <c r="V12" s="1478" t="s">
        <v>15241</v>
      </c>
      <c r="W12" s="1463"/>
      <c r="X12" s="1479" t="s">
        <v>4208</v>
      </c>
      <c r="Z12" s="238"/>
      <c r="AA12" s="1232">
        <f>IF( SUM( AC12:AC12 ) = 0, 0, $S$6 )</f>
        <v>0</v>
      </c>
      <c r="AB12" s="238"/>
    </row>
    <row r="13" spans="2:28" ht="27" thickTop="1">
      <c r="B13" s="1480" t="s">
        <v>15242</v>
      </c>
      <c r="C13" s="1481" t="s">
        <v>15243</v>
      </c>
      <c r="D13" s="1482">
        <f>150+5.874</f>
        <v>155.874</v>
      </c>
      <c r="E13" s="1481" t="s">
        <v>15244</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15245</v>
      </c>
      <c r="Z13" s="238"/>
      <c r="AA13" s="1232">
        <f>IF( SUM( AC13:AC13 ) = 0, 0, $S$6 )</f>
        <v>0</v>
      </c>
      <c r="AB13" s="238"/>
    </row>
    <row r="14" spans="2:28" ht="26.4">
      <c r="B14" s="1488" t="s">
        <v>15246</v>
      </c>
      <c r="C14" s="1489" t="s">
        <v>15247</v>
      </c>
      <c r="D14" s="1490">
        <f>3188*220/1000000</f>
        <v>0.70135999999999998</v>
      </c>
      <c r="E14" s="1489" t="s">
        <v>15244</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15248</v>
      </c>
      <c r="Z14" s="238"/>
      <c r="AA14" s="1232">
        <f>IF( SUM( AC14:AC14 ) = 0, 0, $S$6 )</f>
        <v>0</v>
      </c>
      <c r="AB14" s="238"/>
    </row>
    <row r="15" spans="2:28" ht="26.4">
      <c r="B15" s="1488" t="s">
        <v>15249</v>
      </c>
      <c r="C15" s="1489" t="s">
        <v>15250</v>
      </c>
      <c r="D15" s="1490">
        <f>2978*120/1000000</f>
        <v>0.35736000000000001</v>
      </c>
      <c r="E15" s="1489" t="s">
        <v>15244</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15251</v>
      </c>
      <c r="Z15" s="238"/>
      <c r="AA15" s="1232">
        <f xml:space="preserve"> IF( SUM( AC15:AE15 ) = 0, 0,#REF! )</f>
        <v>0</v>
      </c>
      <c r="AB15" s="238"/>
    </row>
    <row r="16" spans="2:28" ht="26.4">
      <c r="B16" s="1488" t="s">
        <v>15252</v>
      </c>
      <c r="C16" s="1489" t="s">
        <v>15253</v>
      </c>
      <c r="D16" s="1490">
        <f>8590*92/1000000</f>
        <v>0.79027999999999998</v>
      </c>
      <c r="E16" s="1489" t="s">
        <v>15244</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15254</v>
      </c>
      <c r="Z16" s="238"/>
      <c r="AA16" s="1232">
        <f xml:space="preserve"> IF( SUM( AC16:AE16 ) = 0, 0,#REF! )</f>
        <v>0</v>
      </c>
      <c r="AB16" s="238"/>
    </row>
    <row r="17" spans="2:28" ht="26.4">
      <c r="B17" s="1488" t="s">
        <v>15255</v>
      </c>
      <c r="C17" s="1489" t="s">
        <v>15256</v>
      </c>
      <c r="D17" s="1490">
        <f>91590*30/1000000</f>
        <v>2.7477</v>
      </c>
      <c r="E17" s="1489" t="s">
        <v>15244</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15257</v>
      </c>
      <c r="Z17" s="238"/>
      <c r="AA17" s="1232"/>
      <c r="AB17" s="238"/>
    </row>
    <row r="18" spans="2:28" ht="26.4">
      <c r="B18" s="1488" t="s">
        <v>15258</v>
      </c>
      <c r="C18" s="1489" t="s">
        <v>15259</v>
      </c>
      <c r="D18" s="1490">
        <f>0.05*100</f>
        <v>5</v>
      </c>
      <c r="E18" s="1489" t="s">
        <v>15244</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15260</v>
      </c>
      <c r="Z18" s="238"/>
      <c r="AA18" s="1232"/>
      <c r="AB18" s="238"/>
    </row>
    <row r="19" spans="2:28" ht="26.4">
      <c r="B19" s="1488" t="s">
        <v>15261</v>
      </c>
      <c r="C19" s="1489" t="s">
        <v>15262</v>
      </c>
      <c r="D19" s="1490">
        <f>0.02*25</f>
        <v>0.5</v>
      </c>
      <c r="E19" s="1489" t="s">
        <v>15244</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15263</v>
      </c>
      <c r="Z19" s="238"/>
      <c r="AA19" s="1232"/>
      <c r="AB19" s="238"/>
    </row>
    <row r="20" spans="2:28" ht="18.600000000000001">
      <c r="B20" s="1488" t="s">
        <v>15264</v>
      </c>
      <c r="C20" s="1489" t="s">
        <v>15265</v>
      </c>
      <c r="D20" s="1490">
        <f>1.25*2</f>
        <v>2.5</v>
      </c>
      <c r="E20" s="1489" t="s">
        <v>15244</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15266</v>
      </c>
      <c r="Z20" s="238"/>
      <c r="AA20" s="1232"/>
      <c r="AB20" s="238"/>
    </row>
    <row r="21" spans="2:28" ht="19.2" thickBot="1">
      <c r="B21" s="1469" t="s">
        <v>15267</v>
      </c>
      <c r="C21" s="1496" t="s">
        <v>15268</v>
      </c>
      <c r="D21" s="1497">
        <v>0.4</v>
      </c>
      <c r="E21" s="1496" t="s">
        <v>15244</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15269</v>
      </c>
      <c r="Z21" s="238"/>
      <c r="AA21" s="1371"/>
      <c r="AB21" s="238"/>
    </row>
    <row r="22" spans="2:28" ht="19.2"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2" thickTop="1">
      <c r="B24" s="1502" t="s">
        <v>15270</v>
      </c>
      <c r="C24" s="1503" t="s">
        <v>15235</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7" thickBot="1">
      <c r="B25" s="1504" t="s">
        <v>15271</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19.8" thickTop="1" thickBot="1">
      <c r="B26" s="1471"/>
      <c r="D26" s="1471"/>
      <c r="E26" s="1471"/>
      <c r="F26" s="1471"/>
      <c r="G26" s="1458"/>
      <c r="H26" s="1458"/>
      <c r="I26" s="2961" t="s">
        <v>632</v>
      </c>
      <c r="J26" s="2962"/>
      <c r="K26" s="1458"/>
      <c r="L26" s="2963" t="s">
        <v>13301</v>
      </c>
      <c r="M26" s="2964"/>
      <c r="N26" s="1465"/>
      <c r="O26" s="2963" t="s">
        <v>13302</v>
      </c>
      <c r="P26" s="2964"/>
      <c r="Q26" s="1465"/>
      <c r="R26" s="2963" t="s">
        <v>13303</v>
      </c>
      <c r="S26" s="2964"/>
      <c r="T26" s="1465"/>
      <c r="U26" s="2963" t="s">
        <v>15237</v>
      </c>
      <c r="V26" s="2964"/>
      <c r="W26" s="1463"/>
      <c r="Y26" s="1458"/>
      <c r="Z26" s="238"/>
      <c r="AA26" s="1232">
        <f t="shared" si="4"/>
        <v>0</v>
      </c>
      <c r="AB26" s="238"/>
    </row>
    <row r="27" spans="2:28" ht="40.799999999999997" thickTop="1" thickBot="1">
      <c r="C27" s="1454" t="s">
        <v>2</v>
      </c>
      <c r="D27" s="1441" t="s">
        <v>15238</v>
      </c>
      <c r="E27" s="1441" t="s">
        <v>630</v>
      </c>
      <c r="F27" s="1441" t="s">
        <v>15180</v>
      </c>
      <c r="G27" s="1442" t="s">
        <v>15239</v>
      </c>
      <c r="H27" s="1458"/>
      <c r="I27" s="1505" t="s">
        <v>15240</v>
      </c>
      <c r="J27" s="1459" t="s">
        <v>15241</v>
      </c>
      <c r="K27" s="1458"/>
      <c r="L27" s="1506" t="s">
        <v>15240</v>
      </c>
      <c r="M27" s="1507" t="s">
        <v>15241</v>
      </c>
      <c r="N27" s="1465"/>
      <c r="O27" s="1506" t="s">
        <v>15240</v>
      </c>
      <c r="P27" s="1507" t="s">
        <v>15241</v>
      </c>
      <c r="Q27" s="1465"/>
      <c r="R27" s="1506" t="s">
        <v>15240</v>
      </c>
      <c r="S27" s="1507" t="s">
        <v>15241</v>
      </c>
      <c r="T27" s="1465"/>
      <c r="U27" s="1506" t="s">
        <v>15240</v>
      </c>
      <c r="V27" s="1507" t="s">
        <v>15241</v>
      </c>
      <c r="W27" s="1463"/>
      <c r="X27" s="1508" t="s">
        <v>4208</v>
      </c>
      <c r="Z27" s="238"/>
      <c r="AA27" s="1232">
        <f t="shared" si="4"/>
        <v>0</v>
      </c>
      <c r="AB27" s="238"/>
    </row>
    <row r="28" spans="2:28" ht="40.799999999999997" thickTop="1" thickBot="1">
      <c r="B28" s="1509" t="s">
        <v>15242</v>
      </c>
      <c r="C28" s="1444" t="s">
        <v>15272</v>
      </c>
      <c r="D28" s="1444">
        <v>75.674999999999997</v>
      </c>
      <c r="E28" s="1444" t="s">
        <v>15273</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15274</v>
      </c>
      <c r="Z28" s="238"/>
      <c r="AA28" s="1232">
        <f t="shared" si="4"/>
        <v>0</v>
      </c>
      <c r="AB28" s="238"/>
    </row>
    <row r="29" spans="2:28" ht="14.4"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4" thickBot="1">
      <c r="L32" s="1463"/>
      <c r="M32" s="1463"/>
      <c r="N32" s="1463"/>
      <c r="O32" s="1463"/>
      <c r="P32" s="1463"/>
      <c r="Q32" s="1463"/>
      <c r="R32" s="1463"/>
      <c r="S32" s="1463"/>
      <c r="T32" s="1463"/>
      <c r="U32" s="1463"/>
      <c r="V32" s="1463"/>
      <c r="W32" s="1463"/>
      <c r="Z32" s="238"/>
      <c r="AA32" s="1232">
        <f t="shared" si="4"/>
        <v>0</v>
      </c>
      <c r="AB32" s="238"/>
    </row>
    <row r="33" spans="2:28" ht="19.2" thickTop="1">
      <c r="B33" s="1502" t="s">
        <v>15275</v>
      </c>
      <c r="C33" s="1503" t="s">
        <v>15235</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2" thickBot="1">
      <c r="B34" s="1504" t="s">
        <v>15276</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19.8" thickTop="1" thickBot="1">
      <c r="B35" s="1471"/>
      <c r="D35" s="1471"/>
      <c r="E35" s="1471"/>
      <c r="F35" s="1471"/>
      <c r="G35" s="1458"/>
      <c r="H35" s="1458"/>
      <c r="I35" s="2961" t="s">
        <v>632</v>
      </c>
      <c r="J35" s="2962"/>
      <c r="K35" s="1458"/>
      <c r="L35" s="2963" t="s">
        <v>13301</v>
      </c>
      <c r="M35" s="2964"/>
      <c r="N35" s="1465"/>
      <c r="O35" s="2963" t="s">
        <v>13302</v>
      </c>
      <c r="P35" s="2964"/>
      <c r="Q35" s="1465"/>
      <c r="R35" s="2963" t="s">
        <v>13303</v>
      </c>
      <c r="S35" s="2964"/>
      <c r="T35" s="1465"/>
      <c r="U35" s="2963" t="s">
        <v>15237</v>
      </c>
      <c r="V35" s="2964"/>
      <c r="W35" s="1463"/>
      <c r="Z35" s="238"/>
      <c r="AA35" s="1232">
        <f t="shared" si="4"/>
        <v>0</v>
      </c>
      <c r="AB35" s="238"/>
    </row>
    <row r="36" spans="2:28" ht="40.799999999999997" thickTop="1" thickBot="1">
      <c r="C36" s="1454" t="s">
        <v>2</v>
      </c>
      <c r="D36" s="1441" t="s">
        <v>15238</v>
      </c>
      <c r="E36" s="1441" t="s">
        <v>630</v>
      </c>
      <c r="F36" s="1441" t="s">
        <v>15180</v>
      </c>
      <c r="G36" s="1442" t="s">
        <v>15239</v>
      </c>
      <c r="H36" s="1458"/>
      <c r="I36" s="1505" t="s">
        <v>15240</v>
      </c>
      <c r="J36" s="1459" t="s">
        <v>15241</v>
      </c>
      <c r="K36" s="1458"/>
      <c r="L36" s="1506" t="s">
        <v>15240</v>
      </c>
      <c r="M36" s="1507" t="s">
        <v>15241</v>
      </c>
      <c r="N36" s="1465"/>
      <c r="O36" s="1506" t="s">
        <v>15240</v>
      </c>
      <c r="P36" s="1507" t="s">
        <v>15241</v>
      </c>
      <c r="Q36" s="1465"/>
      <c r="R36" s="1506" t="s">
        <v>15240</v>
      </c>
      <c r="S36" s="1507" t="s">
        <v>15241</v>
      </c>
      <c r="T36" s="1465"/>
      <c r="U36" s="1506" t="s">
        <v>15240</v>
      </c>
      <c r="V36" s="1507" t="s">
        <v>15241</v>
      </c>
      <c r="W36" s="1463"/>
      <c r="X36" s="1508" t="s">
        <v>4208</v>
      </c>
      <c r="Z36" s="238"/>
      <c r="AA36" s="1232">
        <f t="shared" si="4"/>
        <v>0</v>
      </c>
      <c r="AB36" s="238"/>
    </row>
    <row r="37" spans="2:28" ht="27" thickTop="1">
      <c r="B37" s="1515" t="s">
        <v>15242</v>
      </c>
      <c r="C37" s="1448" t="s">
        <v>15277</v>
      </c>
      <c r="D37" s="1448">
        <v>17.184000000000001</v>
      </c>
      <c r="E37" s="1448" t="s">
        <v>15244</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15278</v>
      </c>
      <c r="Z37" s="238"/>
      <c r="AA37" s="1232">
        <f xml:space="preserve"> IF( SUM( AC37:AC37 ) = 0, 0,#REF! )</f>
        <v>0</v>
      </c>
      <c r="AB37" s="238"/>
    </row>
    <row r="38" spans="2:28" ht="18.75" customHeight="1">
      <c r="B38" s="1522" t="s">
        <v>15246</v>
      </c>
      <c r="C38" s="1456" t="s">
        <v>15279</v>
      </c>
      <c r="D38" s="1456">
        <v>6.9930000000000003</v>
      </c>
      <c r="E38" s="1456" t="s">
        <v>15244</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15280</v>
      </c>
      <c r="Z38" s="238"/>
      <c r="AA38" s="1232">
        <f xml:space="preserve"> IF( SUM( AC38:AC38 ) = 0, 0,#REF! )</f>
        <v>0</v>
      </c>
      <c r="AB38" s="238"/>
    </row>
    <row r="39" spans="2:28" ht="26.4">
      <c r="B39" s="1522" t="s">
        <v>15249</v>
      </c>
      <c r="C39" s="1456" t="s">
        <v>15281</v>
      </c>
      <c r="D39" s="1456">
        <v>4.4710000000000001</v>
      </c>
      <c r="E39" s="1456" t="s">
        <v>15244</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15282</v>
      </c>
      <c r="Z39" s="238"/>
      <c r="AA39" s="1232">
        <f xml:space="preserve"> IF( SUM( AC39:AC39 ) = 0, 0,#REF! )</f>
        <v>0</v>
      </c>
      <c r="AB39" s="238"/>
    </row>
    <row r="40" spans="2:28" ht="18.75" customHeight="1">
      <c r="B40" s="1522" t="s">
        <v>15252</v>
      </c>
      <c r="C40" s="1456" t="s">
        <v>15283</v>
      </c>
      <c r="D40" s="1456">
        <v>0.86899999999999999</v>
      </c>
      <c r="E40" s="1456" t="s">
        <v>15244</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15284</v>
      </c>
      <c r="Z40" s="238"/>
      <c r="AA40" s="1232">
        <f xml:space="preserve"> IF( SUM( AC40:AC40 ) = 0, 0,$S$6 )</f>
        <v>0</v>
      </c>
      <c r="AB40" s="238"/>
    </row>
    <row r="41" spans="2:28" ht="26.4">
      <c r="B41" s="1522" t="s">
        <v>15255</v>
      </c>
      <c r="C41" s="1456" t="s">
        <v>15285</v>
      </c>
      <c r="D41" s="1527">
        <v>1.81</v>
      </c>
      <c r="E41" s="1456" t="s">
        <v>15244</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15286</v>
      </c>
      <c r="Z41" s="238"/>
      <c r="AA41" s="1232">
        <f xml:space="preserve"> IF( SUM( AC41:AC41 ) = 0, 0,#REF! )</f>
        <v>0</v>
      </c>
      <c r="AB41" s="238"/>
    </row>
    <row r="42" spans="2:28" ht="25.5" customHeight="1">
      <c r="B42" s="1522" t="s">
        <v>15258</v>
      </c>
      <c r="C42" s="1456" t="s">
        <v>15287</v>
      </c>
      <c r="D42" s="1456">
        <v>1.1379999999999999</v>
      </c>
      <c r="E42" s="1456" t="s">
        <v>15244</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15288</v>
      </c>
      <c r="Z42" s="238"/>
      <c r="AA42" s="1232">
        <f xml:space="preserve"> IF( SUM( AC42:AC42 ) = 0, 0,#REF! )</f>
        <v>0</v>
      </c>
      <c r="AB42" s="238"/>
    </row>
    <row r="43" spans="2:28" ht="26.4">
      <c r="B43" s="1522" t="s">
        <v>15261</v>
      </c>
      <c r="C43" s="1456" t="s">
        <v>15289</v>
      </c>
      <c r="D43" s="1456">
        <v>31.812999999999999</v>
      </c>
      <c r="E43" s="1456" t="s">
        <v>15244</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15290</v>
      </c>
      <c r="Z43" s="238"/>
      <c r="AA43" s="1232">
        <f xml:space="preserve"> IF( SUM( AC43:AC43 ) = 0, 0,#REF! )</f>
        <v>0</v>
      </c>
      <c r="AB43" s="238"/>
    </row>
    <row r="44" spans="2:28" ht="26.4">
      <c r="B44" s="1522" t="s">
        <v>15264</v>
      </c>
      <c r="C44" s="1456" t="s">
        <v>15291</v>
      </c>
      <c r="D44" s="1527">
        <v>5.26</v>
      </c>
      <c r="E44" s="1456" t="s">
        <v>15244</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15292</v>
      </c>
      <c r="Z44" s="238"/>
      <c r="AA44" s="1232">
        <f xml:space="preserve"> IF( SUM( AC44:AC44 ) = 0, 0,#REF! )</f>
        <v>0</v>
      </c>
      <c r="AB44" s="238"/>
    </row>
    <row r="45" spans="2:28" ht="39.6">
      <c r="B45" s="1522" t="s">
        <v>15267</v>
      </c>
      <c r="C45" s="1456" t="s">
        <v>15293</v>
      </c>
      <c r="D45" s="1456">
        <v>4.3520000000000003</v>
      </c>
      <c r="E45" s="1456" t="s">
        <v>15244</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15294</v>
      </c>
      <c r="Z45" s="238"/>
      <c r="AA45" s="1232">
        <f xml:space="preserve"> IF( SUM( AC45:AC45 ) = 0, 0,#REF! )</f>
        <v>0</v>
      </c>
      <c r="AB45" s="238"/>
    </row>
    <row r="46" spans="2:28" ht="39.6">
      <c r="B46" s="1522" t="s">
        <v>15295</v>
      </c>
      <c r="C46" s="1528" t="s">
        <v>15296</v>
      </c>
      <c r="D46" s="1527">
        <v>1.29</v>
      </c>
      <c r="E46" s="1456" t="s">
        <v>15244</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15297</v>
      </c>
      <c r="Z46" s="238"/>
      <c r="AA46" s="1232">
        <f xml:space="preserve"> IF( SUM( AC46:AC46 ) = 0, 0,#REF! )</f>
        <v>0</v>
      </c>
      <c r="AB46" s="238"/>
    </row>
    <row r="47" spans="2:28" ht="39.6">
      <c r="B47" s="1522" t="s">
        <v>15298</v>
      </c>
      <c r="C47" s="1528" t="s">
        <v>15299</v>
      </c>
      <c r="D47" s="1456">
        <v>1.306</v>
      </c>
      <c r="E47" s="1456" t="s">
        <v>15244</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15300</v>
      </c>
      <c r="Z47" s="238"/>
      <c r="AA47" s="1232">
        <f xml:space="preserve"> IF( SUM( AC47:AC47 ) = 0, 0,#REF! )</f>
        <v>0</v>
      </c>
      <c r="AB47" s="238"/>
    </row>
    <row r="48" spans="2:28" ht="53.4" thickBot="1">
      <c r="B48" s="1504" t="s">
        <v>15301</v>
      </c>
      <c r="C48" s="1449" t="s">
        <v>15302</v>
      </c>
      <c r="D48" s="1529">
        <v>2</v>
      </c>
      <c r="E48" s="1449" t="s">
        <v>15244</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15303</v>
      </c>
      <c r="Z48" s="238"/>
      <c r="AA48" s="1232">
        <f xml:space="preserve"> IF( SUM( AC48:AC48 ) = 0, 0,#REF! )</f>
        <v>0</v>
      </c>
      <c r="AB48" s="238"/>
    </row>
    <row r="49" spans="2:28" ht="19.8"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2" thickTop="1">
      <c r="B50" s="1502" t="s">
        <v>15304</v>
      </c>
      <c r="C50" s="1503" t="s">
        <v>15235</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2" thickBot="1">
      <c r="B51" s="1504" t="s">
        <v>15305</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19.8"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61" t="s">
        <v>632</v>
      </c>
      <c r="J53" s="2962"/>
      <c r="K53" s="1458"/>
      <c r="L53" s="2963" t="s">
        <v>13301</v>
      </c>
      <c r="M53" s="2964"/>
      <c r="N53" s="1465"/>
      <c r="O53" s="2963" t="s">
        <v>13302</v>
      </c>
      <c r="P53" s="2964"/>
      <c r="Q53" s="1465"/>
      <c r="R53" s="2963" t="s">
        <v>13303</v>
      </c>
      <c r="S53" s="2964"/>
      <c r="T53" s="1465"/>
      <c r="U53" s="2963" t="s">
        <v>15237</v>
      </c>
      <c r="V53" s="2964"/>
      <c r="W53" s="1463"/>
      <c r="Z53" s="238"/>
      <c r="AA53" s="1232">
        <f xml:space="preserve"> IF( SUM( AC53:AC53 ) = 0, 0,#REF! )</f>
        <v>0</v>
      </c>
      <c r="AB53" s="238"/>
    </row>
    <row r="54" spans="2:28" ht="40.799999999999997" thickTop="1" thickBot="1">
      <c r="C54" s="1454" t="s">
        <v>2</v>
      </c>
      <c r="D54" s="1441" t="s">
        <v>15238</v>
      </c>
      <c r="E54" s="1441" t="s">
        <v>630</v>
      </c>
      <c r="F54" s="1441" t="s">
        <v>15180</v>
      </c>
      <c r="G54" s="1442" t="s">
        <v>15239</v>
      </c>
      <c r="H54" s="1458"/>
      <c r="I54" s="1505" t="s">
        <v>15240</v>
      </c>
      <c r="J54" s="1459" t="s">
        <v>15241</v>
      </c>
      <c r="K54" s="1458"/>
      <c r="L54" s="1506" t="s">
        <v>15240</v>
      </c>
      <c r="M54" s="1507" t="s">
        <v>15241</v>
      </c>
      <c r="N54" s="1465"/>
      <c r="O54" s="1506" t="s">
        <v>15240</v>
      </c>
      <c r="P54" s="1507" t="s">
        <v>15241</v>
      </c>
      <c r="Q54" s="1465"/>
      <c r="R54" s="1506" t="s">
        <v>15240</v>
      </c>
      <c r="S54" s="1507" t="s">
        <v>15241</v>
      </c>
      <c r="T54" s="1465"/>
      <c r="U54" s="1506" t="s">
        <v>15240</v>
      </c>
      <c r="V54" s="1507" t="s">
        <v>15241</v>
      </c>
      <c r="W54" s="1463"/>
      <c r="X54" s="1508" t="s">
        <v>4208</v>
      </c>
      <c r="Z54" s="238"/>
      <c r="AA54" s="1232">
        <f xml:space="preserve"> IF( SUM( AC54:AC54 ) = 0, 0,#REF! )</f>
        <v>0</v>
      </c>
      <c r="AB54" s="238"/>
    </row>
    <row r="55" spans="2:28" ht="27" thickTop="1">
      <c r="B55" s="1515" t="s">
        <v>15242</v>
      </c>
      <c r="C55" s="1448" t="s">
        <v>15305</v>
      </c>
      <c r="D55" s="1448">
        <f>1598*3000/1000000</f>
        <v>4.7939999999999996</v>
      </c>
      <c r="E55" s="1448" t="s">
        <v>15244</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15306</v>
      </c>
      <c r="Z55" s="238"/>
      <c r="AA55" s="1232">
        <f xml:space="preserve"> IF( SUM( AC55:AC55 ) = 0, 0,#REF! )</f>
        <v>0</v>
      </c>
      <c r="AB55" s="238"/>
    </row>
    <row r="56" spans="2:28" ht="18.600000000000001">
      <c r="B56" s="1522" t="s">
        <v>15246</v>
      </c>
      <c r="C56" s="1456" t="s">
        <v>15307</v>
      </c>
      <c r="D56" s="1527">
        <f>135.046*0.64</f>
        <v>86.42944</v>
      </c>
      <c r="E56" s="1456" t="s">
        <v>4805</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15308</v>
      </c>
      <c r="Z56" s="238"/>
      <c r="AA56" s="1232">
        <f xml:space="preserve"> IF( SUM( AC56:AC56 ) = 0, 0,#REF! )</f>
        <v>0</v>
      </c>
      <c r="AB56" s="238"/>
    </row>
    <row r="57" spans="2:28" ht="19.2" thickBot="1">
      <c r="B57" s="1504" t="s">
        <v>15249</v>
      </c>
      <c r="C57" s="1449" t="s">
        <v>15309</v>
      </c>
      <c r="D57" s="1529">
        <f>135.046*0.36</f>
        <v>48.616559999999993</v>
      </c>
      <c r="E57" s="1449" t="s">
        <v>4805</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15310</v>
      </c>
      <c r="Z57" s="238"/>
      <c r="AA57" s="1232">
        <f xml:space="preserve"> IF( SUM( AC57:AC57 ) = 0, 0,#REF! )</f>
        <v>0</v>
      </c>
      <c r="AB57" s="238"/>
    </row>
    <row r="58" spans="2:28" ht="19.2"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4"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2" thickTop="1">
      <c r="B60" s="1502" t="s">
        <v>15311</v>
      </c>
      <c r="C60" s="1503" t="s">
        <v>15235</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2" thickBot="1">
      <c r="B61" s="1504" t="s">
        <v>15312</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61" t="s">
        <v>632</v>
      </c>
      <c r="J62" s="2962"/>
      <c r="K62" s="1458"/>
      <c r="L62" s="2963" t="s">
        <v>13301</v>
      </c>
      <c r="M62" s="2964"/>
      <c r="N62" s="1465"/>
      <c r="O62" s="2963" t="s">
        <v>13302</v>
      </c>
      <c r="P62" s="2964"/>
      <c r="Q62" s="1465"/>
      <c r="R62" s="2963" t="s">
        <v>13303</v>
      </c>
      <c r="S62" s="2964"/>
      <c r="T62" s="1465"/>
      <c r="U62" s="2963" t="s">
        <v>15237</v>
      </c>
      <c r="V62" s="2964"/>
      <c r="W62" s="1463"/>
      <c r="Z62" s="238"/>
      <c r="AA62" s="1232">
        <f xml:space="preserve"> IF( SUM( AC62:AC62 ) = 0, 0,#REF! )</f>
        <v>0</v>
      </c>
      <c r="AB62" s="238"/>
    </row>
    <row r="63" spans="2:28" ht="40.799999999999997" thickTop="1" thickBot="1">
      <c r="C63" s="1454" t="s">
        <v>2</v>
      </c>
      <c r="D63" s="1441" t="s">
        <v>15238</v>
      </c>
      <c r="E63" s="1441" t="s">
        <v>630</v>
      </c>
      <c r="F63" s="1441" t="s">
        <v>15180</v>
      </c>
      <c r="G63" s="1442" t="s">
        <v>15239</v>
      </c>
      <c r="H63" s="1458"/>
      <c r="I63" s="1505" t="s">
        <v>15240</v>
      </c>
      <c r="J63" s="1459" t="s">
        <v>15241</v>
      </c>
      <c r="K63" s="1458"/>
      <c r="L63" s="1506" t="s">
        <v>15240</v>
      </c>
      <c r="M63" s="1507" t="s">
        <v>15241</v>
      </c>
      <c r="N63" s="1465"/>
      <c r="O63" s="1506" t="s">
        <v>15240</v>
      </c>
      <c r="P63" s="1507" t="s">
        <v>15241</v>
      </c>
      <c r="Q63" s="1465"/>
      <c r="R63" s="1506" t="s">
        <v>15240</v>
      </c>
      <c r="S63" s="1507" t="s">
        <v>15241</v>
      </c>
      <c r="T63" s="1465"/>
      <c r="U63" s="1506" t="s">
        <v>15240</v>
      </c>
      <c r="V63" s="1507" t="s">
        <v>15241</v>
      </c>
      <c r="W63" s="1463"/>
      <c r="X63" s="1508" t="s">
        <v>4208</v>
      </c>
      <c r="Z63" s="238"/>
      <c r="AA63" s="1232">
        <f xml:space="preserve"> IF( SUM( AC63:AC63 ) = 0, 0,#REF! )</f>
        <v>0</v>
      </c>
      <c r="AB63" s="238"/>
    </row>
    <row r="64" spans="2:28" ht="27" thickTop="1">
      <c r="B64" s="1515" t="s">
        <v>15242</v>
      </c>
      <c r="C64" s="1448" t="s">
        <v>15313</v>
      </c>
      <c r="D64" s="1538">
        <v>15.47023313</v>
      </c>
      <c r="E64" s="1448" t="s">
        <v>5981</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15314</v>
      </c>
      <c r="Z64" s="238"/>
      <c r="AA64" s="1232">
        <f xml:space="preserve"> IF( SUM( AC64:AC64 ) = 0, 0,#REF! )</f>
        <v>0</v>
      </c>
      <c r="AB64" s="238"/>
    </row>
    <row r="65" spans="2:28" ht="54.75" customHeight="1" thickBot="1">
      <c r="B65" s="1504" t="s">
        <v>15246</v>
      </c>
      <c r="C65" s="1449" t="s">
        <v>15315</v>
      </c>
      <c r="D65" s="1529">
        <v>4.6497009</v>
      </c>
      <c r="E65" s="1449" t="s">
        <v>5981</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15316</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2"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2" thickTop="1">
      <c r="B68" s="1502" t="s">
        <v>15317</v>
      </c>
      <c r="C68" s="1503" t="s">
        <v>15235</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2" thickBot="1">
      <c r="B69" s="1504" t="s">
        <v>15318</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19.8"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61" t="s">
        <v>632</v>
      </c>
      <c r="J71" s="2962"/>
      <c r="K71" s="1458"/>
      <c r="L71" s="2963" t="s">
        <v>13301</v>
      </c>
      <c r="M71" s="2964"/>
      <c r="N71" s="1465"/>
      <c r="O71" s="2963" t="s">
        <v>13302</v>
      </c>
      <c r="P71" s="2964"/>
      <c r="Q71" s="1465"/>
      <c r="R71" s="2963" t="s">
        <v>13303</v>
      </c>
      <c r="S71" s="2964"/>
      <c r="T71" s="1465"/>
      <c r="U71" s="2963" t="s">
        <v>15237</v>
      </c>
      <c r="V71" s="2964"/>
      <c r="W71" s="1463"/>
      <c r="Z71" s="238"/>
      <c r="AA71" s="1232">
        <f xml:space="preserve"> IF( SUM( AC71:AC71 ) = 0, 0,#REF! )</f>
        <v>0</v>
      </c>
      <c r="AB71" s="238"/>
    </row>
    <row r="72" spans="2:28" ht="40.799999999999997" thickTop="1" thickBot="1">
      <c r="C72" s="1454" t="s">
        <v>2</v>
      </c>
      <c r="D72" s="1441" t="s">
        <v>15238</v>
      </c>
      <c r="E72" s="1441" t="s">
        <v>630</v>
      </c>
      <c r="F72" s="1441" t="s">
        <v>15180</v>
      </c>
      <c r="G72" s="1442" t="s">
        <v>15239</v>
      </c>
      <c r="H72" s="1458"/>
      <c r="I72" s="1505" t="s">
        <v>15240</v>
      </c>
      <c r="J72" s="1459" t="s">
        <v>15241</v>
      </c>
      <c r="K72" s="1458"/>
      <c r="L72" s="1506" t="s">
        <v>15240</v>
      </c>
      <c r="M72" s="1507" t="s">
        <v>15241</v>
      </c>
      <c r="N72" s="1465"/>
      <c r="O72" s="1506" t="s">
        <v>15240</v>
      </c>
      <c r="P72" s="1507" t="s">
        <v>15241</v>
      </c>
      <c r="Q72" s="1465"/>
      <c r="R72" s="1506" t="s">
        <v>15240</v>
      </c>
      <c r="S72" s="1507" t="s">
        <v>15241</v>
      </c>
      <c r="T72" s="1465"/>
      <c r="U72" s="1506" t="s">
        <v>15240</v>
      </c>
      <c r="V72" s="1507" t="s">
        <v>15241</v>
      </c>
      <c r="W72" s="1463"/>
      <c r="X72" s="1508" t="s">
        <v>4208</v>
      </c>
      <c r="Z72" s="238"/>
      <c r="AA72" s="1232">
        <f xml:space="preserve"> IF( SUM( AC72:AC72 ) = 0, 0,#REF! )</f>
        <v>0</v>
      </c>
      <c r="AB72" s="238"/>
    </row>
    <row r="73" spans="2:28" ht="93.6" thickTop="1" thickBot="1">
      <c r="B73" s="1509" t="s">
        <v>15242</v>
      </c>
      <c r="C73" s="1444" t="s">
        <v>15319</v>
      </c>
      <c r="D73" s="1540">
        <f>2870.23*G73/1000000</f>
        <v>74.625979999999998</v>
      </c>
      <c r="E73" s="1444" t="s">
        <v>15244</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15320</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4" thickTop="1">
      <c r="B75" s="1502" t="s">
        <v>15321</v>
      </c>
      <c r="C75" s="1503" t="s">
        <v>15235</v>
      </c>
      <c r="L75" s="1463"/>
      <c r="M75" s="1463"/>
      <c r="N75" s="1463"/>
      <c r="O75" s="1463"/>
      <c r="P75" s="1463"/>
      <c r="Q75" s="1463"/>
      <c r="R75" s="1463"/>
      <c r="S75" s="1463"/>
      <c r="T75" s="1463"/>
      <c r="U75" s="1463"/>
      <c r="V75" s="1463"/>
      <c r="W75" s="1463"/>
      <c r="Z75" s="238"/>
      <c r="AA75" s="1232">
        <f xml:space="preserve"> IF( SUM( AC75:AC75 ) = 0, 0,#REF! )</f>
        <v>0</v>
      </c>
      <c r="AB75" s="238"/>
    </row>
    <row r="76" spans="2:28" ht="27" thickBot="1">
      <c r="B76" s="1504" t="s">
        <v>15322</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4"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2" thickBot="1">
      <c r="B81" s="1464" t="s">
        <v>15323</v>
      </c>
      <c r="L81" s="1463"/>
      <c r="M81" s="1463"/>
      <c r="N81" s="1463"/>
      <c r="O81" s="1463"/>
      <c r="P81" s="1463"/>
      <c r="Q81" s="1463"/>
      <c r="R81" s="1463"/>
      <c r="S81" s="1463"/>
      <c r="T81" s="1463"/>
      <c r="U81" s="1463"/>
      <c r="V81" s="1463"/>
      <c r="W81" s="1463"/>
      <c r="Z81" s="238"/>
      <c r="AA81" s="1232">
        <f xml:space="preserve"> IF( SUM( AC81:AC81 ) = 0, 0,#REF! )</f>
        <v>0</v>
      </c>
      <c r="AB81" s="238"/>
    </row>
    <row r="82" spans="2:28" ht="14.4" thickTop="1">
      <c r="B82" s="1502" t="s">
        <v>15234</v>
      </c>
      <c r="C82" s="1503" t="s">
        <v>15235</v>
      </c>
      <c r="L82" s="1463"/>
      <c r="M82" s="1463"/>
      <c r="N82" s="1463"/>
      <c r="O82" s="1463"/>
      <c r="P82" s="1463"/>
      <c r="Q82" s="1463"/>
      <c r="R82" s="1463"/>
      <c r="S82" s="1463"/>
      <c r="T82" s="1463"/>
      <c r="U82" s="1463"/>
      <c r="V82" s="1463"/>
      <c r="W82" s="1463"/>
      <c r="Z82" s="238"/>
      <c r="AA82" s="1232">
        <f xml:space="preserve"> IF( SUM( AC82:AC82 ) = 0, 0,#REF! )</f>
        <v>0</v>
      </c>
      <c r="AB82" s="238"/>
    </row>
    <row r="83" spans="2:28" ht="27" thickBot="1">
      <c r="B83" s="1504" t="s">
        <v>15322</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19.8" thickTop="1" thickBot="1">
      <c r="B84" s="1471"/>
      <c r="D84" s="1471"/>
      <c r="E84" s="1471"/>
      <c r="F84" s="1471"/>
      <c r="G84" s="1458"/>
      <c r="H84" s="1458"/>
      <c r="I84" s="2961" t="s">
        <v>632</v>
      </c>
      <c r="J84" s="2962"/>
      <c r="K84" s="1458"/>
      <c r="L84" s="2963" t="s">
        <v>13301</v>
      </c>
      <c r="M84" s="2964"/>
      <c r="N84" s="1465"/>
      <c r="O84" s="2963" t="s">
        <v>13302</v>
      </c>
      <c r="P84" s="2964"/>
      <c r="Q84" s="1465"/>
      <c r="R84" s="2963" t="s">
        <v>13303</v>
      </c>
      <c r="S84" s="2964"/>
      <c r="T84" s="1465"/>
      <c r="U84" s="2963" t="s">
        <v>15237</v>
      </c>
      <c r="V84" s="2964"/>
      <c r="W84" s="1463"/>
      <c r="Z84" s="238"/>
      <c r="AA84" s="1232">
        <f xml:space="preserve"> IF( SUM( AC84:AC84 ) = 0, 0,#REF! )</f>
        <v>0</v>
      </c>
      <c r="AB84" s="238"/>
    </row>
    <row r="85" spans="2:28" ht="40.799999999999997" thickTop="1" thickBot="1">
      <c r="C85" s="1454" t="s">
        <v>2</v>
      </c>
      <c r="D85" s="1441" t="s">
        <v>15238</v>
      </c>
      <c r="E85" s="1441" t="s">
        <v>630</v>
      </c>
      <c r="F85" s="1441" t="s">
        <v>15180</v>
      </c>
      <c r="G85" s="1442" t="s">
        <v>15239</v>
      </c>
      <c r="H85" s="1458"/>
      <c r="I85" s="1505" t="s">
        <v>15240</v>
      </c>
      <c r="J85" s="1459" t="s">
        <v>15241</v>
      </c>
      <c r="K85" s="1458"/>
      <c r="L85" s="1506" t="s">
        <v>15240</v>
      </c>
      <c r="M85" s="1507" t="s">
        <v>15241</v>
      </c>
      <c r="N85" s="1465"/>
      <c r="O85" s="1506" t="s">
        <v>15240</v>
      </c>
      <c r="P85" s="1507" t="s">
        <v>15241</v>
      </c>
      <c r="Q85" s="1465"/>
      <c r="R85" s="1506" t="s">
        <v>15240</v>
      </c>
      <c r="S85" s="1507" t="s">
        <v>15241</v>
      </c>
      <c r="T85" s="1465"/>
      <c r="U85" s="1506" t="s">
        <v>15240</v>
      </c>
      <c r="V85" s="1507" t="s">
        <v>15241</v>
      </c>
      <c r="W85" s="1463"/>
      <c r="X85" s="1508" t="s">
        <v>4208</v>
      </c>
      <c r="Z85" s="238"/>
      <c r="AA85" s="1232">
        <f xml:space="preserve"> IF( SUM( AC85:AC85 ) = 0, 0,#REF! )</f>
        <v>0</v>
      </c>
      <c r="AB85" s="238"/>
    </row>
    <row r="86" spans="2:28" ht="27.6" thickTop="1" thickBot="1">
      <c r="B86" s="1509" t="s">
        <v>15242</v>
      </c>
      <c r="C86" s="1444" t="s">
        <v>15322</v>
      </c>
      <c r="D86" s="1444">
        <v>9.6839999999999993</v>
      </c>
      <c r="E86" s="1444" t="s">
        <v>4805</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15324</v>
      </c>
      <c r="Z86" s="238"/>
      <c r="AA86" s="1232">
        <f xml:space="preserve"> IF( SUM( AC86:AC86 ) = 0, 0,#REF! )</f>
        <v>0</v>
      </c>
      <c r="AB86" s="238"/>
    </row>
    <row r="87" spans="2:28" ht="14.4"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2"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4" thickTop="1">
      <c r="B90" s="1502" t="s">
        <v>15234</v>
      </c>
      <c r="C90" s="1503" t="s">
        <v>15235</v>
      </c>
      <c r="L90" s="1463"/>
      <c r="M90" s="1463"/>
      <c r="N90" s="1463"/>
      <c r="O90" s="1463"/>
      <c r="P90" s="1463"/>
      <c r="Q90" s="1463"/>
      <c r="R90" s="1463"/>
      <c r="S90" s="1463"/>
      <c r="T90" s="1463"/>
      <c r="U90" s="1463"/>
      <c r="V90" s="1463"/>
      <c r="W90" s="1463"/>
      <c r="Z90" s="238"/>
      <c r="AA90" s="1232">
        <f xml:space="preserve"> IF( SUM( AC90:AC90 ) = 0, 0,#REF! )</f>
        <v>0</v>
      </c>
      <c r="AB90" s="238"/>
    </row>
    <row r="91" spans="2:28" ht="19.2" thickBot="1">
      <c r="B91" s="1504" t="s">
        <v>15325</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19.8" thickTop="1" thickBot="1">
      <c r="B92" s="1471"/>
      <c r="D92" s="1471"/>
      <c r="E92" s="1471"/>
      <c r="F92" s="1471"/>
      <c r="G92" s="1458"/>
      <c r="H92" s="1458"/>
      <c r="I92" s="2961" t="s">
        <v>632</v>
      </c>
      <c r="J92" s="2962"/>
      <c r="K92" s="1458"/>
      <c r="L92" s="2963" t="s">
        <v>13301</v>
      </c>
      <c r="M92" s="2964"/>
      <c r="N92" s="1465"/>
      <c r="O92" s="2963" t="s">
        <v>13302</v>
      </c>
      <c r="P92" s="2964"/>
      <c r="Q92" s="1465"/>
      <c r="R92" s="2963" t="s">
        <v>13303</v>
      </c>
      <c r="S92" s="2964"/>
      <c r="T92" s="1465"/>
      <c r="U92" s="2963" t="s">
        <v>15237</v>
      </c>
      <c r="V92" s="2964"/>
      <c r="W92" s="1463"/>
      <c r="Z92" s="238"/>
      <c r="AA92" s="1232">
        <f xml:space="preserve"> IF( SUM( AC92:AC92 ) = 0, 0,#REF! )</f>
        <v>0</v>
      </c>
      <c r="AB92" s="238"/>
    </row>
    <row r="93" spans="2:28" ht="40.799999999999997" thickTop="1" thickBot="1">
      <c r="C93" s="1454" t="s">
        <v>2</v>
      </c>
      <c r="D93" s="1441" t="s">
        <v>15238</v>
      </c>
      <c r="E93" s="1441" t="s">
        <v>630</v>
      </c>
      <c r="F93" s="1441" t="s">
        <v>15180</v>
      </c>
      <c r="G93" s="1442" t="s">
        <v>15239</v>
      </c>
      <c r="H93" s="1458"/>
      <c r="I93" s="1505" t="s">
        <v>15240</v>
      </c>
      <c r="J93" s="1459" t="s">
        <v>15241</v>
      </c>
      <c r="K93" s="1458"/>
      <c r="L93" s="1506" t="s">
        <v>15240</v>
      </c>
      <c r="M93" s="1507" t="s">
        <v>15241</v>
      </c>
      <c r="N93" s="1465"/>
      <c r="O93" s="1506" t="s">
        <v>15240</v>
      </c>
      <c r="P93" s="1507" t="s">
        <v>15241</v>
      </c>
      <c r="Q93" s="1465"/>
      <c r="R93" s="1506" t="s">
        <v>15240</v>
      </c>
      <c r="S93" s="1507" t="s">
        <v>15241</v>
      </c>
      <c r="T93" s="1465"/>
      <c r="U93" s="1506" t="s">
        <v>15240</v>
      </c>
      <c r="V93" s="1507" t="s">
        <v>15241</v>
      </c>
      <c r="W93" s="1463"/>
      <c r="X93" s="1508" t="s">
        <v>4208</v>
      </c>
      <c r="Z93" s="238"/>
      <c r="AA93" s="1232">
        <f xml:space="preserve"> IF( SUM( AC93:AC93 ) = 0, 0,#REF! )</f>
        <v>0</v>
      </c>
      <c r="AB93" s="238"/>
    </row>
    <row r="94" spans="2:28" ht="40.200000000000003" thickTop="1">
      <c r="B94" s="1515" t="s">
        <v>15242</v>
      </c>
      <c r="C94" s="1544" t="s">
        <v>15326</v>
      </c>
      <c r="D94" s="1538">
        <f>6300*1000/1000000</f>
        <v>6.3</v>
      </c>
      <c r="E94" s="1448" t="s">
        <v>15327</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15328</v>
      </c>
      <c r="Z94" s="238"/>
      <c r="AA94" s="1232">
        <f xml:space="preserve"> IF( SUM( AC94:AC94 ) = 0, 0,#REF! )</f>
        <v>0</v>
      </c>
      <c r="AB94" s="238"/>
    </row>
    <row r="95" spans="2:28" ht="40.200000000000003" thickBot="1">
      <c r="B95" s="1504" t="s">
        <v>15246</v>
      </c>
      <c r="C95" s="1449" t="s">
        <v>15329</v>
      </c>
      <c r="D95" s="1529">
        <f>300*9000/1000000</f>
        <v>2.7</v>
      </c>
      <c r="E95" s="1449" t="s">
        <v>15327</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15330</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4" thickTop="1">
      <c r="B97" s="1502" t="s">
        <v>15270</v>
      </c>
      <c r="C97" s="1503" t="s">
        <v>15235</v>
      </c>
      <c r="L97" s="1463"/>
      <c r="M97" s="1463"/>
      <c r="N97" s="1463"/>
      <c r="O97" s="1463"/>
      <c r="P97" s="1463"/>
      <c r="Q97" s="1463"/>
      <c r="R97" s="1463"/>
      <c r="S97" s="1463"/>
      <c r="T97" s="1463"/>
      <c r="U97" s="1463"/>
      <c r="V97" s="1463"/>
      <c r="W97" s="1463"/>
      <c r="Z97" s="238"/>
      <c r="AA97" s="1232">
        <f xml:space="preserve"> IF( SUM( AC97:AC97 ) = 0, 0,#REF! )</f>
        <v>0</v>
      </c>
      <c r="AB97" s="238"/>
    </row>
    <row r="98" spans="2:28" ht="27" thickBot="1">
      <c r="B98" s="1504" t="s">
        <v>15331</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19.8" thickTop="1" thickBot="1">
      <c r="B99" s="1471"/>
      <c r="D99" s="1471"/>
      <c r="E99" s="1471"/>
      <c r="F99" s="1471"/>
      <c r="G99" s="1458"/>
      <c r="H99" s="1458"/>
      <c r="I99" s="2961" t="s">
        <v>632</v>
      </c>
      <c r="J99" s="2962"/>
      <c r="K99" s="1458"/>
      <c r="L99" s="2963" t="s">
        <v>13301</v>
      </c>
      <c r="M99" s="2964"/>
      <c r="N99" s="1465"/>
      <c r="O99" s="2963" t="s">
        <v>13302</v>
      </c>
      <c r="P99" s="2964"/>
      <c r="Q99" s="1465"/>
      <c r="R99" s="2963" t="s">
        <v>13303</v>
      </c>
      <c r="S99" s="2964"/>
      <c r="T99" s="1465"/>
      <c r="U99" s="2963" t="s">
        <v>15237</v>
      </c>
      <c r="V99" s="2964"/>
      <c r="W99" s="1463"/>
      <c r="Z99" s="238"/>
      <c r="AA99" s="1232">
        <f xml:space="preserve"> IF( SUM( AC99:AC99 ) = 0, 0,#REF! )</f>
        <v>0</v>
      </c>
      <c r="AB99" s="238"/>
    </row>
    <row r="100" spans="2:28" ht="40.799999999999997" thickTop="1" thickBot="1">
      <c r="C100" s="1454" t="s">
        <v>2</v>
      </c>
      <c r="D100" s="1441" t="s">
        <v>15238</v>
      </c>
      <c r="E100" s="1441" t="s">
        <v>630</v>
      </c>
      <c r="F100" s="1441" t="s">
        <v>15180</v>
      </c>
      <c r="G100" s="1442" t="s">
        <v>15239</v>
      </c>
      <c r="H100" s="1458"/>
      <c r="I100" s="1505" t="s">
        <v>15240</v>
      </c>
      <c r="J100" s="1459" t="s">
        <v>15241</v>
      </c>
      <c r="K100" s="1458"/>
      <c r="L100" s="1506" t="s">
        <v>15240</v>
      </c>
      <c r="M100" s="1507" t="s">
        <v>15241</v>
      </c>
      <c r="N100" s="1465"/>
      <c r="O100" s="1506" t="s">
        <v>15240</v>
      </c>
      <c r="P100" s="1507" t="s">
        <v>15241</v>
      </c>
      <c r="Q100" s="1465"/>
      <c r="R100" s="1506" t="s">
        <v>15240</v>
      </c>
      <c r="S100" s="1507" t="s">
        <v>15241</v>
      </c>
      <c r="T100" s="1465"/>
      <c r="U100" s="1506" t="s">
        <v>15240</v>
      </c>
      <c r="V100" s="1507" t="s">
        <v>15241</v>
      </c>
      <c r="W100" s="1463"/>
      <c r="X100" s="1508" t="s">
        <v>4208</v>
      </c>
      <c r="Z100" s="238"/>
      <c r="AA100" s="1232">
        <f xml:space="preserve"> IF( SUM( AC100:AC100 ) = 0, 0,#REF! )</f>
        <v>0</v>
      </c>
      <c r="AB100" s="238"/>
    </row>
    <row r="101" spans="2:28" ht="106.8" thickTop="1" thickBot="1">
      <c r="B101" s="1509" t="s">
        <v>15242</v>
      </c>
      <c r="C101" s="1444" t="s">
        <v>15332</v>
      </c>
      <c r="D101" s="1444">
        <v>24.876999999999999</v>
      </c>
      <c r="E101" s="1444" t="s">
        <v>4805</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15333</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2" thickTop="1">
      <c r="B103" s="1502" t="s">
        <v>15275</v>
      </c>
      <c r="C103" s="1503" t="s">
        <v>15235</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2" thickBot="1">
      <c r="B104" s="1504" t="s">
        <v>15334</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19.8" thickTop="1" thickBot="1">
      <c r="B105" s="1471"/>
      <c r="D105" s="1471"/>
      <c r="E105" s="1471"/>
      <c r="F105" s="1471"/>
      <c r="G105" s="1458"/>
      <c r="H105" s="1458"/>
      <c r="I105" s="2961" t="s">
        <v>632</v>
      </c>
      <c r="J105" s="2962"/>
      <c r="K105" s="1458"/>
      <c r="L105" s="2963" t="s">
        <v>13301</v>
      </c>
      <c r="M105" s="2964"/>
      <c r="N105" s="1465"/>
      <c r="O105" s="2963" t="s">
        <v>13302</v>
      </c>
      <c r="P105" s="2964"/>
      <c r="Q105" s="1465"/>
      <c r="R105" s="2963" t="s">
        <v>13303</v>
      </c>
      <c r="S105" s="2964"/>
      <c r="T105" s="1465"/>
      <c r="U105" s="2963" t="s">
        <v>15237</v>
      </c>
      <c r="V105" s="2964"/>
      <c r="W105" s="1463"/>
      <c r="Z105" s="238"/>
      <c r="AA105" s="1232">
        <f xml:space="preserve"> IF( SUM( AC105:AC105 ) = 0, 0,#REF! )</f>
        <v>0</v>
      </c>
      <c r="AB105" s="238"/>
    </row>
    <row r="106" spans="2:28" ht="40.799999999999997" thickTop="1" thickBot="1">
      <c r="C106" s="1454" t="s">
        <v>2</v>
      </c>
      <c r="D106" s="1441" t="s">
        <v>15238</v>
      </c>
      <c r="E106" s="1441" t="s">
        <v>630</v>
      </c>
      <c r="F106" s="1441" t="s">
        <v>15180</v>
      </c>
      <c r="G106" s="1442" t="s">
        <v>15239</v>
      </c>
      <c r="H106" s="1458"/>
      <c r="I106" s="1505" t="s">
        <v>15240</v>
      </c>
      <c r="J106" s="1459" t="s">
        <v>15241</v>
      </c>
      <c r="K106" s="1458"/>
      <c r="L106" s="1506" t="s">
        <v>15240</v>
      </c>
      <c r="M106" s="1507" t="s">
        <v>15241</v>
      </c>
      <c r="N106" s="1465"/>
      <c r="O106" s="1506" t="s">
        <v>15240</v>
      </c>
      <c r="P106" s="1507" t="s">
        <v>15241</v>
      </c>
      <c r="Q106" s="1465"/>
      <c r="R106" s="1506" t="s">
        <v>15240</v>
      </c>
      <c r="S106" s="1507" t="s">
        <v>15241</v>
      </c>
      <c r="T106" s="1465"/>
      <c r="U106" s="1506" t="s">
        <v>15240</v>
      </c>
      <c r="V106" s="1507" t="s">
        <v>15241</v>
      </c>
      <c r="W106" s="1463"/>
      <c r="X106" s="1508" t="s">
        <v>4208</v>
      </c>
      <c r="Z106" s="238"/>
      <c r="AA106" s="1232">
        <f xml:space="preserve"> IF( SUM( AC106:AC106 ) = 0, 0,#REF! )</f>
        <v>0</v>
      </c>
      <c r="AB106" s="238"/>
    </row>
    <row r="107" spans="2:28" ht="27" thickTop="1">
      <c r="B107" s="1515" t="s">
        <v>15242</v>
      </c>
      <c r="C107" s="1448" t="s">
        <v>15335</v>
      </c>
      <c r="D107" s="1538">
        <f>23.5*44800/1000000</f>
        <v>1.0528</v>
      </c>
      <c r="E107" s="1448" t="s">
        <v>5981</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15336</v>
      </c>
      <c r="Z107" s="238"/>
      <c r="AA107" s="1232">
        <f xml:space="preserve"> IF( SUM( AC107:AC107 ) = 0, 0,#REF! )</f>
        <v>0</v>
      </c>
      <c r="AB107" s="238"/>
    </row>
    <row r="108" spans="2:28" ht="39.6">
      <c r="B108" s="1522" t="s">
        <v>15246</v>
      </c>
      <c r="C108" s="1456" t="s">
        <v>15337</v>
      </c>
      <c r="D108" s="1527">
        <f>66.36*76072/1000000</f>
        <v>5.0481379200000003</v>
      </c>
      <c r="E108" s="1456" t="s">
        <v>5981</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15338</v>
      </c>
      <c r="Z108" s="238"/>
      <c r="AA108" s="1232">
        <f xml:space="preserve"> IF( SUM( AC108:AC108 ) = 0, 0,#REF! )</f>
        <v>0</v>
      </c>
      <c r="AB108" s="238"/>
    </row>
    <row r="109" spans="2:28" ht="66">
      <c r="B109" s="1522" t="s">
        <v>15249</v>
      </c>
      <c r="C109" s="1456" t="s">
        <v>15339</v>
      </c>
      <c r="D109" s="1527">
        <v>7.2729999999999997</v>
      </c>
      <c r="E109" s="1456" t="s">
        <v>5981</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15340</v>
      </c>
      <c r="Z109" s="238"/>
      <c r="AA109" s="1232">
        <f xml:space="preserve"> IF( SUM( AC109:AC109 ) = 0, 0,#REF! )</f>
        <v>0</v>
      </c>
      <c r="AB109" s="238"/>
    </row>
    <row r="110" spans="2:28" ht="92.4">
      <c r="B110" s="1522" t="s">
        <v>15252</v>
      </c>
      <c r="C110" s="1456" t="s">
        <v>15341</v>
      </c>
      <c r="D110" s="1527">
        <v>2.6120000000000001</v>
      </c>
      <c r="E110" s="1456" t="s">
        <v>5981</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15342</v>
      </c>
      <c r="Z110" s="238"/>
      <c r="AA110" s="1232">
        <f xml:space="preserve"> IF( SUM( AC110:AC110 ) = 0, 0,#REF! )</f>
        <v>0</v>
      </c>
      <c r="AB110" s="238"/>
    </row>
    <row r="111" spans="2:28" ht="39.6">
      <c r="B111" s="1522" t="s">
        <v>15255</v>
      </c>
      <c r="C111" s="1456" t="s">
        <v>15343</v>
      </c>
      <c r="D111" s="1527">
        <v>0.57099999999999995</v>
      </c>
      <c r="E111" s="1456" t="s">
        <v>5981</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15344</v>
      </c>
      <c r="Z111" s="238"/>
      <c r="AA111" s="1232">
        <f xml:space="preserve"> IF( SUM( AC111:AC111 ) = 0, 0,#REF! )</f>
        <v>0</v>
      </c>
      <c r="AB111" s="238"/>
    </row>
    <row r="112" spans="2:28" ht="40.200000000000003" thickBot="1">
      <c r="B112" s="1504" t="s">
        <v>15258</v>
      </c>
      <c r="C112" s="1449" t="s">
        <v>15345</v>
      </c>
      <c r="D112" s="1529">
        <v>0.84399999999999997</v>
      </c>
      <c r="E112" s="1449" t="s">
        <v>5981</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15346</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4"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2" thickTop="1">
      <c r="B115" s="1502" t="s">
        <v>15304</v>
      </c>
      <c r="C115" s="1503" t="s">
        <v>15235</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2" thickBot="1">
      <c r="B116" s="1504" t="s">
        <v>15347</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19.8" thickTop="1" thickBot="1">
      <c r="B117" s="1471"/>
      <c r="D117" s="1471"/>
      <c r="E117" s="1471"/>
      <c r="F117" s="1471"/>
      <c r="G117" s="1458"/>
      <c r="H117" s="1458"/>
      <c r="I117" s="2961" t="s">
        <v>632</v>
      </c>
      <c r="J117" s="2962"/>
      <c r="K117" s="1458"/>
      <c r="L117" s="2963" t="s">
        <v>13301</v>
      </c>
      <c r="M117" s="2964"/>
      <c r="N117" s="1465"/>
      <c r="O117" s="2963" t="s">
        <v>13302</v>
      </c>
      <c r="P117" s="2964"/>
      <c r="Q117" s="1465"/>
      <c r="R117" s="2963" t="s">
        <v>13303</v>
      </c>
      <c r="S117" s="2964"/>
      <c r="T117" s="1465"/>
      <c r="U117" s="2963" t="s">
        <v>15237</v>
      </c>
      <c r="V117" s="2964"/>
      <c r="W117" s="1463"/>
      <c r="Z117" s="238"/>
      <c r="AA117" s="1232">
        <f xml:space="preserve"> IF( SUM( AC117:AC117 ) = 0, 0,#REF! )</f>
        <v>0</v>
      </c>
      <c r="AB117" s="238"/>
    </row>
    <row r="118" spans="2:28" ht="40.799999999999997" thickTop="1" thickBot="1">
      <c r="C118" s="1454" t="s">
        <v>2</v>
      </c>
      <c r="D118" s="1441" t="s">
        <v>15238</v>
      </c>
      <c r="E118" s="1441" t="s">
        <v>630</v>
      </c>
      <c r="F118" s="1441" t="s">
        <v>15180</v>
      </c>
      <c r="G118" s="1442" t="s">
        <v>15239</v>
      </c>
      <c r="H118" s="1458"/>
      <c r="I118" s="1505" t="s">
        <v>15240</v>
      </c>
      <c r="J118" s="1459" t="s">
        <v>15241</v>
      </c>
      <c r="K118" s="1458"/>
      <c r="L118" s="1506" t="s">
        <v>15240</v>
      </c>
      <c r="M118" s="1507" t="s">
        <v>15241</v>
      </c>
      <c r="N118" s="1465"/>
      <c r="O118" s="1506" t="s">
        <v>15240</v>
      </c>
      <c r="P118" s="1507" t="s">
        <v>15241</v>
      </c>
      <c r="Q118" s="1465"/>
      <c r="R118" s="1506" t="s">
        <v>15240</v>
      </c>
      <c r="S118" s="1507" t="s">
        <v>15241</v>
      </c>
      <c r="T118" s="1465"/>
      <c r="U118" s="1506" t="s">
        <v>15240</v>
      </c>
      <c r="V118" s="1507" t="s">
        <v>15241</v>
      </c>
      <c r="W118" s="1463"/>
      <c r="X118" s="1508" t="s">
        <v>4208</v>
      </c>
      <c r="Z118" s="238"/>
      <c r="AA118" s="1232">
        <f xml:space="preserve"> IF( SUM( AC118:AC118 ) = 0, 0,#REF! )</f>
        <v>0</v>
      </c>
      <c r="AB118" s="238"/>
    </row>
    <row r="119" spans="2:28" ht="27" thickTop="1">
      <c r="B119" s="1515" t="s">
        <v>15242</v>
      </c>
      <c r="C119" s="1448" t="s">
        <v>15348</v>
      </c>
      <c r="D119" s="1538">
        <f>2317*248/1000000</f>
        <v>0.57461600000000002</v>
      </c>
      <c r="E119" s="1448" t="s">
        <v>15244</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15349</v>
      </c>
      <c r="Z119" s="238"/>
      <c r="AA119" s="1232">
        <f xml:space="preserve"> IF( SUM( AC119:AC119 ) = 0, 0,#REF! )</f>
        <v>0</v>
      </c>
      <c r="AB119" s="238"/>
    </row>
    <row r="120" spans="2:28" ht="26.4">
      <c r="B120" s="1522" t="s">
        <v>15246</v>
      </c>
      <c r="C120" s="1456" t="s">
        <v>15350</v>
      </c>
      <c r="D120" s="1527">
        <f>2926*163/1000000</f>
        <v>0.47693799999999997</v>
      </c>
      <c r="E120" s="1456" t="s">
        <v>15244</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15351</v>
      </c>
      <c r="Z120" s="238"/>
      <c r="AA120" s="1232">
        <f xml:space="preserve"> IF( SUM( AC120:AC120 ) = 0, 0,#REF! )</f>
        <v>0</v>
      </c>
      <c r="AB120" s="238"/>
    </row>
    <row r="121" spans="2:28" ht="26.4">
      <c r="B121" s="1522" t="s">
        <v>15249</v>
      </c>
      <c r="C121" s="1456" t="s">
        <v>15352</v>
      </c>
      <c r="D121" s="1527">
        <f>100*4950/1000000</f>
        <v>0.495</v>
      </c>
      <c r="E121" s="1456" t="s">
        <v>15244</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15353</v>
      </c>
      <c r="Z121" s="238"/>
      <c r="AA121" s="1232">
        <f xml:space="preserve"> IF( SUM( AC121:AC121 ) = 0, 0,#REF! )</f>
        <v>0</v>
      </c>
      <c r="AB121" s="238"/>
    </row>
    <row r="122" spans="2:28" ht="26.4">
      <c r="B122" s="1522" t="s">
        <v>15252</v>
      </c>
      <c r="C122" s="1456" t="s">
        <v>15354</v>
      </c>
      <c r="D122" s="1527">
        <f>3250*100/1000000</f>
        <v>0.32500000000000001</v>
      </c>
      <c r="E122" s="1456" t="s">
        <v>15244</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15355</v>
      </c>
      <c r="Z122" s="238"/>
      <c r="AA122" s="1232">
        <f xml:space="preserve"> IF( SUM( AC122:AC122 ) = 0, 0,#REF! )</f>
        <v>0</v>
      </c>
      <c r="AB122" s="238"/>
    </row>
    <row r="123" spans="2:28" ht="158.4">
      <c r="B123" s="1522" t="s">
        <v>15255</v>
      </c>
      <c r="C123" s="1456" t="s">
        <v>15356</v>
      </c>
      <c r="D123" s="1527">
        <v>0.35</v>
      </c>
      <c r="E123" s="1456" t="s">
        <v>4805</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15357</v>
      </c>
      <c r="Z123" s="238"/>
      <c r="AA123" s="1232">
        <f xml:space="preserve"> IF( SUM( AC123:AC123 ) = 0, 0,#REF! )</f>
        <v>0</v>
      </c>
      <c r="AB123" s="238"/>
    </row>
    <row r="124" spans="2:28" ht="39.6">
      <c r="B124" s="1522" t="s">
        <v>15258</v>
      </c>
      <c r="C124" s="1456" t="s">
        <v>15358</v>
      </c>
      <c r="D124" s="1527">
        <v>0.25</v>
      </c>
      <c r="E124" s="1456" t="s">
        <v>15244</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15359</v>
      </c>
      <c r="Z124" s="238"/>
      <c r="AA124" s="1232">
        <f xml:space="preserve"> IF( SUM( AC124:AC124 ) = 0, 0,#REF! )</f>
        <v>0</v>
      </c>
      <c r="AB124" s="238"/>
    </row>
    <row r="125" spans="2:28" ht="114.75" customHeight="1">
      <c r="B125" s="1522" t="s">
        <v>15261</v>
      </c>
      <c r="C125" s="1456" t="s">
        <v>15360</v>
      </c>
      <c r="D125" s="1527">
        <v>0.5</v>
      </c>
      <c r="E125" s="1456" t="s">
        <v>15244</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15361</v>
      </c>
      <c r="Z125" s="238"/>
      <c r="AA125" s="1232">
        <f xml:space="preserve"> IF( SUM( AC125:AC125 ) = 0, 0,#REF! )</f>
        <v>0</v>
      </c>
      <c r="AB125" s="238"/>
    </row>
    <row r="126" spans="2:28" ht="89.25" customHeight="1">
      <c r="B126" s="1522" t="s">
        <v>15264</v>
      </c>
      <c r="C126" s="1552" t="s">
        <v>15362</v>
      </c>
      <c r="D126" s="1553">
        <v>0.75</v>
      </c>
      <c r="E126" s="1552" t="s">
        <v>4805</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15363</v>
      </c>
      <c r="Z126" s="238"/>
      <c r="AA126" s="1232">
        <f xml:space="preserve"> IF( SUM( AC126:AC126 ) = 0, 0,#REF! )</f>
        <v>0</v>
      </c>
      <c r="AB126" s="238"/>
    </row>
    <row r="127" spans="2:28" ht="79.2">
      <c r="B127" s="1522" t="s">
        <v>15267</v>
      </c>
      <c r="C127" s="1552" t="s">
        <v>15364</v>
      </c>
      <c r="D127" s="1553">
        <v>2</v>
      </c>
      <c r="E127" s="1552" t="s">
        <v>4805</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15365</v>
      </c>
      <c r="Z127" s="238"/>
      <c r="AA127" s="1232">
        <f xml:space="preserve"> IF( SUM( AC127:AC127 ) = 0, 0,#REF! )</f>
        <v>0</v>
      </c>
      <c r="AB127" s="238"/>
    </row>
    <row r="128" spans="2:28" ht="27" thickBot="1">
      <c r="B128" s="1504" t="s">
        <v>15295</v>
      </c>
      <c r="C128" s="1449" t="s">
        <v>15366</v>
      </c>
      <c r="D128" s="1529">
        <v>1.92</v>
      </c>
      <c r="E128" s="1449" t="s">
        <v>15327</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15367</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2" thickTop="1">
      <c r="B130" s="1502" t="s">
        <v>15311</v>
      </c>
      <c r="C130" s="1503" t="s">
        <v>15235</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2" thickBot="1">
      <c r="B131" s="1504" t="s">
        <v>15368</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19.8" thickTop="1" thickBot="1">
      <c r="B132" s="1471"/>
      <c r="D132" s="1471"/>
      <c r="E132" s="1471"/>
      <c r="F132" s="1471"/>
      <c r="G132" s="1458"/>
      <c r="H132" s="1458"/>
      <c r="I132" s="2961" t="s">
        <v>632</v>
      </c>
      <c r="J132" s="2962"/>
      <c r="K132" s="1458"/>
      <c r="L132" s="2963" t="s">
        <v>13301</v>
      </c>
      <c r="M132" s="2964"/>
      <c r="N132" s="1465"/>
      <c r="O132" s="2963" t="s">
        <v>13302</v>
      </c>
      <c r="P132" s="2964"/>
      <c r="Q132" s="1465"/>
      <c r="R132" s="2963" t="s">
        <v>13303</v>
      </c>
      <c r="S132" s="2964"/>
      <c r="T132" s="1465"/>
      <c r="U132" s="2963" t="s">
        <v>15237</v>
      </c>
      <c r="V132" s="2964"/>
      <c r="W132" s="1463"/>
      <c r="Z132" s="238"/>
      <c r="AA132" s="1232">
        <f xml:space="preserve"> IF( SUM( AC132:AC132 ) = 0, 0,#REF! )</f>
        <v>0</v>
      </c>
      <c r="AB132" s="238"/>
    </row>
    <row r="133" spans="2:28" ht="40.799999999999997" thickTop="1" thickBot="1">
      <c r="C133" s="1454" t="s">
        <v>2</v>
      </c>
      <c r="D133" s="1441" t="s">
        <v>15238</v>
      </c>
      <c r="E133" s="1441" t="s">
        <v>630</v>
      </c>
      <c r="F133" s="1441" t="s">
        <v>15180</v>
      </c>
      <c r="G133" s="1442" t="s">
        <v>15239</v>
      </c>
      <c r="H133" s="1458"/>
      <c r="I133" s="1505" t="s">
        <v>15240</v>
      </c>
      <c r="J133" s="1459" t="s">
        <v>15241</v>
      </c>
      <c r="K133" s="1458"/>
      <c r="L133" s="1506" t="s">
        <v>15240</v>
      </c>
      <c r="M133" s="1507" t="s">
        <v>15241</v>
      </c>
      <c r="N133" s="1465"/>
      <c r="O133" s="1506" t="s">
        <v>15240</v>
      </c>
      <c r="P133" s="1507" t="s">
        <v>15241</v>
      </c>
      <c r="Q133" s="1465"/>
      <c r="R133" s="1506" t="s">
        <v>15240</v>
      </c>
      <c r="S133" s="1507" t="s">
        <v>15241</v>
      </c>
      <c r="T133" s="1465"/>
      <c r="U133" s="1506" t="s">
        <v>15240</v>
      </c>
      <c r="V133" s="1507" t="s">
        <v>15241</v>
      </c>
      <c r="W133" s="1463"/>
      <c r="X133" s="1508" t="s">
        <v>4208</v>
      </c>
      <c r="Z133" s="238"/>
      <c r="AA133" s="1232">
        <f xml:space="preserve"> IF( SUM( AC133:AC133 ) = 0, 0,#REF! )</f>
        <v>0</v>
      </c>
      <c r="AB133" s="238"/>
    </row>
    <row r="134" spans="2:28" ht="19.2" thickTop="1">
      <c r="B134" s="1515" t="s">
        <v>15242</v>
      </c>
      <c r="C134" s="1448" t="s">
        <v>15369</v>
      </c>
      <c r="D134" s="1538">
        <v>12.818</v>
      </c>
      <c r="E134" s="1448" t="s">
        <v>4805</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15370</v>
      </c>
      <c r="Z134" s="238"/>
      <c r="AA134" s="1232">
        <f xml:space="preserve"> IF( SUM( AC134:AC134 ) = 0, 0,#REF! )</f>
        <v>0</v>
      </c>
      <c r="AB134" s="238"/>
    </row>
    <row r="135" spans="2:28" ht="27" thickBot="1">
      <c r="B135" s="1504" t="s">
        <v>15246</v>
      </c>
      <c r="C135" s="1449" t="s">
        <v>15371</v>
      </c>
      <c r="D135" s="1529">
        <v>9.8840000000000003</v>
      </c>
      <c r="E135" s="1449" t="s">
        <v>4805</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15372</v>
      </c>
      <c r="Z135" s="238"/>
      <c r="AA135" s="1232">
        <f xml:space="preserve"> IF( SUM( AC135:AC135 ) = 0, 0,#REF! )</f>
        <v>0</v>
      </c>
      <c r="AB135" s="238"/>
    </row>
    <row r="136" spans="2:28" ht="14.4"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2"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2" thickTop="1">
      <c r="B139" s="1502" t="s">
        <v>15234</v>
      </c>
      <c r="C139" s="1503" t="s">
        <v>15235</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2" thickBot="1">
      <c r="B140" s="1504" t="s">
        <v>15373</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19.8" thickTop="1" thickBot="1">
      <c r="B141" s="1471"/>
      <c r="D141" s="1471"/>
      <c r="E141" s="1471"/>
      <c r="F141" s="1471"/>
      <c r="G141" s="1458"/>
      <c r="H141" s="1458"/>
      <c r="I141" s="2961" t="s">
        <v>632</v>
      </c>
      <c r="J141" s="2962"/>
      <c r="K141" s="1458"/>
      <c r="L141" s="2963" t="s">
        <v>13301</v>
      </c>
      <c r="M141" s="2964"/>
      <c r="N141" s="1465"/>
      <c r="O141" s="2963" t="s">
        <v>13302</v>
      </c>
      <c r="P141" s="2964"/>
      <c r="Q141" s="1465"/>
      <c r="R141" s="2963" t="s">
        <v>13303</v>
      </c>
      <c r="S141" s="2964"/>
      <c r="T141" s="1465"/>
      <c r="U141" s="2963" t="s">
        <v>15237</v>
      </c>
      <c r="V141" s="2964"/>
      <c r="W141" s="1463"/>
      <c r="Z141" s="238"/>
      <c r="AA141" s="1232">
        <f xml:space="preserve"> IF( SUM( AC141:AC141 ) = 0, 0,#REF! )</f>
        <v>0</v>
      </c>
      <c r="AB141" s="238"/>
    </row>
    <row r="142" spans="2:28" ht="40.799999999999997" thickTop="1" thickBot="1">
      <c r="C142" s="1454" t="s">
        <v>2</v>
      </c>
      <c r="D142" s="1441" t="s">
        <v>15238</v>
      </c>
      <c r="E142" s="1441" t="s">
        <v>630</v>
      </c>
      <c r="F142" s="1441" t="s">
        <v>15180</v>
      </c>
      <c r="G142" s="1442" t="s">
        <v>15239</v>
      </c>
      <c r="H142" s="1458"/>
      <c r="I142" s="1505" t="s">
        <v>15240</v>
      </c>
      <c r="J142" s="1459" t="s">
        <v>15241</v>
      </c>
      <c r="K142" s="1458"/>
      <c r="L142" s="1506" t="s">
        <v>15240</v>
      </c>
      <c r="M142" s="1507" t="s">
        <v>15241</v>
      </c>
      <c r="N142" s="1465"/>
      <c r="O142" s="1506" t="s">
        <v>15240</v>
      </c>
      <c r="P142" s="1507" t="s">
        <v>15241</v>
      </c>
      <c r="Q142" s="1465"/>
      <c r="R142" s="1506" t="s">
        <v>15240</v>
      </c>
      <c r="S142" s="1507" t="s">
        <v>15241</v>
      </c>
      <c r="T142" s="1465"/>
      <c r="U142" s="1506" t="s">
        <v>15240</v>
      </c>
      <c r="V142" s="1507" t="s">
        <v>15241</v>
      </c>
      <c r="W142" s="1463"/>
      <c r="X142" s="1508" t="s">
        <v>4208</v>
      </c>
      <c r="Z142" s="238"/>
      <c r="AA142" s="1232">
        <f xml:space="preserve"> IF( SUM( AC142:AC142 ) = 0, 0,#REF! )</f>
        <v>0</v>
      </c>
      <c r="AB142" s="238"/>
    </row>
    <row r="143" spans="2:28" ht="66.599999999999994" thickTop="1">
      <c r="B143" s="1515" t="s">
        <v>15242</v>
      </c>
      <c r="C143" s="1448" t="s">
        <v>15374</v>
      </c>
      <c r="D143" s="1538">
        <f>296.61*200000/1000000</f>
        <v>59.322000000000003</v>
      </c>
      <c r="E143" s="1448" t="s">
        <v>5981</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15375</v>
      </c>
      <c r="Z143" s="238"/>
      <c r="AA143" s="1232">
        <f xml:space="preserve"> IF( SUM( AC143:AC143 ) = 0, 0,#REF! )</f>
        <v>0</v>
      </c>
      <c r="AB143" s="238"/>
    </row>
    <row r="144" spans="2:28" ht="38.25" customHeight="1">
      <c r="B144" s="1522" t="s">
        <v>15246</v>
      </c>
      <c r="C144" s="1456" t="s">
        <v>15376</v>
      </c>
      <c r="D144" s="1553">
        <f>59.37*3000/1000000</f>
        <v>0.17810999999999999</v>
      </c>
      <c r="E144" s="1555" t="s">
        <v>5981</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15377</v>
      </c>
      <c r="Z144" s="238"/>
      <c r="AA144" s="1232">
        <f xml:space="preserve"> IF( SUM( AC144:AC144 ) = 0, 0,#REF! )</f>
        <v>0</v>
      </c>
      <c r="AB144" s="238"/>
    </row>
    <row r="145" spans="2:28" ht="25.5" customHeight="1">
      <c r="B145" s="1522" t="s">
        <v>15252</v>
      </c>
      <c r="C145" s="1456" t="s">
        <v>15378</v>
      </c>
      <c r="D145" s="1553">
        <f>581.35*1500/1000000</f>
        <v>0.87202500000000005</v>
      </c>
      <c r="E145" s="1555" t="s">
        <v>5981</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15379</v>
      </c>
      <c r="Z145" s="238"/>
      <c r="AA145" s="1232">
        <f xml:space="preserve"> IF( SUM( AC145:AC145 ) = 0, 0,#REF! )</f>
        <v>0</v>
      </c>
      <c r="AB145" s="238"/>
    </row>
    <row r="146" spans="2:28" ht="25.5" customHeight="1">
      <c r="B146" s="1522" t="s">
        <v>15258</v>
      </c>
      <c r="C146" s="1456" t="s">
        <v>15380</v>
      </c>
      <c r="D146" s="1553">
        <f>2724.52*200/1000000</f>
        <v>0.54490400000000005</v>
      </c>
      <c r="E146" s="1555" t="s">
        <v>5981</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15381</v>
      </c>
      <c r="Z146" s="238"/>
      <c r="AA146" s="1232">
        <f xml:space="preserve"> IF( SUM( AC146:AC146 ) = 0, 0,#REF! )</f>
        <v>0</v>
      </c>
      <c r="AB146" s="238"/>
    </row>
    <row r="147" spans="2:28" ht="77.099999999999994" customHeight="1" thickBot="1">
      <c r="B147" s="1449" t="s">
        <v>15264</v>
      </c>
      <c r="C147" s="1449" t="s">
        <v>15382</v>
      </c>
      <c r="D147" s="1529">
        <v>11</v>
      </c>
      <c r="E147" s="1449" t="s">
        <v>4805</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15383</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2" thickBot="1">
      <c r="B152" s="1464" t="s">
        <v>15384</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2" thickTop="1">
      <c r="B153" s="1502" t="s">
        <v>15234</v>
      </c>
      <c r="C153" s="1503" t="s">
        <v>15235</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7" thickBot="1">
      <c r="B154" s="1504" t="s">
        <v>15385</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19.8" thickTop="1" thickBot="1">
      <c r="B155" s="1471"/>
      <c r="D155" s="1471"/>
      <c r="E155" s="1471"/>
      <c r="F155" s="1471"/>
      <c r="G155" s="1458"/>
      <c r="H155" s="1458"/>
      <c r="I155" s="2961" t="s">
        <v>632</v>
      </c>
      <c r="J155" s="2962"/>
      <c r="K155" s="1458"/>
      <c r="L155" s="2963" t="s">
        <v>13301</v>
      </c>
      <c r="M155" s="2964"/>
      <c r="N155" s="1465"/>
      <c r="O155" s="2963" t="s">
        <v>13302</v>
      </c>
      <c r="P155" s="2964"/>
      <c r="Q155" s="1465"/>
      <c r="R155" s="2963" t="s">
        <v>13303</v>
      </c>
      <c r="S155" s="2964"/>
      <c r="T155" s="1465"/>
      <c r="U155" s="2963" t="s">
        <v>15237</v>
      </c>
      <c r="V155" s="2964"/>
      <c r="W155" s="1463"/>
      <c r="Z155" s="238"/>
      <c r="AA155" s="1232">
        <f xml:space="preserve"> IF( SUM( AC155:AC155 ) = 0, 0,#REF! )</f>
        <v>0</v>
      </c>
      <c r="AB155" s="238"/>
    </row>
    <row r="156" spans="2:28" ht="40.799999999999997" thickTop="1" thickBot="1">
      <c r="C156" s="1454" t="s">
        <v>2</v>
      </c>
      <c r="D156" s="1441" t="s">
        <v>15238</v>
      </c>
      <c r="E156" s="1441" t="s">
        <v>630</v>
      </c>
      <c r="F156" s="1441" t="s">
        <v>15180</v>
      </c>
      <c r="G156" s="1442" t="s">
        <v>15239</v>
      </c>
      <c r="H156" s="1458"/>
      <c r="I156" s="1505" t="s">
        <v>15240</v>
      </c>
      <c r="J156" s="1459" t="s">
        <v>15241</v>
      </c>
      <c r="K156" s="1458"/>
      <c r="L156" s="1506" t="s">
        <v>15240</v>
      </c>
      <c r="M156" s="1507" t="s">
        <v>15241</v>
      </c>
      <c r="N156" s="1465"/>
      <c r="O156" s="1506" t="s">
        <v>15240</v>
      </c>
      <c r="P156" s="1507" t="s">
        <v>15241</v>
      </c>
      <c r="Q156" s="1465"/>
      <c r="R156" s="1506" t="s">
        <v>15240</v>
      </c>
      <c r="S156" s="1507" t="s">
        <v>15241</v>
      </c>
      <c r="T156" s="1465"/>
      <c r="U156" s="1506" t="s">
        <v>15240</v>
      </c>
      <c r="V156" s="1507" t="s">
        <v>15241</v>
      </c>
      <c r="W156" s="1463"/>
      <c r="X156" s="1508" t="s">
        <v>4208</v>
      </c>
      <c r="Z156" s="238"/>
      <c r="AA156" s="1232">
        <f xml:space="preserve"> IF( SUM( AC156:AC156 ) = 0, 0,#REF! )</f>
        <v>0</v>
      </c>
      <c r="AB156" s="238"/>
    </row>
    <row r="157" spans="2:28" ht="53.4" thickTop="1">
      <c r="B157" s="1515" t="s">
        <v>15242</v>
      </c>
      <c r="C157" s="1448" t="s">
        <v>15386</v>
      </c>
      <c r="D157" s="1538">
        <v>1.091</v>
      </c>
      <c r="E157" s="1448" t="s">
        <v>15387</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15388</v>
      </c>
      <c r="Z157" s="238"/>
      <c r="AA157" s="1232">
        <f xml:space="preserve"> IF( SUM( AC157:AC157 ) = 0, 0,#REF! )</f>
        <v>0</v>
      </c>
      <c r="AB157" s="238"/>
    </row>
    <row r="158" spans="2:28" ht="52.8">
      <c r="B158" s="1522" t="s">
        <v>15246</v>
      </c>
      <c r="C158" s="1456" t="s">
        <v>15389</v>
      </c>
      <c r="D158" s="1553">
        <v>1.819</v>
      </c>
      <c r="E158" s="1555" t="s">
        <v>4805</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15390</v>
      </c>
      <c r="Z158" s="238"/>
      <c r="AA158" s="1232">
        <f xml:space="preserve"> IF( SUM( AC158:AC158 ) = 0, 0,#REF! )</f>
        <v>0</v>
      </c>
      <c r="AB158" s="238"/>
    </row>
    <row r="159" spans="2:28" ht="18.75" customHeight="1">
      <c r="B159" s="1522" t="s">
        <v>15249</v>
      </c>
      <c r="C159" s="1456" t="s">
        <v>15391</v>
      </c>
      <c r="D159" s="1553">
        <v>0.72299999999999998</v>
      </c>
      <c r="E159" s="1555" t="s">
        <v>15244</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15392</v>
      </c>
      <c r="Z159" s="238"/>
      <c r="AA159" s="1232">
        <f xml:space="preserve"> IF( SUM( AC159:AC159 ) = 0, 0,#REF! )</f>
        <v>0</v>
      </c>
      <c r="AB159" s="238"/>
    </row>
    <row r="160" spans="2:28" ht="18.600000000000001">
      <c r="B160" s="1522" t="s">
        <v>15252</v>
      </c>
      <c r="C160" s="1456" t="s">
        <v>15393</v>
      </c>
      <c r="D160" s="1553">
        <v>2.2530000000000001</v>
      </c>
      <c r="E160" s="1555" t="s">
        <v>15327</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15394</v>
      </c>
      <c r="Z160" s="238"/>
      <c r="AA160" s="1232">
        <f xml:space="preserve"> IF( SUM( AC160:AC160 ) = 0, 0,#REF! )</f>
        <v>0</v>
      </c>
      <c r="AB160" s="238"/>
    </row>
    <row r="161" spans="2:28" ht="27" thickBot="1">
      <c r="B161" s="1449" t="s">
        <v>15255</v>
      </c>
      <c r="C161" s="1449" t="s">
        <v>15395</v>
      </c>
      <c r="D161" s="1529">
        <v>9.0570000000000004</v>
      </c>
      <c r="E161" s="1449" t="s">
        <v>4805</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15396</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4"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2" thickTop="1">
      <c r="B170" s="1502" t="s">
        <v>15270</v>
      </c>
      <c r="C170" s="1503" t="s">
        <v>15235</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7" thickBot="1">
      <c r="B171" s="1504" t="s">
        <v>15397</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19.8" thickTop="1" thickBot="1">
      <c r="B172" s="1471"/>
      <c r="D172" s="1471"/>
      <c r="E172" s="1471"/>
      <c r="F172" s="1471"/>
      <c r="G172" s="1458"/>
      <c r="H172" s="1458"/>
      <c r="I172" s="2961" t="s">
        <v>632</v>
      </c>
      <c r="J172" s="2962"/>
      <c r="K172" s="1458"/>
      <c r="L172" s="2963" t="s">
        <v>13301</v>
      </c>
      <c r="M172" s="2964"/>
      <c r="N172" s="1465"/>
      <c r="O172" s="2963" t="s">
        <v>13302</v>
      </c>
      <c r="P172" s="2964"/>
      <c r="Q172" s="1465"/>
      <c r="R172" s="2963" t="s">
        <v>13303</v>
      </c>
      <c r="S172" s="2964"/>
      <c r="T172" s="1465"/>
      <c r="U172" s="2963" t="s">
        <v>15237</v>
      </c>
      <c r="V172" s="2964"/>
      <c r="W172" s="1463"/>
      <c r="Z172" s="238"/>
      <c r="AA172" s="1232">
        <f xml:space="preserve"> IF( SUM( AC172:AC172 ) = 0, 0,#REF! )</f>
        <v>0</v>
      </c>
      <c r="AB172" s="238"/>
    </row>
    <row r="173" spans="2:28" ht="40.799999999999997" thickTop="1" thickBot="1">
      <c r="C173" s="1454" t="s">
        <v>2</v>
      </c>
      <c r="D173" s="1441" t="s">
        <v>15238</v>
      </c>
      <c r="E173" s="1441" t="s">
        <v>630</v>
      </c>
      <c r="F173" s="1441" t="s">
        <v>15180</v>
      </c>
      <c r="G173" s="1442" t="s">
        <v>15239</v>
      </c>
      <c r="H173" s="1458"/>
      <c r="I173" s="1505" t="s">
        <v>15240</v>
      </c>
      <c r="J173" s="1459" t="s">
        <v>15241</v>
      </c>
      <c r="K173" s="1458"/>
      <c r="L173" s="1506" t="s">
        <v>15240</v>
      </c>
      <c r="M173" s="1507" t="s">
        <v>15241</v>
      </c>
      <c r="N173" s="1465"/>
      <c r="O173" s="1506" t="s">
        <v>15240</v>
      </c>
      <c r="P173" s="1507" t="s">
        <v>15241</v>
      </c>
      <c r="Q173" s="1465"/>
      <c r="R173" s="1506" t="s">
        <v>15240</v>
      </c>
      <c r="S173" s="1507" t="s">
        <v>15241</v>
      </c>
      <c r="T173" s="1465"/>
      <c r="U173" s="1506" t="s">
        <v>15240</v>
      </c>
      <c r="V173" s="1507" t="s">
        <v>15241</v>
      </c>
      <c r="W173" s="1463"/>
      <c r="X173" s="1508" t="s">
        <v>4208</v>
      </c>
      <c r="Z173" s="238"/>
      <c r="AA173" s="1232">
        <f xml:space="preserve"> IF( SUM( AC173:AC173 ) = 0, 0,#REF! )</f>
        <v>0</v>
      </c>
      <c r="AB173" s="238"/>
    </row>
    <row r="174" spans="2:28" ht="27" thickTop="1">
      <c r="B174" s="1515" t="s">
        <v>15242</v>
      </c>
      <c r="C174" s="1448" t="s">
        <v>15398</v>
      </c>
      <c r="D174" s="1538">
        <v>32.090000000000003</v>
      </c>
      <c r="E174" s="1448" t="s">
        <v>4805</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15399</v>
      </c>
      <c r="Z174" s="238"/>
      <c r="AA174" s="1232">
        <f xml:space="preserve"> IF( SUM( AC174:AC174 ) = 0, 0,#REF! )</f>
        <v>0</v>
      </c>
      <c r="AB174" s="238"/>
    </row>
    <row r="175" spans="2:28" ht="40.200000000000003" thickBot="1">
      <c r="B175" s="1449" t="s">
        <v>15246</v>
      </c>
      <c r="C175" s="1449" t="s">
        <v>15400</v>
      </c>
      <c r="D175" s="1529">
        <v>11.97</v>
      </c>
      <c r="E175" s="1449" t="s">
        <v>4805</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15401</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4"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2" thickTop="1">
      <c r="B179" s="1502" t="s">
        <v>15275</v>
      </c>
      <c r="C179" s="1503" t="s">
        <v>15235</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2" thickBot="1">
      <c r="B180" s="1504" t="s">
        <v>15402</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19.8" thickTop="1" thickBot="1">
      <c r="B181" s="1471"/>
      <c r="D181" s="1471"/>
      <c r="E181" s="1471"/>
      <c r="F181" s="1471"/>
      <c r="G181" s="1458"/>
      <c r="H181" s="1458"/>
      <c r="I181" s="2961" t="s">
        <v>632</v>
      </c>
      <c r="J181" s="2962"/>
      <c r="K181" s="1458"/>
      <c r="L181" s="2963" t="s">
        <v>13301</v>
      </c>
      <c r="M181" s="2964"/>
      <c r="N181" s="1465"/>
      <c r="O181" s="2963" t="s">
        <v>13302</v>
      </c>
      <c r="P181" s="2964"/>
      <c r="Q181" s="1465"/>
      <c r="R181" s="2963" t="s">
        <v>13303</v>
      </c>
      <c r="S181" s="2964"/>
      <c r="T181" s="1465"/>
      <c r="U181" s="2963" t="s">
        <v>15237</v>
      </c>
      <c r="V181" s="2964"/>
      <c r="W181" s="1463"/>
      <c r="Z181" s="238"/>
      <c r="AA181" s="1232">
        <f xml:space="preserve"> IF( SUM( AC181:AC181 ) = 0, 0,#REF! )</f>
        <v>0</v>
      </c>
      <c r="AB181" s="238"/>
    </row>
    <row r="182" spans="2:28" ht="40.799999999999997" thickTop="1" thickBot="1">
      <c r="C182" s="1454" t="s">
        <v>2</v>
      </c>
      <c r="D182" s="1441" t="s">
        <v>15238</v>
      </c>
      <c r="E182" s="1441" t="s">
        <v>630</v>
      </c>
      <c r="F182" s="1441" t="s">
        <v>15180</v>
      </c>
      <c r="G182" s="1442" t="s">
        <v>15239</v>
      </c>
      <c r="H182" s="1458"/>
      <c r="I182" s="1505" t="s">
        <v>15240</v>
      </c>
      <c r="J182" s="1459" t="s">
        <v>15241</v>
      </c>
      <c r="K182" s="1458"/>
      <c r="L182" s="1506" t="s">
        <v>15240</v>
      </c>
      <c r="M182" s="1507" t="s">
        <v>15241</v>
      </c>
      <c r="N182" s="1465"/>
      <c r="O182" s="1506" t="s">
        <v>15240</v>
      </c>
      <c r="P182" s="1507" t="s">
        <v>15241</v>
      </c>
      <c r="Q182" s="1465"/>
      <c r="R182" s="1506" t="s">
        <v>15240</v>
      </c>
      <c r="S182" s="1507" t="s">
        <v>15241</v>
      </c>
      <c r="T182" s="1465"/>
      <c r="U182" s="1506" t="s">
        <v>15240</v>
      </c>
      <c r="V182" s="1507" t="s">
        <v>15241</v>
      </c>
      <c r="W182" s="1463"/>
      <c r="X182" s="1508" t="s">
        <v>4208</v>
      </c>
      <c r="Z182" s="238"/>
      <c r="AA182" s="1232">
        <f xml:space="preserve"> IF( SUM( AC182:AC182 ) = 0, 0,#REF! )</f>
        <v>0</v>
      </c>
      <c r="AB182" s="238"/>
    </row>
    <row r="183" spans="2:28" ht="19.2" thickTop="1">
      <c r="B183" s="1515" t="s">
        <v>15242</v>
      </c>
      <c r="C183" s="1448" t="s">
        <v>15403</v>
      </c>
      <c r="D183" s="1538">
        <v>3.8879999999999999</v>
      </c>
      <c r="E183" s="1448" t="s">
        <v>4805</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15404</v>
      </c>
      <c r="Z183" s="238"/>
      <c r="AA183" s="1232">
        <f xml:space="preserve"> IF( SUM( AC183:AC183 ) = 0, 0,#REF! )</f>
        <v>0</v>
      </c>
      <c r="AB183" s="238"/>
    </row>
    <row r="184" spans="2:28" ht="39.6">
      <c r="B184" s="1522" t="s">
        <v>15246</v>
      </c>
      <c r="C184" s="1456" t="s">
        <v>15405</v>
      </c>
      <c r="D184" s="1553">
        <f>0.493117*2</f>
        <v>0.98623400000000006</v>
      </c>
      <c r="E184" s="1555" t="s">
        <v>15244</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15406</v>
      </c>
      <c r="Z184" s="238"/>
      <c r="AA184" s="1232">
        <f xml:space="preserve"> IF( SUM( AC184:AC184 ) = 0, 0,#REF! )</f>
        <v>0</v>
      </c>
      <c r="AB184" s="238"/>
    </row>
    <row r="185" spans="2:28" ht="27" thickBot="1">
      <c r="B185" s="1504" t="s">
        <v>15249</v>
      </c>
      <c r="C185" s="1449" t="s">
        <v>15407</v>
      </c>
      <c r="D185" s="1529">
        <v>0.52509899999999998</v>
      </c>
      <c r="E185" s="1449" t="s">
        <v>15244</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15408</v>
      </c>
      <c r="Z185" s="238"/>
      <c r="AA185" s="1232">
        <f xml:space="preserve"> IF( SUM( AC185:AC185 ) = 0, 0,#REF! )</f>
        <v>0</v>
      </c>
      <c r="AB185" s="238"/>
    </row>
    <row r="186" spans="2:28" ht="15" thickTop="1">
      <c r="D186" s="153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Normal="100" zoomScaleSheetLayoutView="100" workbookViewId="0">
      <selection activeCell="D55" sqref="D55"/>
    </sheetView>
  </sheetViews>
  <sheetFormatPr defaultColWidth="9" defaultRowHeight="15.6"/>
  <cols>
    <col min="1" max="1" width="1.59765625" style="224" customWidth="1"/>
    <col min="2" max="2" width="84.09765625" style="224" customWidth="1"/>
    <col min="3" max="4" width="13.19921875" style="224" bestFit="1" customWidth="1"/>
    <col min="5" max="5" width="13.19921875" style="1312" bestFit="1" customWidth="1"/>
    <col min="6" max="6" width="1.59765625" style="224" customWidth="1"/>
    <col min="7" max="7" width="16.09765625" style="224" bestFit="1" customWidth="1"/>
    <col min="8" max="8" width="5.69921875" style="260" customWidth="1"/>
    <col min="9" max="9" width="28.69921875" style="260" bestFit="1" customWidth="1"/>
    <col min="10" max="10" width="1.59765625" style="260" customWidth="1"/>
    <col min="11" max="11" width="1.59765625" style="219" customWidth="1"/>
    <col min="12" max="12" width="29.19921875" style="219" bestFit="1" customWidth="1"/>
    <col min="13" max="13" width="1.59765625" style="219" customWidth="1"/>
    <col min="14" max="16" width="19.69921875" style="219" hidden="1" customWidth="1"/>
    <col min="17" max="17" width="1.59765625" style="219" hidden="1" customWidth="1"/>
    <col min="18" max="18" width="1.59765625" style="224" customWidth="1"/>
    <col min="19" max="19" width="68.69921875" style="224" customWidth="1"/>
    <col min="20" max="20" width="23.69921875" style="224" bestFit="1" customWidth="1"/>
    <col min="21" max="21" width="24.19921875" style="224" bestFit="1" customWidth="1"/>
    <col min="22" max="22" width="23.69921875" style="224" bestFit="1" customWidth="1"/>
    <col min="23" max="16384" width="9" style="224"/>
  </cols>
  <sheetData>
    <row r="1" spans="2:22" s="389" customFormat="1" ht="22.8">
      <c r="B1" s="1229" t="s">
        <v>15409</v>
      </c>
      <c r="C1" s="1229"/>
      <c r="D1" s="1229"/>
      <c r="E1" s="1229"/>
      <c r="F1" s="1229"/>
      <c r="G1" s="1229"/>
      <c r="H1" s="582"/>
      <c r="I1" s="582"/>
      <c r="J1" s="582"/>
      <c r="K1" s="886"/>
      <c r="L1" s="219"/>
      <c r="M1" s="886"/>
      <c r="N1" s="219"/>
      <c r="O1" s="219"/>
      <c r="P1" s="219"/>
      <c r="Q1" s="238"/>
      <c r="S1" s="1229" t="s">
        <v>4198</v>
      </c>
      <c r="U1" s="219"/>
    </row>
    <row r="2" spans="2:22" s="389" customFormat="1" ht="22.8">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29" t="s">
        <v>15410</v>
      </c>
      <c r="C3" s="2829"/>
      <c r="D3" s="2829"/>
      <c r="E3" s="2829"/>
      <c r="F3" s="2829"/>
      <c r="G3" s="2829"/>
      <c r="H3" s="2829"/>
      <c r="I3" s="2829"/>
      <c r="J3" s="582"/>
      <c r="K3" s="886"/>
      <c r="L3" s="1240" t="s">
        <v>4200</v>
      </c>
      <c r="M3" s="886"/>
      <c r="N3" s="2343"/>
      <c r="O3" s="2343"/>
      <c r="P3" s="2343"/>
      <c r="Q3" s="2343"/>
      <c r="R3" s="389"/>
      <c r="S3" s="2829" t="s">
        <v>15410</v>
      </c>
      <c r="T3" s="2829"/>
      <c r="U3" s="2829"/>
      <c r="V3" s="2829"/>
    </row>
    <row r="4" spans="2:22" ht="23.4" thickBot="1">
      <c r="B4" s="690"/>
      <c r="C4" s="690"/>
      <c r="D4" s="690"/>
      <c r="E4" s="690"/>
      <c r="F4" s="908"/>
      <c r="G4" s="1307"/>
      <c r="H4" s="261"/>
      <c r="K4" s="886"/>
      <c r="L4" s="242"/>
      <c r="M4" s="886"/>
      <c r="N4" s="240" t="s">
        <v>4201</v>
      </c>
      <c r="O4" s="240"/>
      <c r="P4" s="240"/>
      <c r="Q4" s="238"/>
      <c r="R4" s="389"/>
      <c r="S4" s="690"/>
      <c r="U4" s="219"/>
    </row>
    <row r="5" spans="2:22" ht="90.6" customHeight="1" thickTop="1">
      <c r="B5" s="2734" t="s">
        <v>4202</v>
      </c>
      <c r="C5" s="2715" t="s">
        <v>15411</v>
      </c>
      <c r="D5" s="2715"/>
      <c r="E5" s="2717"/>
      <c r="F5" s="908"/>
      <c r="G5" s="2811" t="s">
        <v>4208</v>
      </c>
      <c r="H5" s="261"/>
      <c r="I5" s="2811" t="s">
        <v>4209</v>
      </c>
      <c r="K5" s="886"/>
      <c r="L5" s="242"/>
      <c r="M5" s="886"/>
      <c r="N5" s="240"/>
      <c r="O5" s="240"/>
      <c r="P5" s="240"/>
      <c r="Q5" s="241"/>
      <c r="R5" s="389"/>
      <c r="S5" s="2734" t="s">
        <v>4202</v>
      </c>
      <c r="T5" s="2715" t="s">
        <v>15411</v>
      </c>
      <c r="U5" s="2715"/>
      <c r="V5" s="2717"/>
    </row>
    <row r="6" spans="2:22" s="197" customFormat="1" ht="23.25" customHeight="1">
      <c r="B6" s="2817"/>
      <c r="C6" s="427" t="s">
        <v>6380</v>
      </c>
      <c r="D6" s="427" t="s">
        <v>6381</v>
      </c>
      <c r="E6" s="428" t="s">
        <v>4425</v>
      </c>
      <c r="F6" s="731"/>
      <c r="G6" s="2812"/>
      <c r="H6" s="261"/>
      <c r="I6" s="2812"/>
      <c r="J6" s="260"/>
      <c r="K6" s="886"/>
      <c r="L6" s="242"/>
      <c r="M6" s="886"/>
      <c r="N6" s="206" t="s">
        <v>4210</v>
      </c>
      <c r="O6" s="206"/>
      <c r="P6" s="206"/>
      <c r="Q6" s="886"/>
      <c r="R6" s="389"/>
      <c r="S6" s="2817"/>
      <c r="T6" s="427" t="s">
        <v>6380</v>
      </c>
      <c r="U6" s="427" t="s">
        <v>6381</v>
      </c>
      <c r="V6" s="428" t="s">
        <v>4425</v>
      </c>
    </row>
    <row r="7" spans="2:22" s="197" customFormat="1" ht="30.75" customHeight="1">
      <c r="B7" s="429" t="s">
        <v>630</v>
      </c>
      <c r="C7" s="427" t="s">
        <v>15412</v>
      </c>
      <c r="D7" s="427" t="s">
        <v>15412</v>
      </c>
      <c r="E7" s="428" t="s">
        <v>15412</v>
      </c>
      <c r="F7" s="731"/>
      <c r="G7" s="2812"/>
      <c r="H7" s="261"/>
      <c r="I7" s="2812"/>
      <c r="K7" s="886"/>
      <c r="L7" s="242"/>
      <c r="M7" s="886"/>
      <c r="N7" s="206"/>
      <c r="O7" s="206"/>
      <c r="P7" s="206"/>
      <c r="Q7" s="886"/>
      <c r="R7" s="389"/>
      <c r="S7" s="429" t="s">
        <v>630</v>
      </c>
      <c r="T7" s="427" t="s">
        <v>15412</v>
      </c>
      <c r="U7" s="427" t="s">
        <v>15412</v>
      </c>
      <c r="V7" s="428" t="s">
        <v>15412</v>
      </c>
    </row>
    <row r="8" spans="2:22" s="197" customFormat="1" ht="30.75" customHeight="1" thickBot="1">
      <c r="B8" s="430" t="s">
        <v>4204</v>
      </c>
      <c r="C8" s="271">
        <v>3</v>
      </c>
      <c r="D8" s="271">
        <v>3</v>
      </c>
      <c r="E8" s="672">
        <v>3</v>
      </c>
      <c r="F8" s="731"/>
      <c r="G8" s="2813"/>
      <c r="H8" s="261"/>
      <c r="I8" s="2813"/>
      <c r="K8" s="886"/>
      <c r="L8" s="242"/>
      <c r="M8" s="886"/>
      <c r="N8" s="206"/>
      <c r="O8" s="206"/>
      <c r="P8" s="206"/>
      <c r="Q8" s="886"/>
      <c r="R8" s="389"/>
      <c r="S8" s="430" t="s">
        <v>4204</v>
      </c>
      <c r="T8" s="271">
        <v>3</v>
      </c>
      <c r="U8" s="271">
        <v>3</v>
      </c>
      <c r="V8" s="672">
        <v>3</v>
      </c>
    </row>
    <row r="9" spans="2:22" s="197" customFormat="1" ht="16.8" thickTop="1" thickBot="1">
      <c r="B9" s="415"/>
      <c r="C9" s="415"/>
      <c r="D9" s="415"/>
      <c r="E9" s="349"/>
      <c r="F9" s="106"/>
      <c r="G9" s="582"/>
      <c r="H9" s="261"/>
      <c r="K9" s="886"/>
      <c r="L9" s="242"/>
      <c r="M9" s="886"/>
      <c r="N9" s="242"/>
      <c r="O9" s="242"/>
      <c r="P9" s="242"/>
      <c r="Q9" s="886"/>
      <c r="R9" s="389"/>
      <c r="S9" s="415"/>
      <c r="T9" s="415"/>
      <c r="U9" s="415"/>
      <c r="V9" s="349"/>
    </row>
    <row r="10" spans="2:22" s="197" customFormat="1" ht="16.8" thickTop="1" thickBot="1">
      <c r="B10" s="393" t="s">
        <v>15413</v>
      </c>
      <c r="C10" s="242"/>
      <c r="D10" s="242"/>
      <c r="E10" s="482"/>
      <c r="F10" s="106"/>
      <c r="G10" s="582"/>
      <c r="H10" s="261"/>
      <c r="K10" s="886"/>
      <c r="L10" s="242"/>
      <c r="M10" s="886"/>
      <c r="N10" s="242"/>
      <c r="O10" s="242"/>
      <c r="P10" s="242"/>
      <c r="Q10" s="886"/>
      <c r="R10" s="389"/>
      <c r="S10" s="393" t="s">
        <v>15413</v>
      </c>
      <c r="T10" s="242"/>
      <c r="U10" s="242"/>
      <c r="V10" s="482"/>
    </row>
    <row r="11" spans="2:22" s="197" customFormat="1" ht="16.2" thickTop="1">
      <c r="B11" s="451" t="s">
        <v>15414</v>
      </c>
      <c r="C11" s="2130">
        <v>1089.4639999999999</v>
      </c>
      <c r="D11" s="2130">
        <v>10534.447</v>
      </c>
      <c r="E11" s="2134">
        <f>IFERROR(SUM(C11:D11),0)</f>
        <v>11623.911</v>
      </c>
      <c r="F11" s="106"/>
      <c r="G11" s="1040" t="s">
        <v>15415</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15414</v>
      </c>
      <c r="T11" s="2130" t="s">
        <v>15416</v>
      </c>
      <c r="U11" s="2130" t="s">
        <v>15417</v>
      </c>
      <c r="V11" s="2134" t="s">
        <v>15418</v>
      </c>
    </row>
    <row r="12" spans="2:22" s="197" customFormat="1">
      <c r="B12" s="460" t="s">
        <v>15419</v>
      </c>
      <c r="C12" s="2131">
        <v>1089.4639999999999</v>
      </c>
      <c r="D12" s="2131">
        <v>10534.447</v>
      </c>
      <c r="E12" s="2135">
        <f>IFERROR(SUM(C12:D12),0)</f>
        <v>11623.911</v>
      </c>
      <c r="F12" s="106"/>
      <c r="G12" s="1041" t="s">
        <v>15420</v>
      </c>
      <c r="H12" s="261"/>
      <c r="I12" s="2344"/>
      <c r="K12" s="886"/>
      <c r="L12" s="1792">
        <f t="shared" ref="L12:L17" si="1">IF( SUM( N12:P12 ) = 0, 0, $N$6 )</f>
        <v>0</v>
      </c>
      <c r="M12" s="886"/>
      <c r="N12" s="1793"/>
      <c r="O12" s="1793"/>
      <c r="P12" s="242"/>
      <c r="Q12" s="886"/>
      <c r="R12" s="389"/>
      <c r="S12" s="460" t="s">
        <v>15419</v>
      </c>
      <c r="T12" s="2505" t="s">
        <v>17590</v>
      </c>
      <c r="U12" s="2131" t="s">
        <v>17591</v>
      </c>
      <c r="V12" s="2135" t="s">
        <v>17592</v>
      </c>
    </row>
    <row r="13" spans="2:22" s="197" customFormat="1">
      <c r="B13" s="460" t="s">
        <v>15421</v>
      </c>
      <c r="C13" s="2131">
        <v>587.61400000000003</v>
      </c>
      <c r="D13" s="2131">
        <v>39873.771999999997</v>
      </c>
      <c r="E13" s="2135">
        <f t="shared" ref="E13:E14" si="2">IFERROR(SUM(C13:D13),0)</f>
        <v>40461.385999999999</v>
      </c>
      <c r="F13" s="106"/>
      <c r="G13" s="1041" t="s">
        <v>15422</v>
      </c>
      <c r="H13" s="261"/>
      <c r="I13" s="558"/>
      <c r="K13" s="886"/>
      <c r="L13" s="1792">
        <f t="shared" si="1"/>
        <v>0</v>
      </c>
      <c r="M13" s="886"/>
      <c r="N13" s="1793">
        <f t="shared" ref="N13:N14" si="3" xml:space="preserve"> IF( ISNUMBER(C13 ), 0, 1 )</f>
        <v>0</v>
      </c>
      <c r="O13" s="1793">
        <f t="shared" si="0"/>
        <v>0</v>
      </c>
      <c r="P13" s="242"/>
      <c r="Q13" s="886"/>
      <c r="R13" s="389"/>
      <c r="S13" s="460" t="s">
        <v>15421</v>
      </c>
      <c r="T13" s="2131" t="s">
        <v>15423</v>
      </c>
      <c r="U13" s="2131" t="s">
        <v>15424</v>
      </c>
      <c r="V13" s="2135" t="s">
        <v>15425</v>
      </c>
    </row>
    <row r="14" spans="2:22" s="197" customFormat="1">
      <c r="B14" s="460" t="s">
        <v>15426</v>
      </c>
      <c r="C14" s="2131">
        <v>2938.6790000000001</v>
      </c>
      <c r="D14" s="2131">
        <v>4469.0510000000004</v>
      </c>
      <c r="E14" s="2135">
        <f t="shared" si="2"/>
        <v>7407.7300000000005</v>
      </c>
      <c r="F14" s="106"/>
      <c r="G14" s="1041" t="s">
        <v>15427</v>
      </c>
      <c r="H14" s="261"/>
      <c r="I14" s="558"/>
      <c r="K14" s="886"/>
      <c r="L14" s="1792">
        <f t="shared" si="1"/>
        <v>0</v>
      </c>
      <c r="M14" s="886"/>
      <c r="N14" s="1793">
        <f t="shared" si="3"/>
        <v>0</v>
      </c>
      <c r="O14" s="1793">
        <f t="shared" si="0"/>
        <v>0</v>
      </c>
      <c r="P14" s="242"/>
      <c r="Q14" s="886"/>
      <c r="R14" s="389"/>
      <c r="S14" s="460" t="s">
        <v>15426</v>
      </c>
      <c r="T14" s="2131" t="s">
        <v>15428</v>
      </c>
      <c r="U14" s="2131" t="s">
        <v>15429</v>
      </c>
      <c r="V14" s="2135" t="s">
        <v>15430</v>
      </c>
    </row>
    <row r="15" spans="2:22" s="197" customFormat="1">
      <c r="B15" s="460" t="s">
        <v>15431</v>
      </c>
      <c r="C15" s="2479">
        <v>0</v>
      </c>
      <c r="D15" s="2479">
        <v>0</v>
      </c>
      <c r="E15" s="2476">
        <f>IFERROR(SUM(C15:D15),0)</f>
        <v>0</v>
      </c>
      <c r="F15" s="106"/>
      <c r="G15" s="1041" t="s">
        <v>15432</v>
      </c>
      <c r="H15" s="261"/>
      <c r="I15" s="2349"/>
      <c r="K15" s="886"/>
      <c r="L15" s="1792">
        <f t="shared" si="1"/>
        <v>0</v>
      </c>
      <c r="M15" s="886"/>
      <c r="N15" s="1793"/>
      <c r="O15" s="1793"/>
      <c r="P15" s="1806"/>
      <c r="Q15" s="1806"/>
      <c r="R15" s="389"/>
      <c r="S15" s="460" t="s">
        <v>15431</v>
      </c>
      <c r="T15" s="2479" t="s">
        <v>17593</v>
      </c>
      <c r="U15" s="2479" t="s">
        <v>17594</v>
      </c>
      <c r="V15" s="2476" t="s">
        <v>17595</v>
      </c>
    </row>
    <row r="16" spans="2:22" s="197" customFormat="1">
      <c r="B16" s="460" t="s">
        <v>15433</v>
      </c>
      <c r="C16" s="2480">
        <f>IFERROR(SUM(C13:C15,C11),0)</f>
        <v>4615.7569999999996</v>
      </c>
      <c r="D16" s="2480">
        <f>IFERROR(SUM(D13:D15,D11),0)</f>
        <v>54877.27</v>
      </c>
      <c r="E16" s="2476">
        <f>IFERROR(SUM(E13:E15,E11),0)</f>
        <v>59493.027000000002</v>
      </c>
      <c r="F16" s="106"/>
      <c r="G16" s="1041" t="s">
        <v>15434</v>
      </c>
      <c r="H16" s="261"/>
      <c r="I16" s="2349"/>
      <c r="K16" s="886"/>
      <c r="L16" s="1792">
        <f t="shared" si="1"/>
        <v>0</v>
      </c>
      <c r="M16" s="886"/>
      <c r="N16" s="1793"/>
      <c r="O16" s="1793"/>
      <c r="P16" s="242"/>
      <c r="Q16" s="886"/>
      <c r="R16" s="389"/>
      <c r="S16" s="460" t="s">
        <v>15433</v>
      </c>
      <c r="T16" s="2480" t="s">
        <v>17596</v>
      </c>
      <c r="U16" s="2480" t="s">
        <v>17597</v>
      </c>
      <c r="V16" s="2476" t="s">
        <v>17598</v>
      </c>
    </row>
    <row r="17" spans="2:22" s="197" customFormat="1" ht="16.2" thickBot="1">
      <c r="B17" s="463" t="s">
        <v>15435</v>
      </c>
      <c r="C17" s="2478">
        <f>IFERROR(SUM(C12:C15),0)</f>
        <v>4615.7569999999996</v>
      </c>
      <c r="D17" s="2478">
        <f>IFERROR(SUM(D12:D15),0)</f>
        <v>54877.27</v>
      </c>
      <c r="E17" s="2477">
        <f>IFERROR(SUM(E12:E15),0)</f>
        <v>59493.027000000002</v>
      </c>
      <c r="F17" s="106"/>
      <c r="G17" s="1043" t="s">
        <v>15436</v>
      </c>
      <c r="H17" s="261"/>
      <c r="I17" s="560"/>
      <c r="K17" s="886"/>
      <c r="L17" s="1792">
        <f t="shared" si="1"/>
        <v>0</v>
      </c>
      <c r="M17" s="886"/>
      <c r="N17" s="242"/>
      <c r="O17" s="242"/>
      <c r="P17" s="242"/>
      <c r="Q17" s="886"/>
      <c r="R17" s="389"/>
      <c r="S17" s="463" t="s">
        <v>15435</v>
      </c>
      <c r="T17" s="2478" t="s">
        <v>15437</v>
      </c>
      <c r="U17" s="2478" t="s">
        <v>15438</v>
      </c>
      <c r="V17" s="2477" t="s">
        <v>15439</v>
      </c>
    </row>
    <row r="18" spans="2:22" s="197" customFormat="1" ht="16.8" thickTop="1" thickBot="1">
      <c r="C18" s="2161"/>
      <c r="D18" s="2161"/>
      <c r="E18" s="2346"/>
      <c r="G18" s="197" t="s">
        <v>8787</v>
      </c>
      <c r="H18" s="261"/>
      <c r="K18" s="886"/>
      <c r="L18" s="242"/>
      <c r="M18" s="886"/>
      <c r="N18" s="242"/>
      <c r="O18" s="242"/>
      <c r="P18" s="242"/>
      <c r="Q18" s="886"/>
      <c r="R18" s="389"/>
      <c r="T18" s="2161"/>
      <c r="U18" s="2161"/>
      <c r="V18" s="2346"/>
    </row>
    <row r="19" spans="2:22" s="197" customFormat="1" ht="19.2" thickTop="1">
      <c r="B19" s="451" t="s">
        <v>15440</v>
      </c>
      <c r="C19" s="2130">
        <v>3971.768</v>
      </c>
      <c r="D19" s="2130">
        <v>14885.169</v>
      </c>
      <c r="E19" s="2134">
        <f>IFERROR(SUM(C19:D19),0)</f>
        <v>18856.936999999998</v>
      </c>
      <c r="F19" s="106"/>
      <c r="G19" s="1040" t="s">
        <v>15441</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15440</v>
      </c>
      <c r="T19" s="2130" t="s">
        <v>15442</v>
      </c>
      <c r="U19" s="2130" t="s">
        <v>15443</v>
      </c>
      <c r="V19" s="2134" t="s">
        <v>15444</v>
      </c>
    </row>
    <row r="20" spans="2:22" s="197" customFormat="1" ht="18.600000000000001">
      <c r="B20" s="460" t="s">
        <v>15445</v>
      </c>
      <c r="C20" s="2131">
        <v>0.71899999999999997</v>
      </c>
      <c r="D20" s="2131">
        <v>14098.584000000001</v>
      </c>
      <c r="E20" s="2135">
        <f t="shared" ref="E20:E22" si="6">IFERROR(SUM(C20:D20),0)</f>
        <v>14099.303</v>
      </c>
      <c r="F20" s="106"/>
      <c r="G20" s="1041" t="s">
        <v>15446</v>
      </c>
      <c r="H20" s="261"/>
      <c r="I20" s="291"/>
      <c r="K20" s="886"/>
      <c r="L20" s="1792">
        <f t="shared" si="4"/>
        <v>0</v>
      </c>
      <c r="M20" s="886"/>
      <c r="N20" s="1793">
        <f t="shared" si="5"/>
        <v>0</v>
      </c>
      <c r="O20" s="1793">
        <f t="shared" si="5"/>
        <v>0</v>
      </c>
      <c r="P20" s="242"/>
      <c r="Q20" s="886"/>
      <c r="R20" s="389"/>
      <c r="S20" s="460" t="s">
        <v>15445</v>
      </c>
      <c r="T20" s="2131" t="s">
        <v>15447</v>
      </c>
      <c r="U20" s="2131" t="s">
        <v>15448</v>
      </c>
      <c r="V20" s="2135" t="s">
        <v>15449</v>
      </c>
    </row>
    <row r="21" spans="2:22" s="197" customFormat="1" ht="18.600000000000001">
      <c r="B21" s="460" t="s">
        <v>15450</v>
      </c>
      <c r="C21" s="2131">
        <v>55.655999999999999</v>
      </c>
      <c r="D21" s="2131">
        <v>21409.317999999999</v>
      </c>
      <c r="E21" s="2476">
        <f t="shared" si="6"/>
        <v>21464.973999999998</v>
      </c>
      <c r="F21" s="106"/>
      <c r="G21" s="1041" t="s">
        <v>15451</v>
      </c>
      <c r="H21" s="261"/>
      <c r="I21" s="291"/>
      <c r="K21" s="886"/>
      <c r="L21" s="1792">
        <f t="shared" si="4"/>
        <v>0</v>
      </c>
      <c r="M21" s="886"/>
      <c r="N21" s="1793">
        <f t="shared" si="5"/>
        <v>0</v>
      </c>
      <c r="O21" s="1793">
        <f t="shared" si="5"/>
        <v>0</v>
      </c>
      <c r="P21" s="242"/>
      <c r="Q21" s="886"/>
      <c r="R21" s="389"/>
      <c r="S21" s="460" t="s">
        <v>15450</v>
      </c>
      <c r="T21" s="2131" t="s">
        <v>15452</v>
      </c>
      <c r="U21" s="2131" t="s">
        <v>15453</v>
      </c>
      <c r="V21" s="2476" t="s">
        <v>15454</v>
      </c>
    </row>
    <row r="22" spans="2:22" s="197" customFormat="1" ht="16.2" thickBot="1">
      <c r="B22" s="463" t="s">
        <v>15455</v>
      </c>
      <c r="C22" s="2132">
        <v>0</v>
      </c>
      <c r="D22" s="2132">
        <v>0</v>
      </c>
      <c r="E22" s="2477">
        <f t="shared" si="6"/>
        <v>0</v>
      </c>
      <c r="F22" s="106"/>
      <c r="G22" s="1043" t="s">
        <v>15456</v>
      </c>
      <c r="H22" s="261"/>
      <c r="I22" s="302"/>
      <c r="K22" s="886"/>
      <c r="L22" s="1792"/>
      <c r="M22" s="886"/>
      <c r="N22" s="1793"/>
      <c r="O22" s="1793"/>
      <c r="P22" s="242"/>
      <c r="Q22" s="886"/>
      <c r="R22" s="389"/>
      <c r="S22" s="463" t="s">
        <v>15455</v>
      </c>
      <c r="T22" s="2132" t="s">
        <v>17599</v>
      </c>
      <c r="U22" s="2132" t="s">
        <v>17600</v>
      </c>
      <c r="V22" s="2477" t="s">
        <v>17601</v>
      </c>
    </row>
    <row r="23" spans="2:22" s="197" customFormat="1" ht="16.8" thickTop="1" thickBot="1">
      <c r="B23" s="1272"/>
      <c r="C23" s="2347"/>
      <c r="D23" s="2347"/>
      <c r="E23" s="2163"/>
      <c r="F23" s="106"/>
      <c r="G23" s="565" t="s">
        <v>8787</v>
      </c>
      <c r="H23" s="261"/>
      <c r="K23" s="886"/>
      <c r="L23" s="242"/>
      <c r="M23" s="886"/>
      <c r="N23" s="242"/>
      <c r="O23" s="242"/>
      <c r="P23" s="242"/>
      <c r="Q23" s="886"/>
      <c r="R23" s="389"/>
      <c r="S23" s="1272"/>
      <c r="T23" s="2347"/>
      <c r="U23" s="2347"/>
      <c r="V23" s="2163"/>
    </row>
    <row r="24" spans="2:22" s="197" customFormat="1" ht="16.8" thickTop="1" thickBot="1">
      <c r="B24" s="1786" t="s">
        <v>15457</v>
      </c>
      <c r="C24" s="2348"/>
      <c r="D24" s="2348"/>
      <c r="E24" s="2164"/>
      <c r="F24" s="106"/>
      <c r="G24" s="582" t="s">
        <v>8787</v>
      </c>
      <c r="H24" s="261"/>
      <c r="K24" s="886"/>
      <c r="L24" s="242"/>
      <c r="M24" s="886"/>
      <c r="N24" s="242"/>
      <c r="O24" s="242"/>
      <c r="P24" s="242"/>
      <c r="Q24" s="886"/>
      <c r="R24" s="389"/>
      <c r="S24" s="1786" t="s">
        <v>15457</v>
      </c>
      <c r="T24" s="2348"/>
      <c r="U24" s="2348"/>
      <c r="V24" s="2164"/>
    </row>
    <row r="25" spans="2:22" s="197" customFormat="1" ht="16.2" thickTop="1">
      <c r="B25" s="451" t="s">
        <v>15458</v>
      </c>
      <c r="C25" s="2130">
        <v>44305.82</v>
      </c>
      <c r="D25" s="2130">
        <v>39557.54</v>
      </c>
      <c r="E25" s="2134">
        <f>IFERROR(SUM(C25:D25),0)</f>
        <v>83863.360000000001</v>
      </c>
      <c r="F25" s="106"/>
      <c r="G25" s="1040" t="s">
        <v>15459</v>
      </c>
      <c r="H25" s="261"/>
      <c r="I25" s="557"/>
      <c r="K25" s="886"/>
      <c r="L25" s="1792">
        <f>IF( SUM( N25:P25 ) = 0, 0, $N$6 )</f>
        <v>0</v>
      </c>
      <c r="M25" s="886"/>
      <c r="N25" s="1793">
        <f t="shared" ref="N25:O29" si="7" xml:space="preserve"> IF( ISNUMBER(C25 ), 0, 1 )</f>
        <v>0</v>
      </c>
      <c r="O25" s="1793">
        <f t="shared" si="7"/>
        <v>0</v>
      </c>
      <c r="P25" s="242"/>
      <c r="Q25" s="886"/>
      <c r="R25" s="389"/>
      <c r="S25" s="451" t="s">
        <v>15458</v>
      </c>
      <c r="T25" s="2130" t="s">
        <v>15460</v>
      </c>
      <c r="U25" s="2130" t="s">
        <v>15461</v>
      </c>
      <c r="V25" s="2134" t="s">
        <v>15462</v>
      </c>
    </row>
    <row r="26" spans="2:22" s="197" customFormat="1">
      <c r="B26" s="460" t="s">
        <v>15463</v>
      </c>
      <c r="C26" s="2131">
        <v>6261.89</v>
      </c>
      <c r="D26" s="2131">
        <v>5590.8</v>
      </c>
      <c r="E26" s="2135">
        <f t="shared" ref="E26:E29" si="8">IFERROR(SUM(C26:D26),0)</f>
        <v>11852.69</v>
      </c>
      <c r="F26" s="106"/>
      <c r="G26" s="1041" t="s">
        <v>15464</v>
      </c>
      <c r="H26" s="261"/>
      <c r="I26" s="558"/>
      <c r="K26" s="886"/>
      <c r="L26" s="1792">
        <f t="shared" ref="L26:L29" si="9">IF( SUM( N26:P26 ) = 0, 0, $N$6 )</f>
        <v>0</v>
      </c>
      <c r="M26" s="886"/>
      <c r="N26" s="1793">
        <f t="shared" si="7"/>
        <v>0</v>
      </c>
      <c r="O26" s="1793">
        <f t="shared" si="7"/>
        <v>0</v>
      </c>
      <c r="P26" s="242"/>
      <c r="Q26" s="886"/>
      <c r="R26" s="389"/>
      <c r="S26" s="460" t="s">
        <v>15463</v>
      </c>
      <c r="T26" s="2131" t="s">
        <v>15465</v>
      </c>
      <c r="U26" s="2131" t="s">
        <v>15466</v>
      </c>
      <c r="V26" s="2135" t="s">
        <v>15467</v>
      </c>
    </row>
    <row r="27" spans="2:22" s="197" customFormat="1">
      <c r="B27" s="460" t="s">
        <v>15468</v>
      </c>
      <c r="C27" s="2131">
        <v>0</v>
      </c>
      <c r="D27" s="2131">
        <v>0</v>
      </c>
      <c r="E27" s="2135">
        <f t="shared" si="8"/>
        <v>0</v>
      </c>
      <c r="F27" s="106"/>
      <c r="G27" s="1041" t="s">
        <v>15469</v>
      </c>
      <c r="H27" s="261"/>
      <c r="I27" s="558"/>
      <c r="K27" s="886"/>
      <c r="L27" s="1792">
        <f t="shared" si="9"/>
        <v>0</v>
      </c>
      <c r="M27" s="886"/>
      <c r="N27" s="1793">
        <f t="shared" si="7"/>
        <v>0</v>
      </c>
      <c r="O27" s="1793">
        <f t="shared" si="7"/>
        <v>0</v>
      </c>
      <c r="P27" s="242"/>
      <c r="Q27" s="886"/>
      <c r="R27" s="389"/>
      <c r="S27" s="460" t="s">
        <v>15468</v>
      </c>
      <c r="T27" s="2131" t="s">
        <v>15470</v>
      </c>
      <c r="U27" s="2131" t="s">
        <v>15471</v>
      </c>
      <c r="V27" s="2135" t="s">
        <v>15472</v>
      </c>
    </row>
    <row r="28" spans="2:22" s="197" customFormat="1">
      <c r="B28" s="460" t="s">
        <v>15473</v>
      </c>
      <c r="C28" s="2131">
        <v>0</v>
      </c>
      <c r="D28" s="2131">
        <v>0</v>
      </c>
      <c r="E28" s="2135">
        <f t="shared" si="8"/>
        <v>0</v>
      </c>
      <c r="F28" s="106"/>
      <c r="G28" s="1041" t="s">
        <v>15474</v>
      </c>
      <c r="H28" s="261"/>
      <c r="I28" s="558"/>
      <c r="K28" s="886"/>
      <c r="L28" s="1792">
        <f t="shared" si="9"/>
        <v>0</v>
      </c>
      <c r="M28" s="886"/>
      <c r="N28" s="1793">
        <f t="shared" si="7"/>
        <v>0</v>
      </c>
      <c r="O28" s="1793">
        <f t="shared" si="7"/>
        <v>0</v>
      </c>
      <c r="P28" s="242"/>
      <c r="Q28" s="886"/>
      <c r="R28" s="389"/>
      <c r="S28" s="460" t="s">
        <v>15473</v>
      </c>
      <c r="T28" s="2131" t="s">
        <v>15475</v>
      </c>
      <c r="U28" s="2131" t="s">
        <v>15476</v>
      </c>
      <c r="V28" s="2135" t="s">
        <v>15477</v>
      </c>
    </row>
    <row r="29" spans="2:22" s="197" customFormat="1">
      <c r="B29" s="460" t="s">
        <v>15478</v>
      </c>
      <c r="C29" s="2131">
        <v>0</v>
      </c>
      <c r="D29" s="2131">
        <v>0</v>
      </c>
      <c r="E29" s="2135">
        <f t="shared" si="8"/>
        <v>0</v>
      </c>
      <c r="F29" s="106"/>
      <c r="G29" s="1041" t="s">
        <v>15479</v>
      </c>
      <c r="H29" s="261"/>
      <c r="I29" s="558"/>
      <c r="K29" s="886"/>
      <c r="L29" s="1792">
        <f t="shared" si="9"/>
        <v>0</v>
      </c>
      <c r="M29" s="886"/>
      <c r="N29" s="1793">
        <f t="shared" si="7"/>
        <v>0</v>
      </c>
      <c r="O29" s="1793">
        <f t="shared" si="7"/>
        <v>0</v>
      </c>
      <c r="P29" s="242"/>
      <c r="Q29" s="886"/>
      <c r="R29" s="389"/>
      <c r="S29" s="460" t="s">
        <v>15478</v>
      </c>
      <c r="T29" s="2131" t="s">
        <v>15480</v>
      </c>
      <c r="U29" s="2131" t="s">
        <v>15481</v>
      </c>
      <c r="V29" s="2135" t="s">
        <v>15482</v>
      </c>
    </row>
    <row r="30" spans="2:22" s="197" customFormat="1">
      <c r="B30" s="460" t="s">
        <v>15483</v>
      </c>
      <c r="C30" s="2480">
        <f>IFERROR(SUM(C25,C27:C29),0)</f>
        <v>44305.82</v>
      </c>
      <c r="D30" s="2480">
        <f>IFERROR(SUM(D25,D27:D29),0)</f>
        <v>39557.54</v>
      </c>
      <c r="E30" s="2476">
        <f>IFERROR(SUM(E27:E29,E25),0)</f>
        <v>83863.360000000001</v>
      </c>
      <c r="F30" s="106"/>
      <c r="G30" s="1041" t="s">
        <v>15484</v>
      </c>
      <c r="H30" s="261"/>
      <c r="I30" s="2349"/>
      <c r="K30" s="886"/>
      <c r="L30" s="1792"/>
      <c r="M30" s="886"/>
      <c r="N30" s="1793"/>
      <c r="O30" s="1793"/>
      <c r="P30" s="242"/>
      <c r="Q30" s="886"/>
      <c r="R30" s="389"/>
      <c r="S30" s="460" t="s">
        <v>15483</v>
      </c>
      <c r="T30" s="2480" t="s">
        <v>17602</v>
      </c>
      <c r="U30" s="2480" t="s">
        <v>17603</v>
      </c>
      <c r="V30" s="2476" t="s">
        <v>17604</v>
      </c>
    </row>
    <row r="31" spans="2:22" s="197" customFormat="1" ht="16.2" thickBot="1">
      <c r="B31" s="463" t="s">
        <v>15485</v>
      </c>
      <c r="C31" s="2478">
        <f>IFERROR(SUM(C26:C29),0)</f>
        <v>6261.89</v>
      </c>
      <c r="D31" s="2478">
        <f>IFERROR(SUM(D26:D29),0)</f>
        <v>5590.8</v>
      </c>
      <c r="E31" s="2477">
        <f>IFERROR(SUM(E26:E29),0)</f>
        <v>11852.69</v>
      </c>
      <c r="F31" s="106"/>
      <c r="G31" s="1043" t="s">
        <v>15486</v>
      </c>
      <c r="H31" s="261"/>
      <c r="I31" s="560"/>
      <c r="K31" s="886"/>
      <c r="L31" s="1792"/>
      <c r="M31" s="886"/>
      <c r="N31" s="242"/>
      <c r="O31" s="242"/>
      <c r="P31" s="242"/>
      <c r="Q31" s="886"/>
      <c r="R31" s="389"/>
      <c r="S31" s="463" t="s">
        <v>15485</v>
      </c>
      <c r="T31" s="2478" t="s">
        <v>15487</v>
      </c>
      <c r="U31" s="2478" t="s">
        <v>15488</v>
      </c>
      <c r="V31" s="2477" t="s">
        <v>15489</v>
      </c>
    </row>
    <row r="32" spans="2:22" s="197" customFormat="1" ht="16.8" thickTop="1" thickBot="1">
      <c r="B32" s="174"/>
      <c r="C32" s="2157"/>
      <c r="D32" s="2157"/>
      <c r="E32" s="2165"/>
      <c r="F32" s="106"/>
      <c r="G32" s="174" t="s">
        <v>8787</v>
      </c>
      <c r="H32" s="261"/>
      <c r="I32" s="1791"/>
      <c r="K32" s="886"/>
      <c r="L32" s="1792"/>
      <c r="M32" s="886"/>
      <c r="N32" s="242"/>
      <c r="O32" s="242"/>
      <c r="P32" s="242"/>
      <c r="Q32" s="886"/>
      <c r="R32" s="389"/>
      <c r="S32" s="174"/>
      <c r="T32" s="2157"/>
      <c r="U32" s="2157"/>
      <c r="V32" s="2165"/>
    </row>
    <row r="33" spans="1:22" s="197" customFormat="1" ht="19.2" thickTop="1">
      <c r="B33" s="451" t="s">
        <v>15490</v>
      </c>
      <c r="C33" s="2130">
        <v>43808.65</v>
      </c>
      <c r="D33" s="2130">
        <v>39113.64</v>
      </c>
      <c r="E33" s="2134">
        <f>IFERROR(SUM(C33:D33),0)</f>
        <v>82922.290000000008</v>
      </c>
      <c r="F33" s="106"/>
      <c r="G33" s="1040" t="s">
        <v>15491</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15490</v>
      </c>
      <c r="T33" s="2130" t="s">
        <v>15492</v>
      </c>
      <c r="U33" s="2130" t="s">
        <v>15493</v>
      </c>
      <c r="V33" s="2134" t="s">
        <v>15494</v>
      </c>
    </row>
    <row r="34" spans="1:22" s="197" customFormat="1" ht="18.600000000000001">
      <c r="B34" s="460" t="s">
        <v>15495</v>
      </c>
      <c r="C34" s="2131">
        <v>183.29</v>
      </c>
      <c r="D34" s="2131">
        <v>163.65</v>
      </c>
      <c r="E34" s="2135">
        <f t="shared" ref="E34:E35" si="12">IFERROR(SUM(C34:D34),0)</f>
        <v>346.94</v>
      </c>
      <c r="F34" s="106"/>
      <c r="G34" s="1041" t="s">
        <v>15496</v>
      </c>
      <c r="H34" s="261"/>
      <c r="I34" s="291"/>
      <c r="K34" s="886"/>
      <c r="L34" s="1792">
        <f t="shared" si="10"/>
        <v>0</v>
      </c>
      <c r="M34" s="886"/>
      <c r="N34" s="1793">
        <f t="shared" si="11"/>
        <v>0</v>
      </c>
      <c r="O34" s="1793">
        <f t="shared" si="11"/>
        <v>0</v>
      </c>
      <c r="P34" s="242"/>
      <c r="Q34" s="886"/>
      <c r="R34" s="389"/>
      <c r="S34" s="460" t="s">
        <v>15495</v>
      </c>
      <c r="T34" s="2131" t="s">
        <v>15497</v>
      </c>
      <c r="U34" s="2131" t="s">
        <v>15498</v>
      </c>
      <c r="V34" s="2135" t="s">
        <v>15499</v>
      </c>
    </row>
    <row r="35" spans="1:22" s="197" customFormat="1" ht="18.600000000000001">
      <c r="B35" s="460" t="s">
        <v>15500</v>
      </c>
      <c r="C35" s="2131">
        <v>313.88</v>
      </c>
      <c r="D35" s="2131">
        <v>280.25</v>
      </c>
      <c r="E35" s="2135">
        <f t="shared" si="12"/>
        <v>594.13</v>
      </c>
      <c r="F35" s="106"/>
      <c r="G35" s="1041" t="s">
        <v>15501</v>
      </c>
      <c r="H35" s="261"/>
      <c r="I35" s="291"/>
      <c r="K35" s="886"/>
      <c r="L35" s="1792">
        <f t="shared" si="10"/>
        <v>0</v>
      </c>
      <c r="M35" s="886"/>
      <c r="N35" s="1793">
        <f t="shared" si="11"/>
        <v>0</v>
      </c>
      <c r="O35" s="1793">
        <f t="shared" si="11"/>
        <v>0</v>
      </c>
      <c r="P35" s="242"/>
      <c r="Q35" s="886"/>
      <c r="R35" s="389"/>
      <c r="S35" s="460" t="s">
        <v>15500</v>
      </c>
      <c r="T35" s="2131" t="s">
        <v>15502</v>
      </c>
      <c r="U35" s="2131" t="s">
        <v>15503</v>
      </c>
      <c r="V35" s="2135" t="s">
        <v>15504</v>
      </c>
    </row>
    <row r="36" spans="1:22" s="197" customFormat="1" ht="16.2" thickBot="1">
      <c r="B36" s="463" t="s">
        <v>15505</v>
      </c>
      <c r="C36" s="2132">
        <v>0</v>
      </c>
      <c r="D36" s="2132">
        <v>0</v>
      </c>
      <c r="E36" s="2477">
        <f>IFERROR(SUM(C36:D36),0)</f>
        <v>0</v>
      </c>
      <c r="F36" s="106"/>
      <c r="G36" s="1043" t="s">
        <v>15506</v>
      </c>
      <c r="H36" s="261"/>
      <c r="I36" s="302"/>
      <c r="K36" s="886"/>
      <c r="L36" s="1792"/>
      <c r="M36" s="886"/>
      <c r="N36" s="1793"/>
      <c r="O36" s="1793"/>
      <c r="P36" s="242"/>
      <c r="Q36" s="886"/>
      <c r="R36" s="389"/>
      <c r="S36" s="463" t="s">
        <v>15505</v>
      </c>
      <c r="T36" s="2132" t="s">
        <v>17605</v>
      </c>
      <c r="U36" s="2132" t="s">
        <v>17606</v>
      </c>
      <c r="V36" s="2477" t="s">
        <v>17607</v>
      </c>
    </row>
    <row r="37" spans="1:22" s="197" customFormat="1" ht="16.8" thickTop="1" thickBot="1">
      <c r="A37" s="219"/>
      <c r="B37" s="242"/>
      <c r="C37" s="2158"/>
      <c r="D37" s="2158"/>
      <c r="E37" s="2350"/>
      <c r="F37" s="242"/>
      <c r="G37" s="242" t="s">
        <v>8787</v>
      </c>
      <c r="H37" s="261"/>
      <c r="I37" s="242"/>
      <c r="J37" s="242"/>
      <c r="K37" s="886"/>
      <c r="L37" s="242"/>
      <c r="M37" s="886"/>
      <c r="N37" s="242"/>
      <c r="O37" s="242"/>
      <c r="P37" s="242"/>
      <c r="Q37" s="886"/>
      <c r="R37" s="389"/>
      <c r="S37" s="242"/>
      <c r="T37" s="2158"/>
      <c r="U37" s="2158"/>
      <c r="V37" s="2350"/>
    </row>
    <row r="38" spans="1:22" s="197" customFormat="1" ht="16.8" thickTop="1" thickBot="1">
      <c r="B38" s="1786" t="s">
        <v>15507</v>
      </c>
      <c r="C38" s="2158"/>
      <c r="D38" s="2158"/>
      <c r="E38" s="2350"/>
      <c r="F38" s="242"/>
      <c r="G38" s="242" t="s">
        <v>8787</v>
      </c>
      <c r="H38" s="261"/>
      <c r="I38" s="242"/>
      <c r="J38" s="242"/>
      <c r="K38" s="886"/>
      <c r="L38" s="242"/>
      <c r="M38" s="886"/>
      <c r="N38" s="242"/>
      <c r="O38" s="242"/>
      <c r="P38" s="242"/>
      <c r="Q38" s="886"/>
      <c r="R38" s="389"/>
      <c r="S38" s="1786" t="s">
        <v>15507</v>
      </c>
      <c r="T38" s="2158"/>
      <c r="U38" s="2158"/>
      <c r="V38" s="2350"/>
    </row>
    <row r="39" spans="1:22" s="197" customFormat="1" ht="16.2" thickTop="1">
      <c r="B39" s="451" t="s">
        <v>15508</v>
      </c>
      <c r="C39" s="2130">
        <v>270.8</v>
      </c>
      <c r="D39" s="2130">
        <v>270.8</v>
      </c>
      <c r="E39" s="2134">
        <f>IFERROR(SUM(C39:D39),0)</f>
        <v>541.6</v>
      </c>
      <c r="F39" s="106"/>
      <c r="G39" s="1040" t="s">
        <v>15509</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15508</v>
      </c>
      <c r="T39" s="2130" t="s">
        <v>15510</v>
      </c>
      <c r="U39" s="2130" t="s">
        <v>15511</v>
      </c>
      <c r="V39" s="2134" t="s">
        <v>15512</v>
      </c>
    </row>
    <row r="40" spans="1:22" s="197" customFormat="1">
      <c r="B40" s="460" t="s">
        <v>15513</v>
      </c>
      <c r="C40" s="2131">
        <v>1327.75</v>
      </c>
      <c r="D40" s="2131">
        <v>3699.68</v>
      </c>
      <c r="E40" s="2135">
        <f t="shared" ref="E40:E46" si="15">IFERROR(SUM(C40:D40),0)</f>
        <v>5027.43</v>
      </c>
      <c r="F40" s="106"/>
      <c r="G40" s="1041" t="s">
        <v>15514</v>
      </c>
      <c r="H40" s="261"/>
      <c r="I40" s="558"/>
      <c r="K40" s="886"/>
      <c r="L40" s="1792">
        <f t="shared" si="13"/>
        <v>0</v>
      </c>
      <c r="M40" s="886"/>
      <c r="N40" s="1793">
        <f t="shared" si="14"/>
        <v>0</v>
      </c>
      <c r="O40" s="1793">
        <f t="shared" si="14"/>
        <v>0</v>
      </c>
      <c r="P40" s="242"/>
      <c r="Q40" s="886"/>
      <c r="R40" s="389"/>
      <c r="S40" s="460" t="s">
        <v>15513</v>
      </c>
      <c r="T40" s="2131" t="s">
        <v>15515</v>
      </c>
      <c r="U40" s="2131" t="s">
        <v>15516</v>
      </c>
      <c r="V40" s="2135" t="s">
        <v>15517</v>
      </c>
    </row>
    <row r="41" spans="1:22" s="197" customFormat="1" ht="30">
      <c r="B41" s="460" t="s">
        <v>15518</v>
      </c>
      <c r="C41" s="2131">
        <v>14649.61</v>
      </c>
      <c r="D41" s="2131">
        <v>13072.22</v>
      </c>
      <c r="E41" s="2135">
        <f>IFERROR(SUM(C41:D41),0)</f>
        <v>27721.83</v>
      </c>
      <c r="F41" s="106"/>
      <c r="G41" s="1041" t="s">
        <v>15519</v>
      </c>
      <c r="H41" s="261"/>
      <c r="I41" s="558"/>
      <c r="K41" s="886"/>
      <c r="L41" s="2345"/>
      <c r="M41" s="886"/>
      <c r="N41" s="1793"/>
      <c r="O41" s="1793"/>
      <c r="P41" s="1806"/>
      <c r="Q41" s="1806"/>
      <c r="R41" s="389"/>
      <c r="S41" s="460" t="s">
        <v>15518</v>
      </c>
      <c r="T41" s="2131" t="s">
        <v>17608</v>
      </c>
      <c r="U41" s="2131" t="s">
        <v>17609</v>
      </c>
      <c r="V41" s="2135" t="s">
        <v>17610</v>
      </c>
    </row>
    <row r="42" spans="1:22" s="197" customFormat="1" ht="30">
      <c r="B42" s="460" t="s">
        <v>15520</v>
      </c>
      <c r="C42" s="2131">
        <v>4053</v>
      </c>
      <c r="D42" s="2131">
        <v>3618.64</v>
      </c>
      <c r="E42" s="2135">
        <f t="shared" si="15"/>
        <v>7671.6399999999994</v>
      </c>
      <c r="F42" s="106"/>
      <c r="G42" s="1041" t="s">
        <v>15521</v>
      </c>
      <c r="H42" s="261"/>
      <c r="I42" s="558"/>
      <c r="K42" s="886"/>
      <c r="L42" s="2345"/>
      <c r="M42" s="886"/>
      <c r="N42" s="1793"/>
      <c r="O42" s="1793"/>
      <c r="P42" s="1806"/>
      <c r="Q42" s="1806"/>
      <c r="R42" s="389"/>
      <c r="S42" s="460" t="s">
        <v>15520</v>
      </c>
      <c r="T42" s="2131" t="s">
        <v>17611</v>
      </c>
      <c r="U42" s="2131" t="s">
        <v>17612</v>
      </c>
      <c r="V42" s="2135" t="s">
        <v>17613</v>
      </c>
    </row>
    <row r="43" spans="1:22" s="197" customFormat="1">
      <c r="B43" s="460" t="s">
        <v>15522</v>
      </c>
      <c r="C43" s="2131">
        <v>47.085000000000001</v>
      </c>
      <c r="D43" s="2131">
        <v>1728.335</v>
      </c>
      <c r="E43" s="2135">
        <f t="shared" si="15"/>
        <v>1775.42</v>
      </c>
      <c r="F43" s="106"/>
      <c r="G43" s="1041" t="s">
        <v>15523</v>
      </c>
      <c r="H43" s="261"/>
      <c r="I43" s="558"/>
      <c r="K43" s="886"/>
      <c r="L43" s="2345"/>
      <c r="M43" s="886"/>
      <c r="N43" s="1793"/>
      <c r="O43" s="1793"/>
      <c r="P43" s="1806"/>
      <c r="Q43" s="1806"/>
      <c r="R43" s="389"/>
      <c r="S43" s="460" t="s">
        <v>15522</v>
      </c>
      <c r="T43" s="2131" t="s">
        <v>17614</v>
      </c>
      <c r="U43" s="2131" t="s">
        <v>17615</v>
      </c>
      <c r="V43" s="2135" t="s">
        <v>17616</v>
      </c>
    </row>
    <row r="44" spans="1:22" s="197" customFormat="1">
      <c r="B44" s="460" t="s">
        <v>15524</v>
      </c>
      <c r="C44" s="2131">
        <v>1624.213</v>
      </c>
      <c r="D44" s="2131">
        <v>1096.45</v>
      </c>
      <c r="E44" s="2135">
        <f t="shared" si="15"/>
        <v>2720.663</v>
      </c>
      <c r="F44" s="106"/>
      <c r="G44" s="1041" t="s">
        <v>15526</v>
      </c>
      <c r="H44" s="261"/>
      <c r="I44" s="558"/>
      <c r="K44" s="886"/>
      <c r="L44" s="2345"/>
      <c r="M44" s="886"/>
      <c r="N44" s="1793"/>
      <c r="O44" s="1793"/>
      <c r="P44" s="1806"/>
      <c r="Q44" s="1806"/>
      <c r="R44" s="389"/>
      <c r="S44" s="460"/>
      <c r="T44" s="2131" t="s">
        <v>17617</v>
      </c>
      <c r="U44" s="2131" t="s">
        <v>17618</v>
      </c>
      <c r="V44" s="2135" t="s">
        <v>17619</v>
      </c>
    </row>
    <row r="45" spans="1:22" s="197" customFormat="1">
      <c r="B45" s="460" t="s">
        <v>15525</v>
      </c>
      <c r="C45" s="2131">
        <v>3304.86</v>
      </c>
      <c r="D45" s="2131">
        <v>2088.9899999999998</v>
      </c>
      <c r="E45" s="2135">
        <f t="shared" si="15"/>
        <v>5393.85</v>
      </c>
      <c r="F45" s="106"/>
      <c r="G45" s="1041" t="s">
        <v>15529</v>
      </c>
      <c r="H45" s="261"/>
      <c r="I45" s="558"/>
      <c r="K45" s="886"/>
      <c r="L45" s="2345"/>
      <c r="M45" s="886"/>
      <c r="N45" s="1793"/>
      <c r="O45" s="1793"/>
      <c r="P45" s="1806"/>
      <c r="Q45" s="1806"/>
      <c r="R45" s="389"/>
      <c r="S45" s="460" t="s">
        <v>15527</v>
      </c>
      <c r="T45" s="2131" t="s">
        <v>17620</v>
      </c>
      <c r="U45" s="2131" t="s">
        <v>17621</v>
      </c>
      <c r="V45" s="2135" t="s">
        <v>17622</v>
      </c>
    </row>
    <row r="46" spans="1:22" s="197" customFormat="1">
      <c r="B46" s="460" t="s">
        <v>15528</v>
      </c>
      <c r="C46" s="2131">
        <v>0</v>
      </c>
      <c r="D46" s="2131">
        <v>6431.49</v>
      </c>
      <c r="E46" s="2135">
        <f t="shared" si="15"/>
        <v>6431.49</v>
      </c>
      <c r="F46" s="106"/>
      <c r="G46" s="1041" t="s">
        <v>15532</v>
      </c>
      <c r="H46" s="261"/>
      <c r="I46" s="558"/>
      <c r="K46" s="886"/>
      <c r="L46" s="2345"/>
      <c r="M46" s="886"/>
      <c r="N46" s="1793"/>
      <c r="O46" s="1793"/>
      <c r="P46" s="1806"/>
      <c r="Q46" s="1806"/>
      <c r="R46" s="389"/>
      <c r="S46" s="460" t="s">
        <v>15530</v>
      </c>
      <c r="T46" s="2131" t="s">
        <v>17623</v>
      </c>
      <c r="U46" s="2131" t="s">
        <v>17624</v>
      </c>
      <c r="V46" s="2135" t="s">
        <v>17625</v>
      </c>
    </row>
    <row r="47" spans="1:22" s="197" customFormat="1">
      <c r="B47" s="460" t="s">
        <v>15531</v>
      </c>
      <c r="C47" s="2481">
        <f>IFERROR(SUM(C39:C41, C43:C46),0)</f>
        <v>21224.317999999999</v>
      </c>
      <c r="D47" s="2481">
        <f>IFERROR(SUM(D39:D41, D43:D46),0)</f>
        <v>28387.964999999997</v>
      </c>
      <c r="E47" s="2482">
        <f>IFERROR(SUM(E39:E41, E43:E46),0)</f>
        <v>49612.282999999996</v>
      </c>
      <c r="F47" s="106"/>
      <c r="G47" s="1041" t="s">
        <v>15534</v>
      </c>
      <c r="H47" s="261"/>
      <c r="I47" s="558"/>
      <c r="K47" s="886"/>
      <c r="L47" s="1792"/>
      <c r="M47" s="886"/>
      <c r="N47" s="1793"/>
      <c r="O47" s="1793"/>
      <c r="P47" s="242"/>
      <c r="Q47" s="886"/>
      <c r="R47" s="389"/>
      <c r="S47" s="460" t="s">
        <v>15531</v>
      </c>
      <c r="T47" s="2481" t="s">
        <v>17626</v>
      </c>
      <c r="U47" s="2481" t="s">
        <v>17627</v>
      </c>
      <c r="V47" s="2482" t="s">
        <v>17628</v>
      </c>
    </row>
    <row r="48" spans="1:22" s="197" customFormat="1" ht="16.2" thickBot="1">
      <c r="B48" s="463" t="s">
        <v>15533</v>
      </c>
      <c r="C48" s="1787">
        <f>IFERROR(SUM(C39:C40, C42:C46),0)</f>
        <v>10627.708000000001</v>
      </c>
      <c r="D48" s="1787">
        <f>IFERROR(SUM(D39:D40, D42:D46),0)</f>
        <v>18934.385000000002</v>
      </c>
      <c r="E48" s="2483">
        <f>IFERROR(SUM(E39:E40, E42:E46),0)</f>
        <v>29562.093000000001</v>
      </c>
      <c r="F48" s="106"/>
      <c r="G48" s="1043" t="s">
        <v>15536</v>
      </c>
      <c r="H48" s="261"/>
      <c r="I48" s="560"/>
      <c r="K48" s="886"/>
      <c r="L48" s="1792"/>
      <c r="M48" s="886"/>
      <c r="N48" s="1793"/>
      <c r="O48" s="1793"/>
      <c r="P48" s="242"/>
      <c r="Q48" s="886"/>
      <c r="R48" s="389"/>
      <c r="S48" s="463" t="s">
        <v>15533</v>
      </c>
      <c r="T48" s="1787" t="s">
        <v>17629</v>
      </c>
      <c r="U48" s="1787" t="s">
        <v>17630</v>
      </c>
      <c r="V48" s="2483" t="s">
        <v>17631</v>
      </c>
    </row>
    <row r="49" spans="1:22" s="197" customFormat="1" ht="16.8" thickTop="1" thickBot="1">
      <c r="B49" s="365"/>
      <c r="C49" s="2351"/>
      <c r="D49" s="2351"/>
      <c r="E49" s="2352"/>
      <c r="F49" s="365"/>
      <c r="G49" s="365" t="s">
        <v>8787</v>
      </c>
      <c r="H49" s="261"/>
      <c r="I49" s="770"/>
      <c r="K49" s="886"/>
      <c r="L49" s="242"/>
      <c r="M49" s="886"/>
      <c r="N49" s="242"/>
      <c r="O49" s="242"/>
      <c r="P49" s="242"/>
      <c r="Q49" s="886"/>
      <c r="R49" s="389"/>
      <c r="S49" s="365"/>
      <c r="T49" s="2351"/>
      <c r="U49" s="2351"/>
      <c r="V49" s="2352"/>
    </row>
    <row r="50" spans="1:22" s="197" customFormat="1" ht="19.8" thickTop="1" thickBot="1">
      <c r="A50" s="219"/>
      <c r="B50" s="451" t="s">
        <v>15535</v>
      </c>
      <c r="C50" s="2130">
        <v>0</v>
      </c>
      <c r="D50" s="2130">
        <v>0</v>
      </c>
      <c r="E50" s="2134">
        <f t="shared" ref="E50:E52" si="16">IFERROR(SUM(C50:D50),0)</f>
        <v>0</v>
      </c>
      <c r="F50" s="106"/>
      <c r="G50" s="1040" t="s">
        <v>15541</v>
      </c>
      <c r="H50" s="261"/>
      <c r="I50" s="1796" t="s">
        <v>18836</v>
      </c>
      <c r="J50" s="242"/>
      <c r="K50" s="886"/>
      <c r="L50" s="1792">
        <f t="shared" ref="L50:L52" si="17">IF( SUM( N50:P50 ) = 0, 0, $N$6 )</f>
        <v>0</v>
      </c>
      <c r="M50" s="886"/>
      <c r="N50" s="1793">
        <f t="shared" ref="N50:O52" si="18" xml:space="preserve"> IF( ISNUMBER(C50 ), 0, 1 )</f>
        <v>0</v>
      </c>
      <c r="O50" s="1793">
        <f t="shared" si="18"/>
        <v>0</v>
      </c>
      <c r="P50" s="242"/>
      <c r="Q50" s="886"/>
      <c r="R50" s="389"/>
      <c r="S50" s="451" t="s">
        <v>15535</v>
      </c>
      <c r="T50" s="2130" t="s">
        <v>15537</v>
      </c>
      <c r="U50" s="2130" t="s">
        <v>15538</v>
      </c>
      <c r="V50" s="2134" t="s">
        <v>15539</v>
      </c>
    </row>
    <row r="51" spans="1:22" s="197" customFormat="1" ht="19.8" thickTop="1" thickBot="1">
      <c r="A51" s="219"/>
      <c r="B51" s="460" t="s">
        <v>15540</v>
      </c>
      <c r="C51" s="2131">
        <v>0</v>
      </c>
      <c r="D51" s="2131">
        <v>0</v>
      </c>
      <c r="E51" s="2135">
        <f t="shared" si="16"/>
        <v>0</v>
      </c>
      <c r="F51" s="106"/>
      <c r="G51" s="1041" t="s">
        <v>15546</v>
      </c>
      <c r="H51" s="261"/>
      <c r="I51" s="1796" t="s">
        <v>18837</v>
      </c>
      <c r="J51" s="242"/>
      <c r="K51" s="886"/>
      <c r="L51" s="1792">
        <f t="shared" si="17"/>
        <v>0</v>
      </c>
      <c r="M51" s="886"/>
      <c r="N51" s="1793">
        <f t="shared" si="18"/>
        <v>0</v>
      </c>
      <c r="O51" s="1793">
        <f t="shared" si="18"/>
        <v>0</v>
      </c>
      <c r="P51" s="242"/>
      <c r="Q51" s="886"/>
      <c r="R51" s="389"/>
      <c r="S51" s="460" t="s">
        <v>15540</v>
      </c>
      <c r="T51" s="2131" t="s">
        <v>15542</v>
      </c>
      <c r="U51" s="2131" t="s">
        <v>15543</v>
      </c>
      <c r="V51" s="2135" t="s">
        <v>15544</v>
      </c>
    </row>
    <row r="52" spans="1:22" s="197" customFormat="1" ht="19.8" thickTop="1" thickBot="1">
      <c r="A52" s="219"/>
      <c r="B52" s="460" t="s">
        <v>15545</v>
      </c>
      <c r="C52" s="2131">
        <v>0</v>
      </c>
      <c r="D52" s="2131">
        <v>0</v>
      </c>
      <c r="E52" s="2135">
        <f t="shared" si="16"/>
        <v>0</v>
      </c>
      <c r="F52" s="106"/>
      <c r="G52" s="1041" t="s">
        <v>15551</v>
      </c>
      <c r="H52" s="261"/>
      <c r="I52" s="1796" t="s">
        <v>18837</v>
      </c>
      <c r="J52" s="242"/>
      <c r="K52" s="886"/>
      <c r="L52" s="1792">
        <f t="shared" si="17"/>
        <v>0</v>
      </c>
      <c r="M52" s="886"/>
      <c r="N52" s="1793">
        <f t="shared" si="18"/>
        <v>0</v>
      </c>
      <c r="O52" s="1793">
        <f t="shared" si="18"/>
        <v>0</v>
      </c>
      <c r="P52" s="242"/>
      <c r="Q52" s="886"/>
      <c r="R52" s="389"/>
      <c r="S52" s="460" t="s">
        <v>15545</v>
      </c>
      <c r="T52" s="2131" t="s">
        <v>15547</v>
      </c>
      <c r="U52" s="2131" t="s">
        <v>15548</v>
      </c>
      <c r="V52" s="2135" t="s">
        <v>15549</v>
      </c>
    </row>
    <row r="53" spans="1:22" s="197" customFormat="1" ht="16.8" thickTop="1" thickBot="1">
      <c r="B53" s="463" t="s">
        <v>15550</v>
      </c>
      <c r="C53" s="2132">
        <v>0</v>
      </c>
      <c r="D53" s="2132">
        <v>0</v>
      </c>
      <c r="E53" s="2136">
        <f>IFERROR(SUM(C53:D53),0)</f>
        <v>0</v>
      </c>
      <c r="F53" s="106"/>
      <c r="G53" s="1043" t="s">
        <v>15554</v>
      </c>
      <c r="H53" s="261"/>
      <c r="I53" s="1796" t="s">
        <v>18837</v>
      </c>
      <c r="K53" s="886"/>
      <c r="L53" s="1792"/>
      <c r="M53" s="886"/>
      <c r="N53" s="1793"/>
      <c r="O53" s="1793"/>
      <c r="P53" s="242"/>
      <c r="Q53" s="886"/>
      <c r="R53" s="389"/>
      <c r="S53" s="463" t="s">
        <v>15550</v>
      </c>
      <c r="T53" s="2132" t="s">
        <v>17632</v>
      </c>
      <c r="U53" s="2132" t="s">
        <v>17633</v>
      </c>
      <c r="V53" s="2136" t="s">
        <v>17634</v>
      </c>
    </row>
    <row r="54" spans="1:22" s="197" customFormat="1" ht="16.8" thickTop="1" thickBot="1">
      <c r="A54" s="219"/>
      <c r="B54" s="242"/>
      <c r="C54" s="2158"/>
      <c r="D54" s="2158"/>
      <c r="E54" s="2350"/>
      <c r="F54" s="242"/>
      <c r="G54" s="242" t="s">
        <v>8787</v>
      </c>
      <c r="H54" s="261"/>
      <c r="I54" s="242"/>
      <c r="J54" s="242"/>
      <c r="K54" s="886"/>
      <c r="L54" s="242"/>
      <c r="M54" s="886"/>
      <c r="N54" s="242"/>
      <c r="O54" s="242"/>
      <c r="P54" s="242"/>
      <c r="Q54" s="886"/>
      <c r="R54" s="389"/>
      <c r="S54" s="242"/>
      <c r="T54" s="2158"/>
      <c r="U54" s="2158"/>
      <c r="V54" s="2350"/>
    </row>
    <row r="55" spans="1:22" s="197" customFormat="1" ht="16.8" thickTop="1" thickBot="1">
      <c r="B55" s="393" t="s">
        <v>15552</v>
      </c>
      <c r="C55" s="2348"/>
      <c r="D55" s="2348"/>
      <c r="E55" s="2164"/>
      <c r="F55" s="106"/>
      <c r="G55" s="582" t="s">
        <v>8787</v>
      </c>
      <c r="H55" s="261"/>
      <c r="K55" s="886"/>
      <c r="L55" s="242"/>
      <c r="M55" s="886"/>
      <c r="N55" s="242"/>
      <c r="O55" s="242"/>
      <c r="P55" s="242"/>
      <c r="Q55" s="886"/>
      <c r="R55" s="389"/>
      <c r="S55" s="393" t="s">
        <v>15552</v>
      </c>
      <c r="T55" s="2348"/>
      <c r="U55" s="2348"/>
      <c r="V55" s="2164"/>
    </row>
    <row r="56" spans="1:22" s="197" customFormat="1" ht="16.2" thickTop="1">
      <c r="B56" s="451" t="s">
        <v>15553</v>
      </c>
      <c r="C56" s="2484">
        <f>IFERROR(SUM(C16+C30+C47),0)</f>
        <v>70145.89499999999</v>
      </c>
      <c r="D56" s="2484">
        <f>IFERROR(SUM(D16+D30+D47),0)</f>
        <v>122822.77499999999</v>
      </c>
      <c r="E56" s="2134">
        <f>IFERROR(SUM(C56:D56),0)</f>
        <v>192968.66999999998</v>
      </c>
      <c r="F56" s="106"/>
      <c r="G56" s="1040" t="s">
        <v>15559</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15553</v>
      </c>
      <c r="T56" s="2484" t="s">
        <v>15555</v>
      </c>
      <c r="U56" s="2484" t="s">
        <v>15556</v>
      </c>
      <c r="V56" s="2134" t="s">
        <v>15557</v>
      </c>
    </row>
    <row r="57" spans="1:22" s="197" customFormat="1" ht="16.2" thickBot="1">
      <c r="B57" s="463" t="s">
        <v>15558</v>
      </c>
      <c r="C57" s="2485">
        <f>IFERROR(SUM(C17+C31+C48),0)</f>
        <v>21505.355000000003</v>
      </c>
      <c r="D57" s="2485">
        <f>IFERROR(SUM(D17+D31+D48),0)</f>
        <v>79402.455000000002</v>
      </c>
      <c r="E57" s="2136">
        <f t="shared" ref="E57" si="21">IFERROR(SUM(C57:D57),0)</f>
        <v>100907.81</v>
      </c>
      <c r="F57" s="242"/>
      <c r="G57" s="1043" t="s">
        <v>15565</v>
      </c>
      <c r="H57" s="261"/>
      <c r="I57" s="1794"/>
      <c r="K57" s="886"/>
      <c r="L57" s="1792">
        <f t="shared" si="19"/>
        <v>0</v>
      </c>
      <c r="M57" s="886"/>
      <c r="N57" s="1793">
        <f t="shared" si="20"/>
        <v>0</v>
      </c>
      <c r="O57" s="1793">
        <f t="shared" si="20"/>
        <v>0</v>
      </c>
      <c r="P57" s="242"/>
      <c r="Q57" s="886"/>
      <c r="R57" s="389"/>
      <c r="S57" s="463" t="s">
        <v>15558</v>
      </c>
      <c r="T57" s="2485" t="s">
        <v>15560</v>
      </c>
      <c r="U57" s="2485" t="s">
        <v>15561</v>
      </c>
      <c r="V57" s="2136" t="s">
        <v>15562</v>
      </c>
    </row>
    <row r="58" spans="1:22" s="197" customFormat="1" ht="16.8" thickTop="1" thickBot="1">
      <c r="A58" s="2353"/>
      <c r="B58" s="2350"/>
      <c r="C58" s="2158"/>
      <c r="D58" s="2158"/>
      <c r="E58" s="2350"/>
      <c r="F58" s="2350"/>
      <c r="G58" s="2350" t="s">
        <v>8787</v>
      </c>
      <c r="H58" s="261"/>
      <c r="I58" s="2350"/>
      <c r="J58" s="2350"/>
      <c r="K58" s="886"/>
      <c r="L58" s="242"/>
      <c r="M58" s="886"/>
      <c r="N58" s="242"/>
      <c r="O58" s="242"/>
      <c r="P58" s="242"/>
      <c r="Q58" s="886"/>
      <c r="R58" s="389"/>
      <c r="S58" s="2350"/>
      <c r="T58" s="2158"/>
      <c r="U58" s="2158"/>
      <c r="V58" s="2350"/>
    </row>
    <row r="59" spans="1:22" s="197" customFormat="1" ht="16.8" thickTop="1" thickBot="1">
      <c r="B59" s="1786" t="s">
        <v>15563</v>
      </c>
      <c r="C59" s="2158"/>
      <c r="D59" s="2158"/>
      <c r="E59" s="2350"/>
      <c r="F59" s="2350"/>
      <c r="G59" s="2350" t="s">
        <v>8787</v>
      </c>
      <c r="H59" s="261"/>
      <c r="I59" s="2350"/>
      <c r="K59" s="886"/>
      <c r="L59" s="242"/>
      <c r="M59" s="886"/>
      <c r="N59" s="242"/>
      <c r="O59" s="242"/>
      <c r="P59" s="242"/>
      <c r="Q59" s="886"/>
      <c r="R59" s="389"/>
      <c r="S59" s="1786" t="s">
        <v>15563</v>
      </c>
      <c r="T59" s="2158"/>
      <c r="U59" s="2158"/>
      <c r="V59" s="2350"/>
    </row>
    <row r="60" spans="1:22" s="197" customFormat="1" ht="16.2" thickTop="1">
      <c r="B60" s="1795" t="s">
        <v>15564</v>
      </c>
      <c r="C60" s="2486">
        <v>5485.17</v>
      </c>
      <c r="D60" s="2486">
        <v>1063.6500000000001</v>
      </c>
      <c r="E60" s="2134">
        <f t="shared" ref="E60:E63" si="22">IFERROR(SUM(C60:D60),0)</f>
        <v>6548.82</v>
      </c>
      <c r="F60" s="2350"/>
      <c r="G60" s="1040" t="s">
        <v>15570</v>
      </c>
      <c r="H60" s="261"/>
      <c r="I60" s="1796" t="s">
        <v>18835</v>
      </c>
      <c r="K60" s="886"/>
      <c r="L60" s="1792">
        <f t="shared" ref="L60:L63" si="23">IF( SUM( N60:P60 ) = 0, 0, $N$6 )</f>
        <v>0</v>
      </c>
      <c r="M60" s="886"/>
      <c r="N60" s="242"/>
      <c r="O60" s="242"/>
      <c r="P60" s="1793">
        <f t="shared" ref="P60:P64" si="24" xml:space="preserve"> IF( ISNUMBER(E60 ), 0, 1 )</f>
        <v>0</v>
      </c>
      <c r="Q60" s="886"/>
      <c r="R60" s="389"/>
      <c r="S60" s="1795" t="s">
        <v>15564</v>
      </c>
      <c r="T60" s="2486" t="s">
        <v>15566</v>
      </c>
      <c r="U60" s="2486" t="s">
        <v>15567</v>
      </c>
      <c r="V60" s="2134" t="s">
        <v>15568</v>
      </c>
    </row>
    <row r="61" spans="1:22" s="197" customFormat="1">
      <c r="B61" s="1797" t="s">
        <v>15569</v>
      </c>
      <c r="C61" s="2487">
        <v>0</v>
      </c>
      <c r="D61" s="2487">
        <v>3858.52</v>
      </c>
      <c r="E61" s="2135">
        <f t="shared" si="22"/>
        <v>3858.52</v>
      </c>
      <c r="F61" s="2350"/>
      <c r="G61" s="1041" t="s">
        <v>15575</v>
      </c>
      <c r="H61" s="261"/>
      <c r="I61" s="1203"/>
      <c r="K61" s="886"/>
      <c r="L61" s="1792">
        <f t="shared" si="23"/>
        <v>0</v>
      </c>
      <c r="M61" s="886"/>
      <c r="N61" s="242"/>
      <c r="O61" s="242"/>
      <c r="P61" s="1793">
        <f t="shared" si="24"/>
        <v>0</v>
      </c>
      <c r="Q61" s="886"/>
      <c r="R61" s="389"/>
      <c r="S61" s="1797" t="s">
        <v>15569</v>
      </c>
      <c r="T61" s="2487" t="s">
        <v>15571</v>
      </c>
      <c r="U61" s="2487" t="s">
        <v>15572</v>
      </c>
      <c r="V61" s="2135" t="s">
        <v>15573</v>
      </c>
    </row>
    <row r="62" spans="1:22">
      <c r="B62" s="1797" t="s">
        <v>15574</v>
      </c>
      <c r="C62" s="2487">
        <v>0</v>
      </c>
      <c r="D62" s="2487">
        <v>0</v>
      </c>
      <c r="E62" s="2135">
        <f t="shared" si="22"/>
        <v>0</v>
      </c>
      <c r="G62" s="1041" t="s">
        <v>15577</v>
      </c>
      <c r="H62" s="261"/>
      <c r="I62" s="2488"/>
      <c r="J62" s="261"/>
      <c r="K62" s="886"/>
      <c r="M62" s="886"/>
      <c r="N62" s="241"/>
      <c r="O62" s="241"/>
      <c r="P62" s="241"/>
      <c r="Q62" s="241"/>
      <c r="R62" s="389"/>
      <c r="S62" s="2506" t="s">
        <v>15574</v>
      </c>
      <c r="T62" s="2487" t="s">
        <v>17635</v>
      </c>
      <c r="U62" s="2487" t="s">
        <v>17636</v>
      </c>
      <c r="V62" s="2135" t="s">
        <v>17637</v>
      </c>
    </row>
    <row r="63" spans="1:22" s="197" customFormat="1">
      <c r="B63" s="1797" t="s">
        <v>15576</v>
      </c>
      <c r="C63" s="2487">
        <v>0</v>
      </c>
      <c r="D63" s="2487">
        <v>0</v>
      </c>
      <c r="E63" s="2135">
        <f t="shared" si="22"/>
        <v>0</v>
      </c>
      <c r="F63" s="2350"/>
      <c r="G63" s="1041" t="s">
        <v>15582</v>
      </c>
      <c r="H63" s="261"/>
      <c r="I63" s="1203"/>
      <c r="K63" s="886"/>
      <c r="L63" s="1792">
        <f t="shared" si="23"/>
        <v>0</v>
      </c>
      <c r="M63" s="886"/>
      <c r="N63" s="242"/>
      <c r="O63" s="242"/>
      <c r="P63" s="1793">
        <f t="shared" si="24"/>
        <v>0</v>
      </c>
      <c r="Q63" s="886"/>
      <c r="R63" s="389"/>
      <c r="S63" s="1797" t="s">
        <v>15576</v>
      </c>
      <c r="T63" s="2487" t="s">
        <v>15578</v>
      </c>
      <c r="U63" s="2487" t="s">
        <v>15579</v>
      </c>
      <c r="V63" s="2135" t="s">
        <v>15580</v>
      </c>
    </row>
    <row r="64" spans="1:22" s="197" customFormat="1" ht="16.2" thickBot="1">
      <c r="B64" s="1798" t="s">
        <v>15581</v>
      </c>
      <c r="C64" s="2478">
        <f>IFERROR(SUM(C60:C63),0)</f>
        <v>5485.17</v>
      </c>
      <c r="D64" s="2478">
        <f>IFERROR(SUM(D60:D63),0)</f>
        <v>4922.17</v>
      </c>
      <c r="E64" s="2136">
        <f>IFERROR(SUM(E60:E63),0)</f>
        <v>10407.34</v>
      </c>
      <c r="F64" s="2350"/>
      <c r="G64" s="1043" t="s">
        <v>15588</v>
      </c>
      <c r="H64" s="261"/>
      <c r="I64" s="1794"/>
      <c r="K64" s="886"/>
      <c r="L64" s="242"/>
      <c r="M64" s="886"/>
      <c r="N64" s="242"/>
      <c r="O64" s="242"/>
      <c r="P64" s="1793">
        <f t="shared" si="24"/>
        <v>0</v>
      </c>
      <c r="Q64" s="886"/>
      <c r="R64" s="389"/>
      <c r="S64" s="1798" t="s">
        <v>15581</v>
      </c>
      <c r="T64" s="2478" t="s">
        <v>15583</v>
      </c>
      <c r="U64" s="2478" t="s">
        <v>15584</v>
      </c>
      <c r="V64" s="2136" t="s">
        <v>15585</v>
      </c>
    </row>
    <row r="65" spans="1:22" s="197" customFormat="1" ht="16.2" thickTop="1">
      <c r="B65" s="242"/>
      <c r="C65" s="2158"/>
      <c r="D65" s="2158"/>
      <c r="E65" s="2158"/>
      <c r="F65" s="2350"/>
      <c r="G65" s="174" t="s">
        <v>8787</v>
      </c>
      <c r="H65" s="261"/>
      <c r="I65" s="242"/>
      <c r="K65" s="886"/>
      <c r="L65" s="242"/>
      <c r="M65" s="886"/>
      <c r="N65" s="242"/>
      <c r="O65" s="242"/>
      <c r="P65" s="1793"/>
      <c r="Q65" s="886"/>
      <c r="R65" s="389"/>
      <c r="S65" s="242"/>
      <c r="T65" s="2158"/>
      <c r="U65" s="2158"/>
      <c r="V65" s="2158"/>
    </row>
    <row r="66" spans="1:22" s="197" customFormat="1" ht="16.2" thickBot="1">
      <c r="B66" s="242"/>
      <c r="C66" s="2158"/>
      <c r="D66" s="2158"/>
      <c r="E66" s="2158"/>
      <c r="F66" s="242"/>
      <c r="G66" s="242" t="s">
        <v>8787</v>
      </c>
      <c r="H66" s="261"/>
      <c r="I66" s="242"/>
      <c r="K66" s="886"/>
      <c r="L66" s="242"/>
      <c r="M66" s="886"/>
      <c r="N66" s="242"/>
      <c r="O66" s="242"/>
      <c r="P66" s="242"/>
      <c r="Q66" s="886"/>
      <c r="R66" s="389"/>
      <c r="S66" s="242"/>
      <c r="T66" s="2158"/>
      <c r="U66" s="2158"/>
      <c r="V66" s="2158"/>
    </row>
    <row r="67" spans="1:22" ht="16.8" thickTop="1" thickBot="1">
      <c r="A67" s="197"/>
      <c r="B67" s="1786" t="s">
        <v>15586</v>
      </c>
      <c r="C67" s="2158"/>
      <c r="D67" s="2158"/>
      <c r="E67" s="2354"/>
      <c r="F67" s="242"/>
      <c r="G67" s="242" t="s">
        <v>8787</v>
      </c>
      <c r="H67" s="261"/>
      <c r="I67" s="242"/>
      <c r="J67" s="197"/>
      <c r="K67" s="886"/>
      <c r="L67" s="242"/>
      <c r="M67" s="886"/>
      <c r="N67" s="242"/>
      <c r="O67" s="242"/>
      <c r="P67" s="242"/>
      <c r="Q67" s="886"/>
      <c r="R67" s="389"/>
      <c r="S67" s="1786" t="s">
        <v>15586</v>
      </c>
      <c r="T67" s="2158"/>
      <c r="U67" s="2158"/>
      <c r="V67" s="2354"/>
    </row>
    <row r="68" spans="1:22" ht="16.2" thickTop="1">
      <c r="A68" s="197"/>
      <c r="B68" s="451" t="s">
        <v>15587</v>
      </c>
      <c r="C68" s="2484">
        <f>IFERROR(C56-C64,0)</f>
        <v>64660.724999999991</v>
      </c>
      <c r="D68" s="2484">
        <f>IFERROR(D56-D64,0)</f>
        <v>117900.605</v>
      </c>
      <c r="E68" s="2134">
        <f t="shared" ref="E68" si="25">IFERROR(SUM(C68:D68),0)</f>
        <v>182561.33</v>
      </c>
      <c r="F68" s="242"/>
      <c r="G68" s="1040" t="s">
        <v>15593</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15587</v>
      </c>
      <c r="T68" s="2130" t="s">
        <v>15589</v>
      </c>
      <c r="U68" s="2130" t="s">
        <v>15590</v>
      </c>
      <c r="V68" s="2134" t="s">
        <v>15591</v>
      </c>
    </row>
    <row r="69" spans="1:22" ht="16.2" thickBot="1">
      <c r="A69" s="197"/>
      <c r="B69" s="463" t="s">
        <v>15592</v>
      </c>
      <c r="C69" s="2599">
        <f>IFERROR(C57,0)</f>
        <v>21505.355000000003</v>
      </c>
      <c r="D69" s="2599">
        <f>IFERROR(D57,0)</f>
        <v>79402.455000000002</v>
      </c>
      <c r="E69" s="2136">
        <f>IFERROR(SUM(C69:D69),0)</f>
        <v>100907.81</v>
      </c>
      <c r="F69" s="242"/>
      <c r="G69" s="1043" t="s">
        <v>15600</v>
      </c>
      <c r="H69" s="261"/>
      <c r="I69" s="560"/>
      <c r="J69" s="261"/>
      <c r="K69" s="886"/>
      <c r="L69" s="1792">
        <f t="shared" si="26"/>
        <v>0</v>
      </c>
      <c r="M69" s="886"/>
      <c r="N69" s="1793">
        <f t="shared" si="27"/>
        <v>0</v>
      </c>
      <c r="O69" s="1793">
        <f t="shared" si="27"/>
        <v>0</v>
      </c>
      <c r="P69" s="242"/>
      <c r="Q69" s="886"/>
      <c r="R69" s="389"/>
      <c r="S69" s="463" t="s">
        <v>15592</v>
      </c>
      <c r="T69" s="2132" t="s">
        <v>15594</v>
      </c>
      <c r="U69" s="2132" t="s">
        <v>15595</v>
      </c>
      <c r="V69" s="2136" t="s">
        <v>15596</v>
      </c>
    </row>
    <row r="70" spans="1:22" ht="16.8" thickTop="1" thickBot="1">
      <c r="A70" s="197"/>
      <c r="B70" s="242"/>
      <c r="C70" s="2158"/>
      <c r="D70" s="2158"/>
      <c r="E70" s="2158"/>
      <c r="F70" s="242"/>
      <c r="G70" s="242" t="s">
        <v>8787</v>
      </c>
      <c r="H70" s="261"/>
      <c r="I70" s="242"/>
      <c r="K70" s="886"/>
      <c r="L70" s="242"/>
      <c r="M70" s="886"/>
      <c r="N70" s="242"/>
      <c r="O70" s="242"/>
      <c r="P70" s="242"/>
      <c r="Q70" s="886"/>
      <c r="R70" s="389"/>
      <c r="S70" s="242"/>
      <c r="T70" s="2158"/>
      <c r="U70" s="2158"/>
      <c r="V70" s="2158"/>
    </row>
    <row r="71" spans="1:22" ht="16.2" thickTop="1">
      <c r="B71" s="652" t="s">
        <v>4202</v>
      </c>
      <c r="C71" s="2159" t="s">
        <v>6380</v>
      </c>
      <c r="D71" s="2160" t="s">
        <v>6381</v>
      </c>
      <c r="E71" s="2158"/>
      <c r="F71" s="242"/>
      <c r="G71" s="242" t="s">
        <v>8787</v>
      </c>
      <c r="H71" s="261"/>
      <c r="I71" s="242"/>
      <c r="K71" s="886"/>
      <c r="L71" s="242"/>
      <c r="M71" s="886"/>
      <c r="N71" s="242"/>
      <c r="O71" s="242"/>
      <c r="P71" s="242"/>
      <c r="Q71" s="886"/>
      <c r="R71" s="389"/>
      <c r="S71" s="652" t="s">
        <v>4202</v>
      </c>
      <c r="T71" s="2159" t="s">
        <v>6380</v>
      </c>
      <c r="U71" s="2160" t="s">
        <v>6381</v>
      </c>
      <c r="V71" s="2158"/>
    </row>
    <row r="72" spans="1:22" ht="18.600000000000001">
      <c r="B72" s="429" t="s">
        <v>630</v>
      </c>
      <c r="C72" s="2502" t="s">
        <v>15597</v>
      </c>
      <c r="D72" s="2503" t="s">
        <v>15597</v>
      </c>
      <c r="E72" s="2158"/>
      <c r="F72" s="197"/>
      <c r="G72" s="197" t="s">
        <v>8787</v>
      </c>
      <c r="H72" s="261"/>
      <c r="K72" s="886"/>
      <c r="L72" s="242"/>
      <c r="M72" s="886"/>
      <c r="N72" s="242"/>
      <c r="O72" s="242"/>
      <c r="P72" s="242"/>
      <c r="Q72" s="886"/>
      <c r="R72" s="389"/>
      <c r="S72" s="429" t="s">
        <v>630</v>
      </c>
      <c r="T72" s="2502" t="s">
        <v>15597</v>
      </c>
      <c r="U72" s="2503" t="s">
        <v>15597</v>
      </c>
      <c r="V72" s="2158"/>
    </row>
    <row r="73" spans="1:22" ht="16.2" thickBot="1">
      <c r="B73" s="430" t="s">
        <v>4204</v>
      </c>
      <c r="C73" s="2500">
        <v>3</v>
      </c>
      <c r="D73" s="2501">
        <v>3</v>
      </c>
      <c r="E73" s="2158"/>
      <c r="F73" s="197"/>
      <c r="G73" s="197" t="s">
        <v>8787</v>
      </c>
      <c r="H73" s="261"/>
      <c r="K73" s="886"/>
      <c r="L73" s="242"/>
      <c r="M73" s="886"/>
      <c r="N73" s="242"/>
      <c r="O73" s="242"/>
      <c r="P73" s="242"/>
      <c r="Q73" s="886"/>
      <c r="R73" s="389"/>
      <c r="S73" s="430" t="s">
        <v>4204</v>
      </c>
      <c r="T73" s="2500">
        <v>3</v>
      </c>
      <c r="U73" s="2501">
        <v>3</v>
      </c>
      <c r="V73" s="2158"/>
    </row>
    <row r="74" spans="1:22" ht="16.8" thickTop="1" thickBot="1">
      <c r="B74" s="197"/>
      <c r="C74" s="2161"/>
      <c r="D74" s="2161"/>
      <c r="E74" s="2162"/>
      <c r="F74" s="197"/>
      <c r="G74" s="197" t="s">
        <v>8787</v>
      </c>
      <c r="H74" s="261"/>
      <c r="K74" s="886"/>
      <c r="L74" s="242"/>
      <c r="M74" s="886"/>
      <c r="N74" s="242"/>
      <c r="O74" s="242"/>
      <c r="P74" s="242"/>
      <c r="Q74" s="886"/>
      <c r="R74" s="389"/>
      <c r="S74" s="197"/>
      <c r="T74" s="2161"/>
      <c r="U74" s="2161"/>
      <c r="V74" s="2162"/>
    </row>
    <row r="75" spans="1:22" ht="16.8" thickTop="1" thickBot="1">
      <c r="B75" s="393" t="s">
        <v>15598</v>
      </c>
      <c r="C75" s="2162"/>
      <c r="D75" s="2162"/>
      <c r="E75" s="2162"/>
      <c r="F75" s="197"/>
      <c r="G75" s="197" t="s">
        <v>8787</v>
      </c>
      <c r="H75" s="261"/>
      <c r="K75" s="886"/>
      <c r="L75" s="242"/>
      <c r="M75" s="886"/>
      <c r="N75" s="242"/>
      <c r="O75" s="242"/>
      <c r="P75" s="242"/>
      <c r="Q75" s="886"/>
      <c r="R75" s="389"/>
      <c r="S75" s="393" t="s">
        <v>15598</v>
      </c>
      <c r="T75" s="2162"/>
      <c r="U75" s="2162"/>
      <c r="V75" s="2162"/>
    </row>
    <row r="76" spans="1:22" ht="16.2" thickTop="1">
      <c r="B76" s="1799" t="s">
        <v>15599</v>
      </c>
      <c r="C76" s="2133">
        <v>134.97999999999999</v>
      </c>
      <c r="D76" s="2489"/>
      <c r="E76" s="2498"/>
      <c r="F76" s="197"/>
      <c r="G76" s="1040" t="s">
        <v>15603</v>
      </c>
      <c r="H76" s="261"/>
      <c r="I76" s="557"/>
      <c r="K76" s="886"/>
      <c r="L76" s="1792">
        <f t="shared" ref="L76:L77" si="28">IF( SUM( N76:P76 ) = 0, 0, $N$6 )</f>
        <v>0</v>
      </c>
      <c r="M76" s="886"/>
      <c r="N76" s="1793">
        <f t="shared" ref="N76" si="29" xml:space="preserve"> IF( ISNUMBER(C76 ), 0, 1 )</f>
        <v>0</v>
      </c>
      <c r="O76" s="242"/>
      <c r="P76" s="242"/>
      <c r="Q76" s="886"/>
      <c r="R76" s="389"/>
      <c r="S76" s="1799" t="s">
        <v>15599</v>
      </c>
      <c r="T76" s="2133" t="s">
        <v>15601</v>
      </c>
      <c r="U76" s="2489"/>
      <c r="V76" s="2498"/>
    </row>
    <row r="77" spans="1:22" ht="16.2" thickBot="1">
      <c r="B77" s="2490" t="s">
        <v>15602</v>
      </c>
      <c r="C77" s="2491"/>
      <c r="D77" s="2492">
        <v>166.89</v>
      </c>
      <c r="E77" s="2499"/>
      <c r="F77" s="197"/>
      <c r="G77" s="1043" t="s">
        <v>15606</v>
      </c>
      <c r="H77" s="261"/>
      <c r="I77" s="560"/>
      <c r="K77" s="886"/>
      <c r="L77" s="1792">
        <f t="shared" si="28"/>
        <v>0</v>
      </c>
      <c r="M77" s="886"/>
      <c r="N77" s="242"/>
      <c r="O77" s="1793">
        <f t="shared" ref="O77" si="30" xml:space="preserve"> IF( ISNUMBER(D77 ), 0, 1 )</f>
        <v>0</v>
      </c>
      <c r="P77" s="242"/>
      <c r="Q77" s="886"/>
      <c r="R77" s="389"/>
      <c r="S77" s="2490" t="s">
        <v>15602</v>
      </c>
      <c r="T77" s="2491"/>
      <c r="U77" s="2492" t="s">
        <v>15604</v>
      </c>
      <c r="V77" s="2499"/>
    </row>
    <row r="78" spans="1:22" ht="16.8" thickTop="1" thickBot="1">
      <c r="G78" s="224" t="s">
        <v>8787</v>
      </c>
      <c r="H78" s="261"/>
      <c r="K78" s="886"/>
      <c r="L78" s="260"/>
      <c r="M78" s="886"/>
      <c r="N78" s="260"/>
      <c r="O78" s="260"/>
      <c r="P78" s="260"/>
      <c r="Q78" s="260"/>
      <c r="R78" s="389"/>
      <c r="V78" s="1312"/>
    </row>
    <row r="79" spans="1:22" ht="16.2" thickTop="1">
      <c r="B79" s="652" t="s">
        <v>4202</v>
      </c>
      <c r="C79" s="2159" t="s">
        <v>6380</v>
      </c>
      <c r="D79" s="2159" t="s">
        <v>6381</v>
      </c>
      <c r="E79" s="671" t="s">
        <v>4425</v>
      </c>
      <c r="F79" s="242"/>
      <c r="G79" s="242" t="s">
        <v>8787</v>
      </c>
      <c r="H79" s="261"/>
      <c r="I79" s="242"/>
      <c r="K79" s="886"/>
      <c r="L79" s="242"/>
      <c r="M79" s="886"/>
      <c r="N79" s="242"/>
      <c r="O79" s="242"/>
      <c r="P79" s="242"/>
      <c r="Q79" s="886"/>
      <c r="R79" s="389"/>
      <c r="S79" s="652" t="s">
        <v>4202</v>
      </c>
      <c r="T79" s="2159" t="s">
        <v>6380</v>
      </c>
      <c r="U79" s="2159" t="s">
        <v>6381</v>
      </c>
      <c r="V79" s="671" t="s">
        <v>4425</v>
      </c>
    </row>
    <row r="80" spans="1:22" ht="18.600000000000001">
      <c r="B80" s="429" t="s">
        <v>630</v>
      </c>
      <c r="C80" s="427" t="s">
        <v>15412</v>
      </c>
      <c r="D80" s="427" t="s">
        <v>15412</v>
      </c>
      <c r="E80" s="428" t="s">
        <v>15412</v>
      </c>
      <c r="F80" s="197"/>
      <c r="G80" s="197" t="s">
        <v>8787</v>
      </c>
      <c r="H80" s="261"/>
      <c r="K80" s="886"/>
      <c r="L80" s="242"/>
      <c r="M80" s="886"/>
      <c r="N80" s="242"/>
      <c r="O80" s="242"/>
      <c r="P80" s="242"/>
      <c r="Q80" s="886"/>
      <c r="R80" s="389"/>
      <c r="S80" s="429" t="s">
        <v>630</v>
      </c>
      <c r="T80" s="427" t="s">
        <v>15412</v>
      </c>
      <c r="U80" s="427" t="s">
        <v>15412</v>
      </c>
      <c r="V80" s="428" t="s">
        <v>15412</v>
      </c>
    </row>
    <row r="81" spans="2:22" ht="16.2" thickBot="1">
      <c r="B81" s="430" t="s">
        <v>4204</v>
      </c>
      <c r="C81" s="271">
        <v>3</v>
      </c>
      <c r="D81" s="271">
        <v>3</v>
      </c>
      <c r="E81" s="672">
        <v>3</v>
      </c>
      <c r="F81" s="197"/>
      <c r="G81" s="197" t="s">
        <v>8787</v>
      </c>
      <c r="H81" s="261"/>
      <c r="K81" s="886"/>
      <c r="L81" s="242"/>
      <c r="M81" s="886"/>
      <c r="N81" s="242"/>
      <c r="O81" s="242"/>
      <c r="P81" s="242"/>
      <c r="Q81" s="886"/>
      <c r="R81" s="389"/>
      <c r="S81" s="430" t="s">
        <v>4204</v>
      </c>
      <c r="T81" s="271">
        <v>3</v>
      </c>
      <c r="U81" s="271">
        <v>3</v>
      </c>
      <c r="V81" s="672">
        <v>3</v>
      </c>
    </row>
    <row r="82" spans="2:22" ht="16.8" thickTop="1" thickBot="1">
      <c r="G82" s="224" t="s">
        <v>8787</v>
      </c>
      <c r="H82" s="261"/>
      <c r="K82" s="886"/>
      <c r="M82" s="886"/>
      <c r="R82" s="389"/>
      <c r="V82" s="1312"/>
    </row>
    <row r="83" spans="2:22" s="197" customFormat="1" ht="16.8" thickTop="1" thickBot="1">
      <c r="B83" s="393" t="s">
        <v>4722</v>
      </c>
      <c r="C83" s="2158"/>
      <c r="D83" s="2158"/>
      <c r="E83" s="2158"/>
      <c r="F83" s="2350"/>
      <c r="G83" s="174" t="s">
        <v>8787</v>
      </c>
      <c r="H83" s="261"/>
      <c r="I83" s="242"/>
      <c r="K83" s="886"/>
      <c r="L83" s="242"/>
      <c r="M83" s="886"/>
      <c r="N83" s="1806"/>
      <c r="O83" s="1806"/>
      <c r="P83" s="1793"/>
      <c r="Q83" s="1806"/>
      <c r="R83" s="389"/>
      <c r="S83" s="393" t="s">
        <v>4722</v>
      </c>
      <c r="T83" s="2158"/>
      <c r="U83" s="2158"/>
      <c r="V83" s="2158"/>
    </row>
    <row r="84" spans="2:22" s="197" customFormat="1" ht="16.8" thickTop="1" thickBot="1">
      <c r="B84" s="2493" t="s">
        <v>15605</v>
      </c>
      <c r="C84" s="2494"/>
      <c r="D84" s="2494"/>
      <c r="E84" s="2495">
        <f>IFERROR(SUM(C84:D84),0)</f>
        <v>0</v>
      </c>
      <c r="F84" s="2350"/>
      <c r="G84" s="1048" t="s">
        <v>15610</v>
      </c>
      <c r="H84" s="261"/>
      <c r="I84" s="1811"/>
      <c r="K84" s="886"/>
      <c r="L84" s="2504">
        <f>IF( SUM( N84:P84 ) = 0, 0, $N$6 )</f>
        <v>0</v>
      </c>
      <c r="M84" s="886"/>
      <c r="N84" s="1806"/>
      <c r="O84" s="1806"/>
      <c r="P84" s="1793">
        <f xml:space="preserve"> IF( ISNUMBER(E84 ), 0, 1 )</f>
        <v>0</v>
      </c>
      <c r="Q84" s="1806"/>
      <c r="R84" s="389"/>
      <c r="S84" s="2493" t="s">
        <v>15605</v>
      </c>
      <c r="T84" s="2494" t="s">
        <v>15607</v>
      </c>
      <c r="U84" s="2494" t="s">
        <v>15608</v>
      </c>
      <c r="V84" s="2495" t="s">
        <v>15609</v>
      </c>
    </row>
    <row r="85" spans="2:22" s="197" customFormat="1" ht="16.8" thickTop="1" thickBot="1">
      <c r="B85" s="242"/>
      <c r="C85" s="2158"/>
      <c r="D85" s="2158"/>
      <c r="E85" s="2475"/>
      <c r="F85" s="2350"/>
      <c r="G85" s="174"/>
      <c r="H85" s="261"/>
      <c r="I85" s="242"/>
      <c r="K85" s="886"/>
      <c r="L85" s="2504"/>
      <c r="M85" s="886"/>
      <c r="N85" s="1806"/>
      <c r="O85" s="1806"/>
      <c r="P85" s="1793"/>
      <c r="Q85" s="1806"/>
      <c r="R85" s="389"/>
      <c r="S85" s="242"/>
      <c r="T85" s="2158"/>
      <c r="U85" s="2158"/>
      <c r="V85" s="2475"/>
    </row>
    <row r="86" spans="2:22" s="197" customFormat="1" ht="16.2" thickTop="1">
      <c r="B86" s="2972" t="s">
        <v>4202</v>
      </c>
      <c r="C86" s="2969" t="s">
        <v>18466</v>
      </c>
      <c r="D86" s="2970"/>
      <c r="E86" s="2971"/>
      <c r="F86" s="2350"/>
      <c r="G86" s="174"/>
      <c r="H86" s="261"/>
      <c r="I86" s="242"/>
      <c r="K86" s="886"/>
      <c r="L86" s="2504"/>
      <c r="M86" s="886"/>
      <c r="N86" s="1806"/>
      <c r="O86" s="1806"/>
      <c r="P86" s="1793"/>
      <c r="Q86" s="1806"/>
      <c r="R86" s="389"/>
      <c r="S86" s="2972" t="s">
        <v>4202</v>
      </c>
      <c r="T86" s="2969" t="s">
        <v>18466</v>
      </c>
      <c r="U86" s="2970"/>
      <c r="V86" s="2971"/>
    </row>
    <row r="87" spans="2:22" s="197" customFormat="1">
      <c r="B87" s="2973"/>
      <c r="C87" s="2611" t="s">
        <v>6380</v>
      </c>
      <c r="D87" s="2611" t="s">
        <v>6381</v>
      </c>
      <c r="E87" s="2612" t="s">
        <v>4425</v>
      </c>
      <c r="F87" s="2350"/>
      <c r="G87" s="174"/>
      <c r="H87" s="261"/>
      <c r="I87" s="242"/>
      <c r="K87" s="886"/>
      <c r="L87" s="2504"/>
      <c r="M87" s="886"/>
      <c r="N87" s="1806"/>
      <c r="O87" s="1806"/>
      <c r="P87" s="1793"/>
      <c r="Q87" s="1806"/>
      <c r="R87" s="389"/>
      <c r="S87" s="2973"/>
      <c r="T87" s="2611" t="s">
        <v>6380</v>
      </c>
      <c r="U87" s="2611" t="s">
        <v>6381</v>
      </c>
      <c r="V87" s="2612" t="s">
        <v>4425</v>
      </c>
    </row>
    <row r="88" spans="2:22" s="197" customFormat="1" ht="18.600000000000001">
      <c r="B88" s="429" t="s">
        <v>630</v>
      </c>
      <c r="C88" s="427" t="s">
        <v>15412</v>
      </c>
      <c r="D88" s="427" t="s">
        <v>15412</v>
      </c>
      <c r="E88" s="428" t="s">
        <v>15412</v>
      </c>
      <c r="F88" s="2350"/>
      <c r="G88" s="174"/>
      <c r="H88" s="261"/>
      <c r="I88" s="242"/>
      <c r="K88" s="886"/>
      <c r="L88" s="2504"/>
      <c r="M88" s="886"/>
      <c r="N88" s="1806"/>
      <c r="O88" s="1806"/>
      <c r="P88" s="1793"/>
      <c r="Q88" s="1806"/>
      <c r="R88" s="389"/>
      <c r="S88" s="429" t="s">
        <v>630</v>
      </c>
      <c r="T88" s="427" t="s">
        <v>15412</v>
      </c>
      <c r="U88" s="427" t="s">
        <v>15412</v>
      </c>
      <c r="V88" s="428" t="s">
        <v>15412</v>
      </c>
    </row>
    <row r="89" spans="2:22" s="197" customFormat="1" ht="16.2" thickBot="1">
      <c r="B89" s="430" t="s">
        <v>4204</v>
      </c>
      <c r="C89" s="271">
        <v>3</v>
      </c>
      <c r="D89" s="271">
        <v>3</v>
      </c>
      <c r="E89" s="672">
        <v>3</v>
      </c>
      <c r="F89" s="2350"/>
      <c r="G89" s="174"/>
      <c r="H89" s="261"/>
      <c r="I89" s="242"/>
      <c r="K89" s="886"/>
      <c r="L89" s="2504"/>
      <c r="M89" s="886"/>
      <c r="N89" s="1806"/>
      <c r="O89" s="1806"/>
      <c r="P89" s="1793"/>
      <c r="Q89" s="1806"/>
      <c r="R89" s="389"/>
      <c r="S89" s="430" t="s">
        <v>4204</v>
      </c>
      <c r="T89" s="271">
        <v>3</v>
      </c>
      <c r="U89" s="271">
        <v>3</v>
      </c>
      <c r="V89" s="672">
        <v>3</v>
      </c>
    </row>
    <row r="90" spans="2:22" s="197" customFormat="1" ht="16.8" thickTop="1" thickBot="1">
      <c r="B90" s="242"/>
      <c r="C90" s="2158"/>
      <c r="D90" s="2158"/>
      <c r="E90" s="2475"/>
      <c r="F90" s="2350"/>
      <c r="G90" s="174" t="s">
        <v>8787</v>
      </c>
      <c r="H90" s="261"/>
      <c r="I90" s="242"/>
      <c r="K90" s="886"/>
      <c r="L90" s="2504"/>
      <c r="M90" s="886"/>
      <c r="N90" s="1806"/>
      <c r="O90" s="1806"/>
      <c r="P90" s="1793"/>
      <c r="Q90" s="1806"/>
      <c r="R90" s="389"/>
      <c r="S90" s="242"/>
      <c r="T90" s="2158"/>
      <c r="U90" s="2158"/>
      <c r="V90" s="2475"/>
    </row>
    <row r="91" spans="2:22" s="197" customFormat="1" ht="16.8" thickTop="1" thickBot="1">
      <c r="B91" s="1786" t="s">
        <v>15614</v>
      </c>
      <c r="G91" s="197" t="s">
        <v>8787</v>
      </c>
      <c r="H91" s="261"/>
      <c r="K91" s="886"/>
      <c r="L91" s="219"/>
      <c r="M91" s="886"/>
      <c r="N91" s="114"/>
      <c r="O91" s="114"/>
      <c r="P91" s="242"/>
      <c r="Q91" s="242"/>
      <c r="R91" s="389"/>
      <c r="S91" s="393" t="s">
        <v>15614</v>
      </c>
    </row>
    <row r="92" spans="2:22" s="197" customFormat="1" ht="16.8" thickTop="1" thickBot="1">
      <c r="B92" s="451" t="s">
        <v>15615</v>
      </c>
      <c r="C92" s="2130" t="s">
        <v>18658</v>
      </c>
      <c r="D92" s="2130" t="s">
        <v>18658</v>
      </c>
      <c r="E92" s="2614" t="s">
        <v>18658</v>
      </c>
      <c r="F92" s="106"/>
      <c r="G92" s="1040" t="s">
        <v>15611</v>
      </c>
      <c r="H92" s="261"/>
      <c r="K92" s="886"/>
      <c r="L92" s="219"/>
      <c r="M92" s="886"/>
      <c r="N92" s="114"/>
      <c r="O92" s="114"/>
      <c r="P92" s="242"/>
      <c r="Q92" s="242"/>
      <c r="R92" s="389"/>
      <c r="S92" s="2496" t="s">
        <v>15615</v>
      </c>
      <c r="T92" s="2130" t="s">
        <v>17638</v>
      </c>
      <c r="U92" s="2130" t="s">
        <v>17639</v>
      </c>
      <c r="V92" s="2614" t="s">
        <v>17640</v>
      </c>
    </row>
    <row r="93" spans="2:22" ht="16.8" thickTop="1" thickBot="1">
      <c r="B93" s="463" t="s">
        <v>15616</v>
      </c>
      <c r="C93" s="2132" t="s">
        <v>18658</v>
      </c>
      <c r="D93" s="2132" t="s">
        <v>18658</v>
      </c>
      <c r="E93" s="2613">
        <v>17098</v>
      </c>
      <c r="F93" s="106"/>
      <c r="G93" s="1043" t="s">
        <v>15612</v>
      </c>
      <c r="H93" s="261"/>
      <c r="I93" s="1811" t="s">
        <v>18834</v>
      </c>
      <c r="J93" s="261"/>
      <c r="K93" s="886"/>
      <c r="M93" s="886"/>
      <c r="R93" s="389"/>
      <c r="S93" s="2496" t="s">
        <v>15616</v>
      </c>
      <c r="T93" s="2132" t="s">
        <v>17641</v>
      </c>
      <c r="U93" s="2132" t="s">
        <v>17642</v>
      </c>
      <c r="V93" s="2632" t="s">
        <v>17643</v>
      </c>
    </row>
    <row r="94" spans="2:22" ht="16.8" thickTop="1" thickBot="1">
      <c r="E94" s="224"/>
      <c r="G94" s="224" t="s">
        <v>8787</v>
      </c>
      <c r="H94" s="261"/>
      <c r="I94" s="261"/>
      <c r="J94" s="261"/>
      <c r="K94" s="886"/>
      <c r="M94" s="886"/>
      <c r="N94" s="241"/>
      <c r="O94" s="241"/>
      <c r="P94" s="241"/>
      <c r="Q94" s="241"/>
      <c r="R94" s="389"/>
    </row>
    <row r="95" spans="2:22" s="197" customFormat="1" ht="16.8" thickTop="1" thickBot="1">
      <c r="B95" s="1786" t="s">
        <v>15617</v>
      </c>
      <c r="G95" s="197" t="s">
        <v>8787</v>
      </c>
      <c r="H95" s="261"/>
      <c r="K95" s="886"/>
      <c r="L95" s="2504"/>
      <c r="M95" s="886"/>
      <c r="N95" s="1793"/>
      <c r="O95" s="1793"/>
      <c r="P95" s="1806"/>
      <c r="Q95" s="1806"/>
      <c r="R95" s="389"/>
      <c r="S95" s="393" t="s">
        <v>15617</v>
      </c>
    </row>
    <row r="96" spans="2:22" ht="16.8" thickTop="1" thickBot="1">
      <c r="B96" s="2496" t="s">
        <v>15617</v>
      </c>
      <c r="C96" s="2497"/>
      <c r="D96" s="2497"/>
      <c r="E96" s="2598"/>
      <c r="F96" s="106"/>
      <c r="G96" s="1048" t="s">
        <v>15613</v>
      </c>
      <c r="H96" s="261"/>
      <c r="I96" s="1811" t="s">
        <v>18834</v>
      </c>
      <c r="J96" s="261"/>
      <c r="K96" s="886"/>
      <c r="M96" s="886"/>
      <c r="N96" s="241"/>
      <c r="O96" s="241"/>
      <c r="P96" s="241"/>
      <c r="Q96" s="241"/>
      <c r="R96" s="389"/>
      <c r="S96" s="2496" t="s">
        <v>15618</v>
      </c>
      <c r="T96" s="2497" t="s">
        <v>18461</v>
      </c>
      <c r="U96" s="2497" t="s">
        <v>18462</v>
      </c>
      <c r="V96" s="2598" t="s">
        <v>18463</v>
      </c>
    </row>
    <row r="97" spans="8:18" ht="16.2"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FFFC9D3C369E4B84AA15F647DB7C90" ma:contentTypeVersion="18" ma:contentTypeDescription="Create a new document." ma:contentTypeScope="" ma:versionID="17e1e88f8eb8b85db689dfa1176197cc">
  <xsd:schema xmlns:xsd="http://www.w3.org/2001/XMLSchema" xmlns:xs="http://www.w3.org/2001/XMLSchema" xmlns:p="http://schemas.microsoft.com/office/2006/metadata/properties" xmlns:ns2="1c12d233-69af-4a58-a785-8cb81c5c63d9" xmlns:ns3="bcc9130d-12fb-448d-926d-520ca7763905" targetNamespace="http://schemas.microsoft.com/office/2006/metadata/properties" ma:root="true" ma:fieldsID="cb9edd08baa8c70447fa11a9d6055e4b" ns2:_="" ns3:_="">
    <xsd:import namespace="1c12d233-69af-4a58-a785-8cb81c5c63d9"/>
    <xsd:import namespace="bcc9130d-12fb-448d-926d-520ca776390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Topic" minOccurs="0"/>
                <xsd:element ref="ns2:Date"/>
                <xsd:element ref="ns2:Reporting_x0020_Year" minOccurs="0"/>
                <xsd:element ref="ns2:Dataarea" minOccurs="0"/>
                <xsd:element ref="ns2:Document_x0020_typ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2d233-69af-4a58-a785-8cb81c5c63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Topic" ma:index="20" nillable="true" ma:displayName="Going to" ma:format="Dropdown" ma:internalName="Topic">
      <xsd:complexType>
        <xsd:complexContent>
          <xsd:extension base="dms:MultiChoiceFillIn">
            <xsd:sequence>
              <xsd:element name="Value" maxOccurs="unbounded" minOccurs="0" nillable="true">
                <xsd:simpleType>
                  <xsd:union memberTypes="dms:Text">
                    <xsd:simpleType>
                      <xsd:restriction base="dms:Choice">
                        <xsd:enumeration value="Ofwat"/>
                        <xsd:enumeration value="DCE"/>
                        <xsd:enumeration value="Audit Committee"/>
                        <xsd:enumeration value="Board"/>
                        <xsd:enumeration value="Jacobs"/>
                      </xsd:restriction>
                    </xsd:simpleType>
                  </xsd:union>
                </xsd:simpleType>
              </xsd:element>
            </xsd:sequence>
          </xsd:extension>
        </xsd:complexContent>
      </xsd:complexType>
    </xsd:element>
    <xsd:element name="Date" ma:index="21" ma:displayName="Date" ma:default="[today]" ma:format="DateOnly" ma:internalName="Date">
      <xsd:simpleType>
        <xsd:restriction base="dms:DateTime"/>
      </xsd:simpleType>
    </xsd:element>
    <xsd:element name="Reporting_x0020_Year" ma:index="22" nillable="true" ma:displayName="Financial Year" ma:format="Dropdown" ma:internalName="Reporting_x0020_Year">
      <xsd:simpleType>
        <xsd:restriction base="dms:Choice">
          <xsd:enumeration value="2021-22"/>
          <xsd:enumeration value="2022-23"/>
          <xsd:enumeration value="2023-24"/>
          <xsd:enumeration value="2024-25"/>
          <xsd:enumeration value="2025-26"/>
          <xsd:enumeration value="2026-27"/>
        </xsd:restriction>
      </xsd:simpleType>
    </xsd:element>
    <xsd:element name="Dataarea" ma:index="23" nillable="true" ma:displayName="Data area" ma:format="Dropdown" ma:internalName="Dataarea">
      <xsd:simpleType>
        <xsd:restriction base="dms:Text">
          <xsd:maxLength value="255"/>
        </xsd:restriction>
      </xsd:simpleType>
    </xsd:element>
    <xsd:element name="Document_x0020_types" ma:index="24" nillable="true" ma:displayName="Document types" ma:format="Dropdown" ma:internalName="Document_x0020_types">
      <xsd:complexType>
        <xsd:complexContent>
          <xsd:extension base="dms:MultiChoiceFillIn">
            <xsd:sequence>
              <xsd:element name="Value" maxOccurs="unbounded" minOccurs="0" nillable="true">
                <xsd:simpleType>
                  <xsd:union memberTypes="dms:Text">
                    <xsd:simpleType>
                      <xsd:restriction base="dms:Choice">
                        <xsd:enumeration value="Data Analysis"/>
                        <xsd:enumeration value="Publication"/>
                        <xsd:enumeration value="Report"/>
                        <xsd:enumeration value="Research"/>
                        <xsd:enumeration value="Training"/>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c9130d-12fb-448d-926d-520ca776390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5a53ef7-3a91-4299-a7ca-4f6e89b47705}" ma:internalName="TaxCatchAll" ma:showField="CatchAllData" ma:web="bcc9130d-12fb-448d-926d-520ca7763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cc9130d-12fb-448d-926d-520ca7763905" xsi:nil="true"/>
    <Document_x0020_types xmlns="1c12d233-69af-4a58-a785-8cb81c5c63d9" xsi:nil="true"/>
    <Topic xmlns="1c12d233-69af-4a58-a785-8cb81c5c63d9" xsi:nil="true"/>
    <Reporting_x0020_Year xmlns="1c12d233-69af-4a58-a785-8cb81c5c63d9" xsi:nil="true"/>
    <Date xmlns="1c12d233-69af-4a58-a785-8cb81c5c63d9">2023-06-15T14:02:53+00:00</Date>
    <Dataarea xmlns="1c12d233-69af-4a58-a785-8cb81c5c63d9" xsi:nil="true"/>
    <lcf76f155ced4ddcb4097134ff3c332f xmlns="1c12d233-69af-4a58-a785-8cb81c5c63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E959C5-8FEE-4E48-9C40-EFAC43568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2d233-69af-4a58-a785-8cb81c5c63d9"/>
    <ds:schemaRef ds:uri="bcc9130d-12fb-448d-926d-520ca7763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301079C5-9F56-4351-B994-BDB070C8199C}">
  <ds:schemaRef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1c12d233-69af-4a58-a785-8cb81c5c63d9"/>
    <ds:schemaRef ds:uri="http://schemas.microsoft.com/office/infopath/2007/PartnerControls"/>
    <ds:schemaRef ds:uri="http://purl.org/dc/dcmitype/"/>
    <ds:schemaRef ds:uri="bcc9130d-12fb-448d-926d-520ca7763905"/>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181</vt:i4>
      </vt:variant>
    </vt:vector>
  </HeadingPairs>
  <TitlesOfParts>
    <vt:vector size="277"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Change Control</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2023-08-08T07:24:14Z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0x010100D4FFFC9D3C369E4B84AA15F647DB7C90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ies>
</file>